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最新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71" r:id="rId35"/>
    <sheet name="典型户型修正" sheetId="31" r:id="rId36"/>
    <sheet name="不动产比较法-商业" sheetId="33" state="hidden" r:id="rId37"/>
    <sheet name="不动产比较法-办公" sheetId="34" state="hidden" r:id="rId38"/>
    <sheet name="不动产比较法-工业" sheetId="37" state="hidden" r:id="rId39"/>
    <sheet name="不动产收益法商业" sheetId="72" r:id="rId40"/>
    <sheet name="不动产收益法办公" sheetId="73" r:id="rId41"/>
    <sheet name="不动产收益法车库" sheetId="15" r:id="rId42"/>
    <sheet name="评估动态信息" sheetId="69" r:id="rId43"/>
    <sheet name="2#4#1# 按揭回款" sheetId="79" r:id="rId44"/>
    <sheet name="已售住宅均价" sheetId="76" r:id="rId45"/>
    <sheet name="已售叠墅均价" sheetId="77" r:id="rId46"/>
    <sheet name="已售合院均价" sheetId="78" r:id="rId47"/>
    <sheet name="不动产比较法-车位" sheetId="35" state="hidden" r:id="rId48"/>
    <sheet name="不动产比较法-仓储" sheetId="36" state="hidden" r:id="rId49"/>
    <sheet name="存贷款利率" sheetId="65" state="hidden" r:id="rId50"/>
  </sheets>
  <externalReferences>
    <externalReference r:id="rId51"/>
    <externalReference r:id="rId52"/>
    <externalReference r:id="rId53"/>
  </externalReferences>
  <definedNames>
    <definedName name="_xlnm._FilterDatabase" localSheetId="43" hidden="1">'2#4#1# 按揭回款'!$A$2:$IV$561</definedName>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'2#4#1# 按揭回款'!$A$1:$AE$125</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地价!$A$2:$A$31</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开发程度">'[2]土地比较法-工业'!$B$112:$M$112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用途明细">[2]定义!$A$1:$A$50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R3" i="79" l="1"/>
  <c r="X3" i="79"/>
  <c r="R4" i="79"/>
  <c r="X4" i="79"/>
  <c r="R5" i="79"/>
  <c r="X5" i="79"/>
  <c r="R6" i="79"/>
  <c r="X6" i="79"/>
  <c r="N7" i="79"/>
  <c r="R7" i="79"/>
  <c r="X7" i="79"/>
  <c r="R8" i="79"/>
  <c r="X8" i="79"/>
  <c r="R9" i="79"/>
  <c r="X9" i="79"/>
  <c r="R10" i="79"/>
  <c r="X10" i="79"/>
  <c r="R11" i="79"/>
  <c r="X11" i="79"/>
  <c r="R12" i="79"/>
  <c r="X12" i="79"/>
  <c r="R13" i="79"/>
  <c r="X13" i="79"/>
  <c r="R14" i="79"/>
  <c r="X14" i="79"/>
  <c r="R15" i="79"/>
  <c r="X15" i="79"/>
  <c r="R16" i="79"/>
  <c r="X16" i="79"/>
  <c r="R17" i="79"/>
  <c r="X17" i="79"/>
  <c r="N18" i="79"/>
  <c r="R18" i="79"/>
  <c r="X18" i="79"/>
  <c r="R19" i="79"/>
  <c r="X19" i="79"/>
  <c r="R20" i="79"/>
  <c r="X20" i="79"/>
  <c r="R21" i="79"/>
  <c r="X21" i="79"/>
  <c r="R22" i="79"/>
  <c r="X22" i="79"/>
  <c r="R23" i="79"/>
  <c r="X23" i="79"/>
  <c r="N24" i="79"/>
  <c r="R24" i="79"/>
  <c r="X24" i="79"/>
  <c r="R25" i="79"/>
  <c r="X25" i="79"/>
  <c r="R26" i="79"/>
  <c r="X26" i="79"/>
  <c r="N27" i="79"/>
  <c r="R27" i="79"/>
  <c r="X27" i="79"/>
  <c r="R28" i="79"/>
  <c r="X28" i="79"/>
  <c r="R29" i="79"/>
  <c r="X29" i="79"/>
  <c r="R30" i="79"/>
  <c r="X30" i="79"/>
  <c r="R31" i="79"/>
  <c r="X31" i="79"/>
  <c r="N32" i="79"/>
  <c r="R32" i="79"/>
  <c r="X32" i="79"/>
  <c r="R33" i="79"/>
  <c r="X33" i="79"/>
  <c r="R34" i="79"/>
  <c r="X34" i="79"/>
  <c r="R35" i="79"/>
  <c r="X35" i="79"/>
  <c r="R36" i="79"/>
  <c r="X36" i="79"/>
  <c r="R37" i="79"/>
  <c r="X37" i="79"/>
  <c r="R38" i="79"/>
  <c r="X38" i="79"/>
  <c r="R39" i="79"/>
  <c r="X39" i="79"/>
  <c r="N40" i="79"/>
  <c r="R40" i="79"/>
  <c r="X40" i="79"/>
  <c r="R41" i="79"/>
  <c r="X41" i="79"/>
  <c r="R42" i="79"/>
  <c r="X42" i="79"/>
  <c r="R43" i="79"/>
  <c r="X43" i="79"/>
  <c r="R44" i="79"/>
  <c r="X44" i="79"/>
  <c r="R45" i="79"/>
  <c r="X45" i="79"/>
  <c r="R46" i="79"/>
  <c r="X46" i="79"/>
  <c r="R47" i="79"/>
  <c r="X47" i="79"/>
  <c r="R48" i="79"/>
  <c r="X48" i="79"/>
  <c r="N49" i="79"/>
  <c r="R49" i="79"/>
  <c r="X49" i="79"/>
  <c r="R50" i="79"/>
  <c r="X50" i="79"/>
  <c r="R51" i="79"/>
  <c r="X51" i="79"/>
  <c r="R52" i="79"/>
  <c r="X52" i="79"/>
  <c r="N53" i="79"/>
  <c r="R53" i="79"/>
  <c r="X53" i="79"/>
  <c r="R54" i="79"/>
  <c r="X54" i="79"/>
  <c r="N55" i="79"/>
  <c r="R55" i="79"/>
  <c r="X55" i="79"/>
  <c r="R56" i="79"/>
  <c r="X56" i="79"/>
  <c r="R57" i="79"/>
  <c r="X57" i="79"/>
  <c r="N58" i="79"/>
  <c r="R58" i="79"/>
  <c r="X58" i="79"/>
  <c r="R59" i="79"/>
  <c r="X59" i="79"/>
  <c r="N60" i="79"/>
  <c r="R60" i="79"/>
  <c r="X60" i="79"/>
  <c r="R61" i="79"/>
  <c r="X61" i="79"/>
  <c r="R62" i="79"/>
  <c r="X62" i="79"/>
  <c r="R63" i="79"/>
  <c r="X63" i="79"/>
  <c r="R64" i="79"/>
  <c r="X64" i="79"/>
  <c r="R65" i="79"/>
  <c r="X65" i="79"/>
  <c r="N66" i="79"/>
  <c r="R66" i="79"/>
  <c r="X66" i="79"/>
  <c r="R67" i="79"/>
  <c r="X67" i="79"/>
  <c r="N68" i="79"/>
  <c r="R68" i="79"/>
  <c r="X68" i="79"/>
  <c r="R69" i="79"/>
  <c r="X69" i="79"/>
  <c r="N70" i="79"/>
  <c r="R70" i="79"/>
  <c r="X70" i="79"/>
  <c r="R71" i="79"/>
  <c r="X71" i="79"/>
  <c r="R72" i="79"/>
  <c r="X72" i="79"/>
  <c r="R73" i="79"/>
  <c r="X73" i="79"/>
  <c r="R74" i="79"/>
  <c r="X74" i="79"/>
  <c r="R75" i="79"/>
  <c r="X75" i="79"/>
  <c r="R76" i="79"/>
  <c r="X76" i="79"/>
  <c r="N77" i="79"/>
  <c r="R77" i="79"/>
  <c r="X77" i="79"/>
  <c r="R78" i="79"/>
  <c r="X78" i="79"/>
  <c r="N79" i="79"/>
  <c r="R79" i="79"/>
  <c r="X79" i="79"/>
  <c r="N80" i="79"/>
  <c r="R80" i="79"/>
  <c r="X80" i="79"/>
  <c r="R81" i="79"/>
  <c r="X81" i="79"/>
  <c r="R82" i="79"/>
  <c r="X82" i="79"/>
  <c r="N83" i="79"/>
  <c r="R83" i="79"/>
  <c r="X83" i="79"/>
  <c r="N84" i="79"/>
  <c r="R84" i="79"/>
  <c r="X84" i="79"/>
  <c r="R85" i="79"/>
  <c r="X85" i="79"/>
  <c r="R86" i="79"/>
  <c r="X86" i="79"/>
  <c r="R87" i="79"/>
  <c r="X87" i="79"/>
  <c r="R88" i="79"/>
  <c r="X88" i="79"/>
  <c r="R89" i="79"/>
  <c r="X89" i="79"/>
  <c r="R90" i="79"/>
  <c r="X90" i="79"/>
  <c r="R91" i="79"/>
  <c r="X91" i="79"/>
  <c r="N92" i="79"/>
  <c r="R92" i="79"/>
  <c r="X92" i="79"/>
  <c r="R93" i="79"/>
  <c r="X93" i="79"/>
  <c r="R94" i="79"/>
  <c r="X94" i="79"/>
  <c r="R95" i="79"/>
  <c r="X95" i="79"/>
  <c r="N96" i="79"/>
  <c r="R96" i="79"/>
  <c r="X96" i="79"/>
  <c r="R97" i="79"/>
  <c r="X97" i="79"/>
  <c r="R98" i="79"/>
  <c r="X98" i="79"/>
  <c r="R99" i="79"/>
  <c r="X99" i="79"/>
  <c r="R100" i="79"/>
  <c r="X100" i="79"/>
  <c r="N101" i="79"/>
  <c r="R101" i="79"/>
  <c r="X101" i="79"/>
  <c r="R102" i="79"/>
  <c r="X102" i="79"/>
  <c r="R103" i="79"/>
  <c r="X103" i="79"/>
  <c r="R104" i="79"/>
  <c r="X104" i="79"/>
  <c r="R105" i="79"/>
  <c r="X105" i="79"/>
  <c r="R106" i="79"/>
  <c r="X106" i="79"/>
  <c r="N107" i="79"/>
  <c r="R107" i="79"/>
  <c r="X107" i="79"/>
  <c r="R108" i="79"/>
  <c r="X108" i="79"/>
  <c r="R109" i="79"/>
  <c r="X109" i="79"/>
  <c r="R110" i="79"/>
  <c r="X110" i="79"/>
  <c r="R111" i="79"/>
  <c r="X111" i="79"/>
  <c r="R112" i="79"/>
  <c r="X112" i="79"/>
  <c r="R113" i="79"/>
  <c r="X113" i="79"/>
  <c r="R114" i="79"/>
  <c r="X114" i="79"/>
  <c r="R115" i="79"/>
  <c r="X115" i="79"/>
  <c r="N116" i="79"/>
  <c r="R116" i="79"/>
  <c r="X116" i="79"/>
  <c r="N117" i="79"/>
  <c r="R117" i="79"/>
  <c r="X117" i="79"/>
  <c r="R118" i="79"/>
  <c r="X118" i="79"/>
  <c r="R119" i="79"/>
  <c r="X119" i="79"/>
  <c r="R120" i="79"/>
  <c r="X120" i="79"/>
  <c r="R121" i="79"/>
  <c r="X121" i="79"/>
  <c r="R122" i="79"/>
  <c r="X122" i="79"/>
  <c r="R123" i="79"/>
  <c r="X123" i="79"/>
  <c r="R124" i="79"/>
  <c r="X124" i="79"/>
  <c r="R125" i="79"/>
  <c r="X125" i="79"/>
  <c r="R126" i="79"/>
  <c r="X126" i="79"/>
  <c r="N127" i="79"/>
  <c r="R127" i="79"/>
  <c r="X127" i="79"/>
  <c r="R128" i="79"/>
  <c r="X128" i="79"/>
  <c r="N129" i="79"/>
  <c r="R129" i="79"/>
  <c r="X129" i="79"/>
  <c r="R130" i="79"/>
  <c r="X130" i="79"/>
  <c r="R131" i="79"/>
  <c r="X131" i="79"/>
  <c r="R132" i="79"/>
  <c r="X132" i="79"/>
  <c r="R133" i="79"/>
  <c r="X133" i="79"/>
  <c r="N134" i="79"/>
  <c r="R134" i="79"/>
  <c r="X134" i="79"/>
  <c r="R135" i="79"/>
  <c r="X135" i="79"/>
  <c r="N136" i="79"/>
  <c r="R136" i="79"/>
  <c r="X136" i="79"/>
  <c r="R137" i="79"/>
  <c r="X137" i="79"/>
  <c r="N138" i="79"/>
  <c r="R138" i="79"/>
  <c r="X138" i="79"/>
  <c r="N139" i="79"/>
  <c r="R139" i="79"/>
  <c r="X139" i="79"/>
  <c r="R140" i="79"/>
  <c r="X140" i="79"/>
  <c r="N141" i="79"/>
  <c r="R141" i="79"/>
  <c r="X141" i="79"/>
  <c r="R142" i="79"/>
  <c r="X142" i="79"/>
  <c r="N143" i="79"/>
  <c r="R143" i="79"/>
  <c r="X143" i="79"/>
  <c r="N144" i="79"/>
  <c r="R144" i="79"/>
  <c r="X144" i="79"/>
  <c r="R145" i="79"/>
  <c r="X145" i="79"/>
  <c r="R146" i="79"/>
  <c r="X146" i="79"/>
  <c r="R147" i="79"/>
  <c r="X147" i="79"/>
  <c r="R148" i="79"/>
  <c r="X148" i="79"/>
  <c r="R149" i="79"/>
  <c r="X149" i="79"/>
  <c r="N150" i="79"/>
  <c r="R150" i="79"/>
  <c r="X150" i="79"/>
  <c r="R151" i="79"/>
  <c r="X151" i="79"/>
  <c r="R152" i="79"/>
  <c r="X152" i="79"/>
  <c r="N153" i="79"/>
  <c r="R153" i="79"/>
  <c r="X153" i="79"/>
  <c r="R154" i="79"/>
  <c r="X154" i="79"/>
  <c r="R155" i="79"/>
  <c r="X155" i="79"/>
  <c r="N156" i="79"/>
  <c r="R156" i="79"/>
  <c r="X156" i="79"/>
  <c r="R157" i="79"/>
  <c r="X157" i="79"/>
  <c r="F158" i="79"/>
  <c r="R158" i="79"/>
  <c r="X158" i="79"/>
  <c r="R159" i="79"/>
  <c r="X159" i="79"/>
  <c r="R160" i="79"/>
  <c r="X160" i="79"/>
  <c r="N161" i="79"/>
  <c r="R161" i="79"/>
  <c r="X161" i="79"/>
  <c r="R162" i="79"/>
  <c r="X162" i="79"/>
  <c r="R163" i="79"/>
  <c r="X163" i="79"/>
  <c r="R164" i="79"/>
  <c r="X164" i="79"/>
  <c r="R165" i="79"/>
  <c r="X165" i="79"/>
  <c r="N166" i="79"/>
  <c r="R166" i="79"/>
  <c r="X166" i="79"/>
  <c r="R167" i="79"/>
  <c r="X167" i="79"/>
  <c r="R168" i="79"/>
  <c r="X168" i="79"/>
  <c r="R169" i="79"/>
  <c r="X169" i="79"/>
  <c r="R170" i="79"/>
  <c r="X170" i="79"/>
  <c r="R171" i="79"/>
  <c r="X171" i="79"/>
  <c r="R172" i="79"/>
  <c r="X172" i="79"/>
  <c r="R173" i="79"/>
  <c r="X173" i="79"/>
  <c r="F174" i="79"/>
  <c r="R174" i="79"/>
  <c r="X174" i="79"/>
  <c r="N175" i="79"/>
  <c r="R175" i="79"/>
  <c r="X175" i="79"/>
  <c r="N176" i="79"/>
  <c r="R176" i="79"/>
  <c r="X176" i="79"/>
  <c r="N177" i="79"/>
  <c r="R177" i="79"/>
  <c r="X177" i="79"/>
  <c r="R178" i="79"/>
  <c r="X178" i="79"/>
  <c r="N179" i="79"/>
  <c r="R179" i="79"/>
  <c r="X179" i="79"/>
  <c r="R180" i="79"/>
  <c r="X180" i="79"/>
  <c r="N181" i="79"/>
  <c r="R181" i="79"/>
  <c r="X181" i="79"/>
  <c r="R182" i="79"/>
  <c r="X182" i="79"/>
  <c r="R183" i="79"/>
  <c r="X183" i="79"/>
  <c r="R184" i="79"/>
  <c r="X184" i="79"/>
  <c r="R185" i="79"/>
  <c r="X185" i="79"/>
  <c r="R186" i="79"/>
  <c r="X186" i="79"/>
  <c r="N187" i="79"/>
  <c r="R187" i="79"/>
  <c r="X187" i="79"/>
  <c r="R188" i="79"/>
  <c r="X188" i="79"/>
  <c r="R189" i="79"/>
  <c r="X189" i="79"/>
  <c r="R190" i="79"/>
  <c r="X190" i="79"/>
  <c r="R191" i="79"/>
  <c r="X191" i="79"/>
  <c r="R192" i="79"/>
  <c r="X192" i="79"/>
  <c r="R193" i="79"/>
  <c r="X193" i="79"/>
  <c r="R194" i="79"/>
  <c r="X194" i="79"/>
  <c r="N195" i="79"/>
  <c r="R195" i="79"/>
  <c r="X195" i="79"/>
  <c r="R196" i="79"/>
  <c r="X196" i="79"/>
  <c r="N197" i="79"/>
  <c r="R197" i="79"/>
  <c r="X197" i="79"/>
  <c r="R198" i="79"/>
  <c r="X198" i="79"/>
  <c r="R199" i="79"/>
  <c r="X199" i="79"/>
  <c r="N200" i="79"/>
  <c r="R200" i="79"/>
  <c r="X200" i="79"/>
  <c r="R201" i="79"/>
  <c r="X201" i="79"/>
  <c r="R202" i="79"/>
  <c r="X202" i="79"/>
  <c r="N203" i="79"/>
  <c r="R203" i="79"/>
  <c r="X203" i="79"/>
  <c r="R204" i="79"/>
  <c r="X204" i="79"/>
  <c r="R205" i="79"/>
  <c r="X205" i="79"/>
  <c r="R206" i="79"/>
  <c r="X206" i="79"/>
  <c r="R207" i="79"/>
  <c r="X207" i="79"/>
  <c r="N208" i="79"/>
  <c r="R208" i="79"/>
  <c r="X208" i="79"/>
  <c r="N209" i="79"/>
  <c r="R209" i="79"/>
  <c r="X209" i="79"/>
  <c r="R210" i="79"/>
  <c r="X210" i="79"/>
  <c r="R211" i="79"/>
  <c r="X211" i="79"/>
  <c r="R212" i="79"/>
  <c r="X212" i="79"/>
  <c r="R213" i="79"/>
  <c r="X213" i="79"/>
  <c r="R214" i="79"/>
  <c r="X214" i="79"/>
  <c r="R215" i="79"/>
  <c r="X215" i="79"/>
  <c r="R216" i="79"/>
  <c r="X216" i="79"/>
  <c r="N217" i="79"/>
  <c r="R217" i="79"/>
  <c r="X217" i="79"/>
  <c r="F218" i="79"/>
  <c r="N218" i="79"/>
  <c r="R218" i="79"/>
  <c r="X218" i="79"/>
  <c r="R219" i="79"/>
  <c r="X219" i="79"/>
  <c r="R220" i="79"/>
  <c r="X220" i="79"/>
  <c r="R221" i="79"/>
  <c r="X221" i="79"/>
  <c r="R222" i="79"/>
  <c r="X222" i="79"/>
  <c r="R223" i="79"/>
  <c r="X223" i="79"/>
  <c r="N224" i="79"/>
  <c r="R224" i="79"/>
  <c r="X224" i="79"/>
  <c r="N225" i="79"/>
  <c r="R225" i="79"/>
  <c r="X225" i="79"/>
  <c r="R226" i="79"/>
  <c r="X226" i="79"/>
  <c r="R227" i="79"/>
  <c r="X227" i="79"/>
  <c r="F228" i="79"/>
  <c r="R228" i="79"/>
  <c r="X228" i="79"/>
  <c r="R229" i="79"/>
  <c r="X229" i="79"/>
  <c r="R230" i="79"/>
  <c r="X230" i="79"/>
  <c r="R231" i="79"/>
  <c r="X231" i="79"/>
  <c r="R232" i="79"/>
  <c r="X232" i="79"/>
  <c r="R233" i="79"/>
  <c r="X233" i="79"/>
  <c r="R234" i="79"/>
  <c r="X234" i="79"/>
  <c r="N235" i="79"/>
  <c r="R235" i="79"/>
  <c r="X235" i="79"/>
  <c r="R236" i="79"/>
  <c r="X236" i="79"/>
  <c r="F237" i="79"/>
  <c r="R237" i="79"/>
  <c r="X237" i="79"/>
  <c r="N238" i="79"/>
  <c r="R238" i="79"/>
  <c r="X238" i="79"/>
  <c r="R239" i="79"/>
  <c r="X239" i="79"/>
  <c r="R240" i="79"/>
  <c r="X240" i="79"/>
  <c r="R241" i="79"/>
  <c r="X241" i="79"/>
  <c r="R242" i="79"/>
  <c r="X242" i="79"/>
  <c r="R243" i="79"/>
  <c r="X243" i="79"/>
  <c r="R244" i="79"/>
  <c r="X244" i="79"/>
  <c r="F245" i="79"/>
  <c r="R245" i="79"/>
  <c r="X245" i="79"/>
  <c r="N246" i="79"/>
  <c r="R246" i="79"/>
  <c r="X246" i="79"/>
  <c r="R247" i="79"/>
  <c r="X247" i="79"/>
  <c r="R248" i="79"/>
  <c r="X248" i="79"/>
  <c r="N249" i="79"/>
  <c r="R249" i="79"/>
  <c r="X249" i="79"/>
  <c r="R250" i="79"/>
  <c r="X250" i="79"/>
  <c r="N251" i="79"/>
  <c r="R251" i="79"/>
  <c r="X251" i="79"/>
  <c r="N252" i="79"/>
  <c r="R252" i="79"/>
  <c r="X252" i="79"/>
  <c r="R253" i="79"/>
  <c r="X253" i="79"/>
  <c r="N254" i="79"/>
  <c r="R254" i="79"/>
  <c r="X254" i="79"/>
  <c r="F255" i="79"/>
  <c r="R255" i="79"/>
  <c r="X255" i="79"/>
  <c r="R256" i="79"/>
  <c r="X256" i="79"/>
  <c r="R257" i="79"/>
  <c r="X257" i="79"/>
  <c r="N258" i="79"/>
  <c r="R258" i="79"/>
  <c r="X258" i="79"/>
  <c r="R259" i="79"/>
  <c r="X259" i="79"/>
  <c r="N260" i="79"/>
  <c r="R260" i="79"/>
  <c r="X260" i="79"/>
  <c r="R261" i="79"/>
  <c r="X261" i="79"/>
  <c r="R262" i="79"/>
  <c r="X262" i="79"/>
  <c r="N263" i="79"/>
  <c r="R263" i="79"/>
  <c r="X263" i="79"/>
  <c r="N264" i="79"/>
  <c r="R264" i="79"/>
  <c r="X264" i="79"/>
  <c r="F265" i="79"/>
  <c r="R265" i="79"/>
  <c r="X265" i="79"/>
  <c r="R266" i="79"/>
  <c r="X266" i="79"/>
  <c r="F267" i="79"/>
  <c r="R267" i="79"/>
  <c r="X267" i="79"/>
  <c r="N268" i="79"/>
  <c r="R268" i="79"/>
  <c r="X268" i="79"/>
  <c r="R269" i="79"/>
  <c r="X269" i="79"/>
  <c r="R270" i="79"/>
  <c r="X270" i="79"/>
  <c r="R271" i="79"/>
  <c r="X271" i="79"/>
  <c r="R272" i="79"/>
  <c r="X272" i="79"/>
  <c r="R273" i="79"/>
  <c r="X273" i="79"/>
  <c r="F274" i="79"/>
  <c r="R274" i="79"/>
  <c r="X274" i="79"/>
  <c r="F275" i="79"/>
  <c r="R275" i="79"/>
  <c r="X275" i="79"/>
  <c r="R276" i="79"/>
  <c r="X276" i="79"/>
  <c r="R277" i="79"/>
  <c r="X277" i="79"/>
  <c r="R278" i="79"/>
  <c r="X278" i="79"/>
  <c r="R279" i="79"/>
  <c r="X279" i="79"/>
  <c r="R280" i="79"/>
  <c r="X280" i="79"/>
  <c r="R281" i="79"/>
  <c r="X281" i="79"/>
  <c r="R282" i="79"/>
  <c r="X282" i="79"/>
  <c r="F283" i="79"/>
  <c r="R283" i="79"/>
  <c r="X283" i="79"/>
  <c r="R284" i="79"/>
  <c r="X284" i="79"/>
  <c r="R285" i="79"/>
  <c r="X285" i="79"/>
  <c r="N286" i="79"/>
  <c r="R286" i="79"/>
  <c r="X286" i="79"/>
  <c r="N287" i="79"/>
  <c r="R287" i="79"/>
  <c r="X287" i="79"/>
  <c r="R288" i="79"/>
  <c r="X288" i="79"/>
  <c r="R289" i="79"/>
  <c r="X289" i="79"/>
  <c r="R290" i="79"/>
  <c r="X290" i="79"/>
  <c r="R291" i="79"/>
  <c r="X291" i="79"/>
  <c r="N292" i="79"/>
  <c r="R292" i="79"/>
  <c r="X292" i="79"/>
  <c r="R293" i="79"/>
  <c r="X293" i="79"/>
  <c r="R294" i="79"/>
  <c r="X294" i="79"/>
  <c r="R295" i="79"/>
  <c r="X295" i="79"/>
  <c r="N296" i="79"/>
  <c r="R296" i="79"/>
  <c r="X296" i="79"/>
  <c r="R297" i="79"/>
  <c r="X297" i="79"/>
  <c r="R298" i="79"/>
  <c r="X298" i="79"/>
  <c r="R299" i="79"/>
  <c r="X299" i="79"/>
  <c r="R300" i="79"/>
  <c r="X300" i="79"/>
  <c r="N301" i="79"/>
  <c r="R301" i="79"/>
  <c r="X301" i="79"/>
  <c r="R302" i="79"/>
  <c r="X302" i="79"/>
  <c r="R303" i="79"/>
  <c r="X303" i="79"/>
  <c r="R304" i="79"/>
  <c r="X304" i="79"/>
  <c r="R305" i="79"/>
  <c r="X305" i="79"/>
  <c r="R306" i="79"/>
  <c r="X306" i="79"/>
  <c r="N307" i="79"/>
  <c r="R307" i="79"/>
  <c r="X307" i="79"/>
  <c r="R308" i="79"/>
  <c r="X308" i="79"/>
  <c r="N309" i="79"/>
  <c r="R309" i="79"/>
  <c r="X309" i="79"/>
  <c r="R310" i="79"/>
  <c r="X310" i="79"/>
  <c r="R311" i="79"/>
  <c r="X311" i="79"/>
  <c r="R312" i="79"/>
  <c r="X312" i="79"/>
  <c r="R313" i="79"/>
  <c r="X313" i="79"/>
  <c r="R314" i="79"/>
  <c r="X314" i="79"/>
  <c r="R315" i="79"/>
  <c r="X315" i="79"/>
  <c r="R316" i="79"/>
  <c r="X316" i="79"/>
  <c r="N317" i="79"/>
  <c r="R317" i="79"/>
  <c r="X317" i="79"/>
  <c r="R318" i="79"/>
  <c r="X318" i="79"/>
  <c r="N319" i="79"/>
  <c r="R319" i="79"/>
  <c r="X319" i="79"/>
  <c r="N320" i="79"/>
  <c r="R320" i="79"/>
  <c r="X320" i="79"/>
  <c r="R321" i="79"/>
  <c r="X321" i="79"/>
  <c r="R322" i="79"/>
  <c r="X322" i="79"/>
  <c r="R323" i="79"/>
  <c r="X323" i="79"/>
  <c r="N324" i="79"/>
  <c r="R324" i="79"/>
  <c r="X324" i="79"/>
  <c r="N325" i="79"/>
  <c r="R325" i="79"/>
  <c r="X325" i="79"/>
  <c r="R326" i="79"/>
  <c r="X326" i="79"/>
  <c r="R327" i="79"/>
  <c r="X327" i="79"/>
  <c r="N328" i="79"/>
  <c r="R328" i="79"/>
  <c r="X328" i="79"/>
  <c r="R329" i="79"/>
  <c r="X329" i="79"/>
  <c r="R330" i="79"/>
  <c r="X330" i="79"/>
  <c r="R331" i="79"/>
  <c r="X331" i="79"/>
  <c r="R332" i="79"/>
  <c r="X332" i="79"/>
  <c r="R333" i="79"/>
  <c r="X333" i="79"/>
  <c r="R334" i="79"/>
  <c r="X334" i="79"/>
  <c r="R335" i="79"/>
  <c r="X335" i="79"/>
  <c r="N336" i="79"/>
  <c r="R336" i="79"/>
  <c r="X336" i="79"/>
  <c r="R337" i="79"/>
  <c r="X337" i="79"/>
  <c r="R338" i="79"/>
  <c r="X338" i="79"/>
  <c r="R339" i="79"/>
  <c r="X339" i="79"/>
  <c r="R340" i="79"/>
  <c r="X340" i="79"/>
  <c r="N341" i="79"/>
  <c r="R341" i="79"/>
  <c r="X341" i="79"/>
  <c r="R342" i="79"/>
  <c r="X342" i="79"/>
  <c r="N343" i="79"/>
  <c r="R343" i="79"/>
  <c r="X343" i="79"/>
  <c r="R344" i="79"/>
  <c r="X344" i="79"/>
  <c r="R345" i="79"/>
  <c r="X345" i="79"/>
  <c r="R346" i="79"/>
  <c r="X346" i="79"/>
  <c r="R347" i="79"/>
  <c r="X347" i="79"/>
  <c r="N348" i="79"/>
  <c r="R348" i="79"/>
  <c r="X348" i="79"/>
  <c r="R349" i="79"/>
  <c r="X349" i="79"/>
  <c r="R350" i="79"/>
  <c r="X350" i="79"/>
  <c r="R351" i="79"/>
  <c r="X351" i="79"/>
  <c r="R352" i="79"/>
  <c r="X352" i="79"/>
  <c r="R353" i="79"/>
  <c r="X353" i="79"/>
  <c r="R354" i="79"/>
  <c r="X354" i="79"/>
  <c r="N355" i="79"/>
  <c r="R355" i="79"/>
  <c r="X355" i="79"/>
  <c r="R356" i="79"/>
  <c r="X356" i="79"/>
  <c r="R357" i="79"/>
  <c r="X357" i="79"/>
  <c r="R358" i="79"/>
  <c r="X358" i="79"/>
  <c r="R359" i="79"/>
  <c r="X359" i="79"/>
  <c r="R360" i="79"/>
  <c r="X360" i="79"/>
  <c r="R361" i="79"/>
  <c r="X361" i="79"/>
  <c r="R362" i="79"/>
  <c r="X362" i="79"/>
  <c r="N363" i="79"/>
  <c r="R363" i="79"/>
  <c r="X363" i="79"/>
  <c r="R364" i="79"/>
  <c r="X364" i="79"/>
  <c r="N365" i="79"/>
  <c r="R365" i="79"/>
  <c r="X365" i="79"/>
  <c r="N366" i="79"/>
  <c r="R366" i="79"/>
  <c r="X366" i="79"/>
  <c r="R367" i="79"/>
  <c r="X367" i="79"/>
  <c r="N368" i="79"/>
  <c r="R368" i="79"/>
  <c r="X368" i="79"/>
  <c r="R369" i="79"/>
  <c r="X369" i="79"/>
  <c r="N370" i="79"/>
  <c r="R370" i="79"/>
  <c r="X370" i="79"/>
  <c r="R371" i="79"/>
  <c r="X371" i="79"/>
  <c r="R372" i="79"/>
  <c r="X372" i="79"/>
  <c r="R373" i="79"/>
  <c r="X373" i="79"/>
  <c r="R374" i="79"/>
  <c r="X374" i="79"/>
  <c r="N375" i="79"/>
  <c r="R375" i="79"/>
  <c r="X375" i="79"/>
  <c r="N376" i="79"/>
  <c r="R376" i="79"/>
  <c r="X376" i="79"/>
  <c r="R377" i="79"/>
  <c r="X377" i="79"/>
  <c r="R378" i="79"/>
  <c r="X378" i="79"/>
  <c r="R379" i="79"/>
  <c r="X379" i="79"/>
  <c r="R380" i="79"/>
  <c r="X380" i="79"/>
  <c r="R381" i="79"/>
  <c r="X381" i="79"/>
  <c r="R382" i="79"/>
  <c r="X382" i="79"/>
  <c r="R383" i="79"/>
  <c r="X383" i="79"/>
  <c r="R384" i="79"/>
  <c r="X384" i="79"/>
  <c r="N385" i="79"/>
  <c r="R385" i="79"/>
  <c r="X385" i="79"/>
  <c r="R386" i="79"/>
  <c r="X386" i="79"/>
  <c r="R387" i="79"/>
  <c r="X387" i="79"/>
  <c r="N388" i="79"/>
  <c r="R388" i="79"/>
  <c r="X388" i="79"/>
  <c r="R389" i="79"/>
  <c r="X389" i="79"/>
  <c r="R390" i="79"/>
  <c r="X390" i="79"/>
  <c r="R391" i="79"/>
  <c r="X391" i="79"/>
  <c r="R392" i="79"/>
  <c r="X392" i="79"/>
  <c r="N393" i="79"/>
  <c r="R393" i="79"/>
  <c r="X393" i="79"/>
  <c r="N394" i="79"/>
  <c r="R394" i="79"/>
  <c r="X394" i="79"/>
  <c r="R395" i="79"/>
  <c r="X395" i="79"/>
  <c r="R396" i="79"/>
  <c r="X396" i="79"/>
  <c r="R397" i="79"/>
  <c r="X397" i="79"/>
  <c r="R398" i="79"/>
  <c r="X398" i="79"/>
  <c r="R399" i="79"/>
  <c r="X399" i="79"/>
  <c r="R400" i="79"/>
  <c r="X400" i="79"/>
  <c r="R401" i="79"/>
  <c r="X401" i="79"/>
  <c r="N402" i="79"/>
  <c r="R402" i="79"/>
  <c r="X402" i="79"/>
  <c r="R403" i="79"/>
  <c r="X403" i="79"/>
  <c r="R404" i="79"/>
  <c r="X404" i="79"/>
  <c r="N405" i="79"/>
  <c r="R405" i="79"/>
  <c r="X405" i="79"/>
  <c r="N406" i="79"/>
  <c r="R406" i="79"/>
  <c r="X406" i="79"/>
  <c r="R407" i="79"/>
  <c r="X407" i="79"/>
  <c r="R408" i="79"/>
  <c r="X408" i="79"/>
  <c r="R409" i="79"/>
  <c r="X409" i="79"/>
  <c r="R410" i="79"/>
  <c r="X410" i="79"/>
  <c r="N411" i="79"/>
  <c r="R411" i="79"/>
  <c r="X411" i="79"/>
  <c r="R412" i="79"/>
  <c r="X412" i="79"/>
  <c r="N413" i="79"/>
  <c r="R413" i="79"/>
  <c r="X413" i="79"/>
  <c r="R414" i="79"/>
  <c r="X414" i="79"/>
  <c r="N415" i="79"/>
  <c r="R415" i="79"/>
  <c r="X415" i="79"/>
  <c r="R416" i="79"/>
  <c r="X416" i="79"/>
  <c r="R417" i="79"/>
  <c r="X417" i="79"/>
  <c r="R418" i="79"/>
  <c r="X418" i="79"/>
  <c r="R419" i="79"/>
  <c r="X419" i="79"/>
  <c r="R420" i="79"/>
  <c r="X420" i="79"/>
  <c r="R421" i="79"/>
  <c r="X421" i="79"/>
  <c r="N422" i="79"/>
  <c r="R422" i="79"/>
  <c r="X422" i="79"/>
  <c r="R423" i="79"/>
  <c r="X423" i="79"/>
  <c r="R424" i="79"/>
  <c r="X424" i="79"/>
  <c r="R425" i="79"/>
  <c r="X425" i="79"/>
  <c r="R426" i="79"/>
  <c r="X426" i="79"/>
  <c r="R427" i="79"/>
  <c r="X427" i="79"/>
  <c r="R428" i="79"/>
  <c r="X428" i="79"/>
  <c r="R429" i="79"/>
  <c r="X429" i="79"/>
  <c r="R430" i="79"/>
  <c r="X430" i="79"/>
  <c r="R431" i="79"/>
  <c r="X431" i="79"/>
  <c r="R432" i="79"/>
  <c r="X432" i="79"/>
  <c r="R433" i="79"/>
  <c r="X433" i="79"/>
  <c r="R434" i="79"/>
  <c r="X434" i="79"/>
  <c r="N435" i="79"/>
  <c r="R435" i="79"/>
  <c r="X435" i="79"/>
  <c r="N436" i="79"/>
  <c r="R436" i="79"/>
  <c r="X436" i="79"/>
  <c r="R437" i="79"/>
  <c r="X437" i="79"/>
  <c r="N438" i="79"/>
  <c r="R438" i="79"/>
  <c r="X438" i="79"/>
  <c r="R439" i="79"/>
  <c r="X439" i="79"/>
  <c r="R440" i="79"/>
  <c r="X440" i="79"/>
  <c r="R441" i="79"/>
  <c r="X441" i="79"/>
  <c r="R442" i="79"/>
  <c r="X442" i="79"/>
  <c r="R443" i="79"/>
  <c r="X443" i="79"/>
  <c r="R444" i="79"/>
  <c r="X444" i="79"/>
  <c r="N445" i="79"/>
  <c r="R445" i="79"/>
  <c r="X445" i="79"/>
  <c r="R446" i="79"/>
  <c r="X446" i="79"/>
  <c r="R447" i="79"/>
  <c r="X447" i="79"/>
  <c r="R448" i="79"/>
  <c r="X448" i="79"/>
  <c r="R449" i="79"/>
  <c r="X449" i="79"/>
  <c r="N450" i="79"/>
  <c r="R450" i="79"/>
  <c r="X450" i="79"/>
  <c r="R451" i="79"/>
  <c r="X451" i="79"/>
  <c r="N452" i="79"/>
  <c r="R452" i="79"/>
  <c r="X452" i="79"/>
  <c r="R453" i="79"/>
  <c r="X453" i="79"/>
  <c r="R454" i="79"/>
  <c r="X454" i="79"/>
  <c r="R455" i="79"/>
  <c r="X455" i="79"/>
  <c r="N456" i="79"/>
  <c r="R456" i="79"/>
  <c r="X456" i="79"/>
  <c r="R457" i="79"/>
  <c r="X457" i="79"/>
  <c r="N458" i="79"/>
  <c r="R458" i="79"/>
  <c r="X458" i="79"/>
  <c r="R459" i="79"/>
  <c r="X459" i="79"/>
  <c r="R460" i="79"/>
  <c r="X460" i="79"/>
  <c r="R461" i="79"/>
  <c r="X461" i="79"/>
  <c r="F462" i="79"/>
  <c r="N462" i="79"/>
  <c r="R462" i="79"/>
  <c r="X462" i="79"/>
  <c r="R463" i="79"/>
  <c r="X463" i="79"/>
  <c r="R464" i="79"/>
  <c r="X464" i="79"/>
  <c r="R465" i="79"/>
  <c r="X465" i="79"/>
  <c r="R466" i="79"/>
  <c r="X466" i="79"/>
  <c r="R467" i="79"/>
  <c r="X467" i="79"/>
  <c r="R468" i="79"/>
  <c r="X468" i="79"/>
  <c r="R469" i="79"/>
  <c r="X469" i="79"/>
  <c r="F470" i="79"/>
  <c r="R470" i="79"/>
  <c r="X470" i="79"/>
  <c r="R471" i="79"/>
  <c r="X471" i="79"/>
  <c r="R472" i="79"/>
  <c r="X472" i="79"/>
  <c r="R473" i="79"/>
  <c r="X473" i="79"/>
  <c r="F474" i="79"/>
  <c r="R474" i="79"/>
  <c r="X474" i="79"/>
  <c r="R475" i="79"/>
  <c r="X475" i="79"/>
  <c r="N476" i="79"/>
  <c r="R476" i="79"/>
  <c r="X476" i="79"/>
  <c r="R477" i="79"/>
  <c r="X477" i="79"/>
  <c r="N478" i="79"/>
  <c r="R478" i="79"/>
  <c r="X478" i="79"/>
  <c r="N479" i="79"/>
  <c r="R479" i="79"/>
  <c r="X479" i="79"/>
  <c r="R480" i="79"/>
  <c r="X480" i="79"/>
  <c r="R481" i="79"/>
  <c r="X481" i="79"/>
  <c r="R482" i="79"/>
  <c r="X482" i="79"/>
  <c r="N483" i="79"/>
  <c r="R483" i="79"/>
  <c r="X483" i="79"/>
  <c r="R484" i="79"/>
  <c r="X484" i="79"/>
  <c r="R485" i="79"/>
  <c r="X485" i="79"/>
  <c r="R486" i="79"/>
  <c r="X486" i="79"/>
  <c r="R487" i="79"/>
  <c r="X487" i="79"/>
  <c r="R488" i="79"/>
  <c r="X488" i="79"/>
  <c r="R489" i="79"/>
  <c r="X489" i="79"/>
  <c r="R490" i="79"/>
  <c r="X490" i="79"/>
  <c r="N491" i="79"/>
  <c r="R491" i="79"/>
  <c r="X491" i="79"/>
  <c r="R492" i="79"/>
  <c r="X492" i="79"/>
  <c r="R493" i="79"/>
  <c r="X493" i="79"/>
  <c r="N494" i="79"/>
  <c r="R494" i="79"/>
  <c r="X494" i="79"/>
  <c r="R495" i="79"/>
  <c r="X495" i="79"/>
  <c r="R496" i="79"/>
  <c r="X496" i="79"/>
  <c r="R497" i="79"/>
  <c r="X497" i="79"/>
  <c r="R498" i="79"/>
  <c r="X498" i="79"/>
  <c r="R499" i="79"/>
  <c r="X499" i="79"/>
  <c r="R500" i="79"/>
  <c r="X500" i="79"/>
  <c r="R501" i="79"/>
  <c r="X501" i="79"/>
  <c r="R502" i="79"/>
  <c r="X502" i="79"/>
  <c r="R503" i="79"/>
  <c r="X503" i="79"/>
  <c r="R504" i="79"/>
  <c r="X504" i="79"/>
  <c r="R505" i="79"/>
  <c r="X505" i="79"/>
  <c r="N506" i="79"/>
  <c r="R506" i="79"/>
  <c r="X506" i="79"/>
  <c r="R507" i="79"/>
  <c r="X507" i="79"/>
  <c r="R508" i="79"/>
  <c r="X508" i="79"/>
  <c r="R509" i="79"/>
  <c r="X509" i="79"/>
  <c r="R510" i="79"/>
  <c r="X510" i="79"/>
  <c r="R511" i="79"/>
  <c r="X511" i="79"/>
  <c r="R512" i="79"/>
  <c r="X512" i="79"/>
  <c r="R513" i="79"/>
  <c r="X513" i="79"/>
  <c r="R514" i="79"/>
  <c r="X514" i="79"/>
  <c r="R515" i="79"/>
  <c r="X515" i="79"/>
  <c r="R516" i="79"/>
  <c r="X516" i="79"/>
  <c r="R517" i="79"/>
  <c r="X517" i="79"/>
  <c r="R518" i="79"/>
  <c r="X518" i="79"/>
  <c r="R519" i="79"/>
  <c r="X519" i="79"/>
  <c r="R520" i="79"/>
  <c r="X520" i="79"/>
  <c r="R521" i="79"/>
  <c r="X521" i="79"/>
  <c r="R522" i="79"/>
  <c r="X522" i="79"/>
  <c r="R523" i="79"/>
  <c r="X523" i="79"/>
  <c r="N524" i="79"/>
  <c r="R524" i="79"/>
  <c r="X524" i="79"/>
  <c r="R525" i="79"/>
  <c r="X525" i="79"/>
  <c r="N526" i="79"/>
  <c r="R526" i="79"/>
  <c r="X526" i="79"/>
  <c r="R527" i="79"/>
  <c r="X527" i="79"/>
  <c r="R528" i="79"/>
  <c r="X528" i="79"/>
  <c r="R529" i="79"/>
  <c r="X529" i="79"/>
  <c r="R530" i="79"/>
  <c r="X530" i="79"/>
  <c r="R531" i="79"/>
  <c r="X531" i="79"/>
  <c r="R532" i="79"/>
  <c r="X532" i="79"/>
  <c r="R533" i="79"/>
  <c r="X533" i="79"/>
  <c r="R534" i="79"/>
  <c r="X534" i="79"/>
  <c r="R535" i="79"/>
  <c r="X535" i="79"/>
  <c r="R536" i="79"/>
  <c r="X536" i="79"/>
  <c r="R537" i="79"/>
  <c r="X537" i="79"/>
  <c r="R538" i="79"/>
  <c r="X538" i="79"/>
  <c r="R539" i="79"/>
  <c r="X539" i="79"/>
  <c r="R540" i="79"/>
  <c r="X540" i="79"/>
  <c r="R541" i="79"/>
  <c r="X541" i="79"/>
  <c r="R542" i="79"/>
  <c r="X542" i="79"/>
  <c r="R543" i="79"/>
  <c r="X543" i="79"/>
  <c r="R544" i="79"/>
  <c r="X544" i="79"/>
  <c r="R545" i="79"/>
  <c r="X545" i="79"/>
  <c r="R546" i="79"/>
  <c r="X546" i="79"/>
  <c r="R547" i="79"/>
  <c r="X547" i="79"/>
  <c r="R548" i="79"/>
  <c r="X548" i="79"/>
  <c r="R549" i="79"/>
  <c r="X549" i="79"/>
  <c r="R550" i="79"/>
  <c r="X550" i="79"/>
  <c r="R551" i="79"/>
  <c r="X551" i="79"/>
  <c r="R552" i="79"/>
  <c r="X552" i="79"/>
  <c r="R553" i="79"/>
  <c r="X553" i="79"/>
  <c r="R554" i="79"/>
  <c r="X554" i="79"/>
  <c r="R555" i="79"/>
  <c r="X555" i="79"/>
  <c r="R556" i="79"/>
  <c r="X556" i="79"/>
  <c r="R557" i="79"/>
  <c r="X557" i="79"/>
  <c r="R561" i="79"/>
  <c r="X561" i="79"/>
  <c r="X562" i="79"/>
  <c r="Y3" i="79"/>
  <c r="Y4" i="79"/>
  <c r="Y5" i="79"/>
  <c r="Y6" i="79"/>
  <c r="Y7" i="79"/>
  <c r="Y8" i="79"/>
  <c r="Y9" i="79"/>
  <c r="Y10" i="79"/>
  <c r="Y11" i="79"/>
  <c r="Y12" i="79"/>
  <c r="Y13" i="79"/>
  <c r="Y14" i="79"/>
  <c r="Y15" i="79"/>
  <c r="Y16" i="79"/>
  <c r="Y17" i="79"/>
  <c r="Y18" i="79"/>
  <c r="Y19" i="79"/>
  <c r="Y20" i="79"/>
  <c r="Y21" i="79"/>
  <c r="Y22" i="79"/>
  <c r="Y23" i="79"/>
  <c r="Y24" i="79"/>
  <c r="Y25" i="79"/>
  <c r="Y26" i="79"/>
  <c r="Y27" i="79"/>
  <c r="Y28" i="79"/>
  <c r="Y29" i="79"/>
  <c r="Y30" i="79"/>
  <c r="Y31" i="79"/>
  <c r="Y32" i="79"/>
  <c r="Y33" i="79"/>
  <c r="Y34" i="79"/>
  <c r="Y35" i="79"/>
  <c r="Y36" i="79"/>
  <c r="Y37" i="79"/>
  <c r="Y38" i="79"/>
  <c r="Y39" i="79"/>
  <c r="Y40" i="79"/>
  <c r="Y41" i="79"/>
  <c r="Y42" i="79"/>
  <c r="Y43" i="79"/>
  <c r="Y44" i="79"/>
  <c r="Y45" i="79"/>
  <c r="Y46" i="79"/>
  <c r="Y47" i="79"/>
  <c r="Y48" i="79"/>
  <c r="Y49" i="79"/>
  <c r="Y50" i="79"/>
  <c r="Y51" i="79"/>
  <c r="Y52" i="79"/>
  <c r="Y53" i="79"/>
  <c r="Y54" i="79"/>
  <c r="Y55" i="79"/>
  <c r="Y56" i="79"/>
  <c r="Y57" i="79"/>
  <c r="Y58" i="79"/>
  <c r="Y59" i="79"/>
  <c r="Y60" i="79"/>
  <c r="Y61" i="79"/>
  <c r="Y62" i="79"/>
  <c r="Y63" i="79"/>
  <c r="Y64" i="79"/>
  <c r="Y65" i="79"/>
  <c r="Y66" i="79"/>
  <c r="Y67" i="79"/>
  <c r="Y68" i="79"/>
  <c r="Y69" i="79"/>
  <c r="Y70" i="79"/>
  <c r="Y71" i="79"/>
  <c r="Y72" i="79"/>
  <c r="Y73" i="79"/>
  <c r="Y74" i="79"/>
  <c r="Y75" i="79"/>
  <c r="Y76" i="79"/>
  <c r="Y77" i="79"/>
  <c r="Y78" i="79"/>
  <c r="Y79" i="79"/>
  <c r="Y80" i="79"/>
  <c r="Y81" i="79"/>
  <c r="Y82" i="79"/>
  <c r="Y83" i="79"/>
  <c r="Y84" i="79"/>
  <c r="Y85" i="79"/>
  <c r="Y86" i="79"/>
  <c r="Y87" i="79"/>
  <c r="Y88" i="79"/>
  <c r="Y89" i="79"/>
  <c r="Y90" i="79"/>
  <c r="Y91" i="79"/>
  <c r="Y92" i="79"/>
  <c r="Y93" i="79"/>
  <c r="Y94" i="79"/>
  <c r="Y95" i="79"/>
  <c r="Y96" i="79"/>
  <c r="Y97" i="79"/>
  <c r="Y98" i="79"/>
  <c r="Y99" i="79"/>
  <c r="Y100" i="79"/>
  <c r="Y101" i="79"/>
  <c r="Y102" i="79"/>
  <c r="Y103" i="79"/>
  <c r="Y104" i="79"/>
  <c r="Y105" i="79"/>
  <c r="Y106" i="79"/>
  <c r="Y107" i="79"/>
  <c r="Y108" i="79"/>
  <c r="Y109" i="79"/>
  <c r="Y110" i="79"/>
  <c r="Y111" i="79"/>
  <c r="Y112" i="79"/>
  <c r="Y113" i="79"/>
  <c r="Y114" i="79"/>
  <c r="Y115" i="79"/>
  <c r="Y116" i="79"/>
  <c r="Y117" i="79"/>
  <c r="Y118" i="79"/>
  <c r="Y119" i="79"/>
  <c r="Y120" i="79"/>
  <c r="Y121" i="79"/>
  <c r="Y122" i="79"/>
  <c r="Y123" i="79"/>
  <c r="Y124" i="79"/>
  <c r="Y125" i="79"/>
  <c r="Y126" i="79"/>
  <c r="Y127" i="79"/>
  <c r="Y128" i="79"/>
  <c r="Y129" i="79"/>
  <c r="Y130" i="79"/>
  <c r="Y131" i="79"/>
  <c r="Y132" i="79"/>
  <c r="Y133" i="79"/>
  <c r="Y134" i="79"/>
  <c r="Y135" i="79"/>
  <c r="Y136" i="79"/>
  <c r="Y137" i="79"/>
  <c r="Y138" i="79"/>
  <c r="Y139" i="79"/>
  <c r="Y140" i="79"/>
  <c r="Y141" i="79"/>
  <c r="Y142" i="79"/>
  <c r="Y143" i="79"/>
  <c r="Y144" i="79"/>
  <c r="Y145" i="79"/>
  <c r="Y146" i="79"/>
  <c r="Y147" i="79"/>
  <c r="Y148" i="79"/>
  <c r="Y149" i="79"/>
  <c r="Y150" i="79"/>
  <c r="Y151" i="79"/>
  <c r="Y152" i="79"/>
  <c r="Y153" i="79"/>
  <c r="Y154" i="79"/>
  <c r="Y155" i="79"/>
  <c r="Y156" i="79"/>
  <c r="Y157" i="79"/>
  <c r="Y158" i="79"/>
  <c r="Y159" i="79"/>
  <c r="Y160" i="79"/>
  <c r="Y161" i="79"/>
  <c r="Y162" i="79"/>
  <c r="Y163" i="79"/>
  <c r="Y164" i="79"/>
  <c r="Y165" i="79"/>
  <c r="Y166" i="79"/>
  <c r="Y167" i="79"/>
  <c r="Y168" i="79"/>
  <c r="Y169" i="79"/>
  <c r="Y170" i="79"/>
  <c r="Y171" i="79"/>
  <c r="Y172" i="79"/>
  <c r="Y173" i="79"/>
  <c r="Y174" i="79"/>
  <c r="Y175" i="79"/>
  <c r="Y176" i="79"/>
  <c r="Y177" i="79"/>
  <c r="Y178" i="79"/>
  <c r="Y179" i="79"/>
  <c r="Y180" i="79"/>
  <c r="Y181" i="79"/>
  <c r="Y182" i="79"/>
  <c r="Y183" i="79"/>
  <c r="Y184" i="79"/>
  <c r="Y185" i="79"/>
  <c r="Y186" i="79"/>
  <c r="Y187" i="79"/>
  <c r="Y188" i="79"/>
  <c r="Y189" i="79"/>
  <c r="Y190" i="79"/>
  <c r="Y191" i="79"/>
  <c r="Y192" i="79"/>
  <c r="Y193" i="79"/>
  <c r="Y194" i="79"/>
  <c r="Y195" i="79"/>
  <c r="Y196" i="79"/>
  <c r="Y197" i="79"/>
  <c r="Y198" i="79"/>
  <c r="Y199" i="79"/>
  <c r="Y200" i="79"/>
  <c r="Y201" i="79"/>
  <c r="Y202" i="79"/>
  <c r="Y203" i="79"/>
  <c r="Y204" i="79"/>
  <c r="Y205" i="79"/>
  <c r="Y206" i="79"/>
  <c r="Y207" i="79"/>
  <c r="Y208" i="79"/>
  <c r="Y209" i="79"/>
  <c r="Y210" i="79"/>
  <c r="Y211" i="79"/>
  <c r="Y212" i="79"/>
  <c r="Y213" i="79"/>
  <c r="Y214" i="79"/>
  <c r="Y215" i="79"/>
  <c r="Y216" i="79"/>
  <c r="Y217" i="79"/>
  <c r="Y218" i="79"/>
  <c r="Y219" i="79"/>
  <c r="Y220" i="79"/>
  <c r="Y221" i="79"/>
  <c r="Y222" i="79"/>
  <c r="Y223" i="79"/>
  <c r="Y224" i="79"/>
  <c r="Y225" i="79"/>
  <c r="Y226" i="79"/>
  <c r="Y227" i="79"/>
  <c r="Y228" i="79"/>
  <c r="Y229" i="79"/>
  <c r="Y230" i="79"/>
  <c r="Y231" i="79"/>
  <c r="Y232" i="79"/>
  <c r="Y233" i="79"/>
  <c r="Y234" i="79"/>
  <c r="Y235" i="79"/>
  <c r="Y236" i="79"/>
  <c r="Y237" i="79"/>
  <c r="Y238" i="79"/>
  <c r="Y239" i="79"/>
  <c r="Y240" i="79"/>
  <c r="Y241" i="79"/>
  <c r="Y242" i="79"/>
  <c r="Y243" i="79"/>
  <c r="Y244" i="79"/>
  <c r="Y245" i="79"/>
  <c r="Y246" i="79"/>
  <c r="Y247" i="79"/>
  <c r="Y248" i="79"/>
  <c r="Y249" i="79"/>
  <c r="Y250" i="79"/>
  <c r="Y251" i="79"/>
  <c r="Y252" i="79"/>
  <c r="Y253" i="79"/>
  <c r="Y254" i="79"/>
  <c r="Y255" i="79"/>
  <c r="Y256" i="79"/>
  <c r="Y257" i="79"/>
  <c r="Y258" i="79"/>
  <c r="Y259" i="79"/>
  <c r="Y260" i="79"/>
  <c r="Y261" i="79"/>
  <c r="Y262" i="79"/>
  <c r="Y263" i="79"/>
  <c r="Y264" i="79"/>
  <c r="Y265" i="79"/>
  <c r="Y266" i="79"/>
  <c r="Y267" i="79"/>
  <c r="Y268" i="79"/>
  <c r="Y269" i="79"/>
  <c r="Y270" i="79"/>
  <c r="Y271" i="79"/>
  <c r="Y272" i="79"/>
  <c r="Y273" i="79"/>
  <c r="Y274" i="79"/>
  <c r="Y275" i="79"/>
  <c r="Y276" i="79"/>
  <c r="Y277" i="79"/>
  <c r="Y278" i="79"/>
  <c r="Y279" i="79"/>
  <c r="Y280" i="79"/>
  <c r="Y281" i="79"/>
  <c r="Y282" i="79"/>
  <c r="Y283" i="79"/>
  <c r="Y284" i="79"/>
  <c r="Y285" i="79"/>
  <c r="Y286" i="79"/>
  <c r="Y287" i="79"/>
  <c r="Y288" i="79"/>
  <c r="Y289" i="79"/>
  <c r="Y290" i="79"/>
  <c r="Y291" i="79"/>
  <c r="Y292" i="79"/>
  <c r="Y293" i="79"/>
  <c r="Y294" i="79"/>
  <c r="Y295" i="79"/>
  <c r="Y296" i="79"/>
  <c r="Y297" i="79"/>
  <c r="Y298" i="79"/>
  <c r="Y299" i="79"/>
  <c r="Y300" i="79"/>
  <c r="Y301" i="79"/>
  <c r="Y302" i="79"/>
  <c r="Y303" i="79"/>
  <c r="Y304" i="79"/>
  <c r="Y305" i="79"/>
  <c r="Y306" i="79"/>
  <c r="Y307" i="79"/>
  <c r="Y308" i="79"/>
  <c r="Y309" i="79"/>
  <c r="Y310" i="79"/>
  <c r="Y311" i="79"/>
  <c r="Y312" i="79"/>
  <c r="Y313" i="79"/>
  <c r="Y314" i="79"/>
  <c r="Y315" i="79"/>
  <c r="Y316" i="79"/>
  <c r="Y317" i="79"/>
  <c r="Y318" i="79"/>
  <c r="Y319" i="79"/>
  <c r="Y320" i="79"/>
  <c r="Y321" i="79"/>
  <c r="Y322" i="79"/>
  <c r="Y323" i="79"/>
  <c r="Y324" i="79"/>
  <c r="Y325" i="79"/>
  <c r="Y326" i="79"/>
  <c r="Y327" i="79"/>
  <c r="Y328" i="79"/>
  <c r="Y329" i="79"/>
  <c r="Y330" i="79"/>
  <c r="Y331" i="79"/>
  <c r="Y332" i="79"/>
  <c r="Y333" i="79"/>
  <c r="Y334" i="79"/>
  <c r="Y335" i="79"/>
  <c r="Y336" i="79"/>
  <c r="Y337" i="79"/>
  <c r="Y338" i="79"/>
  <c r="Y339" i="79"/>
  <c r="Y340" i="79"/>
  <c r="Y341" i="79"/>
  <c r="Y342" i="79"/>
  <c r="Y343" i="79"/>
  <c r="Y344" i="79"/>
  <c r="Y345" i="79"/>
  <c r="Y346" i="79"/>
  <c r="Y347" i="79"/>
  <c r="Y348" i="79"/>
  <c r="Y349" i="79"/>
  <c r="Y350" i="79"/>
  <c r="Y351" i="79"/>
  <c r="Y352" i="79"/>
  <c r="Y353" i="79"/>
  <c r="Y354" i="79"/>
  <c r="Y355" i="79"/>
  <c r="Y356" i="79"/>
  <c r="Y357" i="79"/>
  <c r="Y358" i="79"/>
  <c r="Y359" i="79"/>
  <c r="Y360" i="79"/>
  <c r="Y361" i="79"/>
  <c r="Y362" i="79"/>
  <c r="Y363" i="79"/>
  <c r="Y364" i="79"/>
  <c r="Y365" i="79"/>
  <c r="Y366" i="79"/>
  <c r="Y367" i="79"/>
  <c r="Y368" i="79"/>
  <c r="Y369" i="79"/>
  <c r="Y370" i="79"/>
  <c r="Y371" i="79"/>
  <c r="Y372" i="79"/>
  <c r="Y373" i="79"/>
  <c r="Y374" i="79"/>
  <c r="Y375" i="79"/>
  <c r="Y376" i="79"/>
  <c r="Y377" i="79"/>
  <c r="Y378" i="79"/>
  <c r="Y379" i="79"/>
  <c r="Y380" i="79"/>
  <c r="Y381" i="79"/>
  <c r="Y382" i="79"/>
  <c r="Y383" i="79"/>
  <c r="Y384" i="79"/>
  <c r="Y385" i="79"/>
  <c r="Y386" i="79"/>
  <c r="Y387" i="79"/>
  <c r="Y388" i="79"/>
  <c r="Y389" i="79"/>
  <c r="Y390" i="79"/>
  <c r="Y391" i="79"/>
  <c r="Y392" i="79"/>
  <c r="Y393" i="79"/>
  <c r="Y394" i="79"/>
  <c r="Y395" i="79"/>
  <c r="Y396" i="79"/>
  <c r="Y397" i="79"/>
  <c r="Y398" i="79"/>
  <c r="Y399" i="79"/>
  <c r="Y400" i="79"/>
  <c r="Y401" i="79"/>
  <c r="Y402" i="79"/>
  <c r="Y403" i="79"/>
  <c r="Y404" i="79"/>
  <c r="Y405" i="79"/>
  <c r="Y406" i="79"/>
  <c r="Y407" i="79"/>
  <c r="Y408" i="79"/>
  <c r="Y409" i="79"/>
  <c r="Y410" i="79"/>
  <c r="Y411" i="79"/>
  <c r="Y412" i="79"/>
  <c r="Y413" i="79"/>
  <c r="Y414" i="79"/>
  <c r="Y415" i="79"/>
  <c r="Y416" i="79"/>
  <c r="Y417" i="79"/>
  <c r="Y418" i="79"/>
  <c r="Y419" i="79"/>
  <c r="Y420" i="79"/>
  <c r="Y421" i="79"/>
  <c r="Y422" i="79"/>
  <c r="Y423" i="79"/>
  <c r="Y424" i="79"/>
  <c r="Y425" i="79"/>
  <c r="Y426" i="79"/>
  <c r="Y427" i="79"/>
  <c r="Y428" i="79"/>
  <c r="Y429" i="79"/>
  <c r="Y430" i="79"/>
  <c r="Y431" i="79"/>
  <c r="Y432" i="79"/>
  <c r="Y433" i="79"/>
  <c r="Y434" i="79"/>
  <c r="Y435" i="79"/>
  <c r="Y436" i="79"/>
  <c r="Y437" i="79"/>
  <c r="Y438" i="79"/>
  <c r="Y439" i="79"/>
  <c r="Y440" i="79"/>
  <c r="Y441" i="79"/>
  <c r="Y442" i="79"/>
  <c r="Y443" i="79"/>
  <c r="Y444" i="79"/>
  <c r="Y445" i="79"/>
  <c r="Y446" i="79"/>
  <c r="Y447" i="79"/>
  <c r="Y448" i="79"/>
  <c r="Y449" i="79"/>
  <c r="Y450" i="79"/>
  <c r="Y451" i="79"/>
  <c r="Y452" i="79"/>
  <c r="Y453" i="79"/>
  <c r="Y454" i="79"/>
  <c r="Y455" i="79"/>
  <c r="Y456" i="79"/>
  <c r="Y457" i="79"/>
  <c r="Y458" i="79"/>
  <c r="Y459" i="79"/>
  <c r="Y460" i="79"/>
  <c r="Y461" i="79"/>
  <c r="Y462" i="79"/>
  <c r="Y463" i="79"/>
  <c r="Y464" i="79"/>
  <c r="Y465" i="79"/>
  <c r="Y466" i="79"/>
  <c r="Y467" i="79"/>
  <c r="Y468" i="79"/>
  <c r="Y469" i="79"/>
  <c r="Y470" i="79"/>
  <c r="Y471" i="79"/>
  <c r="Y472" i="79"/>
  <c r="Y473" i="79"/>
  <c r="Y474" i="79"/>
  <c r="Y475" i="79"/>
  <c r="Y476" i="79"/>
  <c r="Y477" i="79"/>
  <c r="Y478" i="79"/>
  <c r="Y479" i="79"/>
  <c r="Y480" i="79"/>
  <c r="Y481" i="79"/>
  <c r="Y482" i="79"/>
  <c r="Y483" i="79"/>
  <c r="Y484" i="79"/>
  <c r="Y485" i="79"/>
  <c r="Y486" i="79"/>
  <c r="Y487" i="79"/>
  <c r="Y488" i="79"/>
  <c r="Y489" i="79"/>
  <c r="Y490" i="79"/>
  <c r="Y491" i="79"/>
  <c r="Y492" i="79"/>
  <c r="Y493" i="79"/>
  <c r="Y494" i="79"/>
  <c r="Y495" i="79"/>
  <c r="Y496" i="79"/>
  <c r="Y497" i="79"/>
  <c r="Y498" i="79"/>
  <c r="Y499" i="79"/>
  <c r="Y500" i="79"/>
  <c r="Y501" i="79"/>
  <c r="Y502" i="79"/>
  <c r="Y503" i="79"/>
  <c r="Y504" i="79"/>
  <c r="Y505" i="79"/>
  <c r="Y506" i="79"/>
  <c r="Y507" i="79"/>
  <c r="Y508" i="79"/>
  <c r="Y509" i="79"/>
  <c r="Y510" i="79"/>
  <c r="Y511" i="79"/>
  <c r="Y512" i="79"/>
  <c r="Y513" i="79"/>
  <c r="Y514" i="79"/>
  <c r="Y515" i="79"/>
  <c r="Y516" i="79"/>
  <c r="Y517" i="79"/>
  <c r="Y518" i="79"/>
  <c r="Y519" i="79"/>
  <c r="Y520" i="79"/>
  <c r="Y521" i="79"/>
  <c r="Y522" i="79"/>
  <c r="Y523" i="79"/>
  <c r="Y524" i="79"/>
  <c r="Y525" i="79"/>
  <c r="Y526" i="79"/>
  <c r="Y527" i="79"/>
  <c r="Y528" i="79"/>
  <c r="Y529" i="79"/>
  <c r="Y530" i="79"/>
  <c r="Y531" i="79"/>
  <c r="Y532" i="79"/>
  <c r="Y533" i="79"/>
  <c r="Y534" i="79"/>
  <c r="Y535" i="79"/>
  <c r="Y536" i="79"/>
  <c r="Y537" i="79"/>
  <c r="Y538" i="79"/>
  <c r="Y539" i="79"/>
  <c r="Y540" i="79"/>
  <c r="Y541" i="79"/>
  <c r="Y542" i="79"/>
  <c r="Y543" i="79"/>
  <c r="Y544" i="79"/>
  <c r="Y545" i="79"/>
  <c r="Y546" i="79"/>
  <c r="Y547" i="79"/>
  <c r="Y548" i="79"/>
  <c r="Y549" i="79"/>
  <c r="Y550" i="79"/>
  <c r="Y551" i="79"/>
  <c r="Y552" i="79"/>
  <c r="Y553" i="79"/>
  <c r="Y554" i="79"/>
  <c r="Y555" i="79"/>
  <c r="Y556" i="79"/>
  <c r="Y557" i="79"/>
  <c r="Y561" i="79"/>
  <c r="Y562" i="79"/>
  <c r="X564" i="79"/>
  <c r="X565" i="79"/>
  <c r="AY562" i="79"/>
  <c r="AX562" i="79"/>
  <c r="AW562" i="79"/>
  <c r="AV10" i="79"/>
  <c r="AV11" i="79"/>
  <c r="AV12" i="79"/>
  <c r="AV13" i="79"/>
  <c r="AV14" i="79"/>
  <c r="AV15" i="79"/>
  <c r="AV16" i="79"/>
  <c r="AV17" i="79"/>
  <c r="AV18" i="79"/>
  <c r="AV19" i="79"/>
  <c r="AV20" i="79"/>
  <c r="AV21" i="79"/>
  <c r="AV22" i="79"/>
  <c r="AV23" i="79"/>
  <c r="AV24" i="79"/>
  <c r="AV25" i="79"/>
  <c r="AV26" i="79"/>
  <c r="AV27" i="79"/>
  <c r="AV28" i="79"/>
  <c r="AV29" i="79"/>
  <c r="AV30" i="79"/>
  <c r="AV31" i="79"/>
  <c r="AV32" i="79"/>
  <c r="AV33" i="79"/>
  <c r="AV34" i="79"/>
  <c r="AV35" i="79"/>
  <c r="AV36" i="79"/>
  <c r="AV37" i="79"/>
  <c r="AV38" i="79"/>
  <c r="AV39" i="79"/>
  <c r="AV40" i="79"/>
  <c r="AV41" i="79"/>
  <c r="AV42" i="79"/>
  <c r="AV43" i="79"/>
  <c r="AV44" i="79"/>
  <c r="AV45" i="79"/>
  <c r="AV46" i="79"/>
  <c r="AV47" i="79"/>
  <c r="AV48" i="79"/>
  <c r="AV49" i="79"/>
  <c r="AV50" i="79"/>
  <c r="AV51" i="79"/>
  <c r="AV52" i="79"/>
  <c r="AV53" i="79"/>
  <c r="AV54" i="79"/>
  <c r="AV55" i="79"/>
  <c r="AV56" i="79"/>
  <c r="AV57" i="79"/>
  <c r="AV58" i="79"/>
  <c r="AV59" i="79"/>
  <c r="AV60" i="79"/>
  <c r="AV61" i="79"/>
  <c r="AV62" i="79"/>
  <c r="AV63" i="79"/>
  <c r="AV64" i="79"/>
  <c r="AV65" i="79"/>
  <c r="AV66" i="79"/>
  <c r="AV67" i="79"/>
  <c r="AV68" i="79"/>
  <c r="AV69" i="79"/>
  <c r="AV70" i="79"/>
  <c r="AV71" i="79"/>
  <c r="AV72" i="79"/>
  <c r="AV73" i="79"/>
  <c r="AV74" i="79"/>
  <c r="AV75" i="79"/>
  <c r="AV76" i="79"/>
  <c r="AV77" i="79"/>
  <c r="AV78" i="79"/>
  <c r="AV79" i="79"/>
  <c r="AV80" i="79"/>
  <c r="AV81" i="79"/>
  <c r="AV82" i="79"/>
  <c r="AV83" i="79"/>
  <c r="AV84" i="79"/>
  <c r="AV85" i="79"/>
  <c r="AV86" i="79"/>
  <c r="AV87" i="79"/>
  <c r="AV88" i="79"/>
  <c r="AV89" i="79"/>
  <c r="AV90" i="79"/>
  <c r="AV91" i="79"/>
  <c r="AV92" i="79"/>
  <c r="AV93" i="79"/>
  <c r="AV94" i="79"/>
  <c r="AV95" i="79"/>
  <c r="AV96" i="79"/>
  <c r="AV97" i="79"/>
  <c r="AV98" i="79"/>
  <c r="AV99" i="79"/>
  <c r="AV100" i="79"/>
  <c r="AV101" i="79"/>
  <c r="AV102" i="79"/>
  <c r="AV103" i="79"/>
  <c r="AV104" i="79"/>
  <c r="AV105" i="79"/>
  <c r="AV106" i="79"/>
  <c r="AV107" i="79"/>
  <c r="AV108" i="79"/>
  <c r="AV109" i="79"/>
  <c r="AV110" i="79"/>
  <c r="AV111" i="79"/>
  <c r="AV112" i="79"/>
  <c r="AV113" i="79"/>
  <c r="AV114" i="79"/>
  <c r="AV115" i="79"/>
  <c r="AV116" i="79"/>
  <c r="AV117" i="79"/>
  <c r="AV118" i="79"/>
  <c r="AV119" i="79"/>
  <c r="AV120" i="79"/>
  <c r="AV121" i="79"/>
  <c r="AV122" i="79"/>
  <c r="AV123" i="79"/>
  <c r="AV124" i="79"/>
  <c r="AV125" i="79"/>
  <c r="AV126" i="79"/>
  <c r="AV127" i="79"/>
  <c r="AV128" i="79"/>
  <c r="AV129" i="79"/>
  <c r="AV130" i="79"/>
  <c r="AV131" i="79"/>
  <c r="AV132" i="79"/>
  <c r="AV133" i="79"/>
  <c r="AV134" i="79"/>
  <c r="AV135" i="79"/>
  <c r="AV136" i="79"/>
  <c r="AV137" i="79"/>
  <c r="AV138" i="79"/>
  <c r="AV139" i="79"/>
  <c r="AV140" i="79"/>
  <c r="AV141" i="79"/>
  <c r="AV142" i="79"/>
  <c r="AV143" i="79"/>
  <c r="AV144" i="79"/>
  <c r="AV145" i="79"/>
  <c r="AV146" i="79"/>
  <c r="AV147" i="79"/>
  <c r="AV148" i="79"/>
  <c r="AV149" i="79"/>
  <c r="AV150" i="79"/>
  <c r="AV151" i="79"/>
  <c r="AV152" i="79"/>
  <c r="AV153" i="79"/>
  <c r="AV154" i="79"/>
  <c r="AV155" i="79"/>
  <c r="AV156" i="79"/>
  <c r="AV157" i="79"/>
  <c r="AV158" i="79"/>
  <c r="AV159" i="79"/>
  <c r="AV160" i="79"/>
  <c r="AV161" i="79"/>
  <c r="AV162" i="79"/>
  <c r="AV163" i="79"/>
  <c r="AV164" i="79"/>
  <c r="AV165" i="79"/>
  <c r="AV166" i="79"/>
  <c r="AV167" i="79"/>
  <c r="AV168" i="79"/>
  <c r="AV169" i="79"/>
  <c r="AV170" i="79"/>
  <c r="AV171" i="79"/>
  <c r="AV172" i="79"/>
  <c r="AV173" i="79"/>
  <c r="AV174" i="79"/>
  <c r="AV175" i="79"/>
  <c r="AV176" i="79"/>
  <c r="AV177" i="79"/>
  <c r="AV178" i="79"/>
  <c r="AV179" i="79"/>
  <c r="AV180" i="79"/>
  <c r="AV181" i="79"/>
  <c r="AV182" i="79"/>
  <c r="AV183" i="79"/>
  <c r="AV184" i="79"/>
  <c r="AV185" i="79"/>
  <c r="AV186" i="79"/>
  <c r="AV187" i="79"/>
  <c r="AV188" i="79"/>
  <c r="AV189" i="79"/>
  <c r="AV190" i="79"/>
  <c r="AV191" i="79"/>
  <c r="AV192" i="79"/>
  <c r="AV193" i="79"/>
  <c r="AV194" i="79"/>
  <c r="AV195" i="79"/>
  <c r="AV196" i="79"/>
  <c r="AV197" i="79"/>
  <c r="AV198" i="79"/>
  <c r="AV199" i="79"/>
  <c r="AV200" i="79"/>
  <c r="AV201" i="79"/>
  <c r="AV202" i="79"/>
  <c r="AV203" i="79"/>
  <c r="AV204" i="79"/>
  <c r="AV205" i="79"/>
  <c r="AV206" i="79"/>
  <c r="AV207" i="79"/>
  <c r="AV208" i="79"/>
  <c r="AV209" i="79"/>
  <c r="AV210" i="79"/>
  <c r="AV211" i="79"/>
  <c r="AV212" i="79"/>
  <c r="AV213" i="79"/>
  <c r="AV214" i="79"/>
  <c r="AV215" i="79"/>
  <c r="AV216" i="79"/>
  <c r="AV217" i="79"/>
  <c r="AV218" i="79"/>
  <c r="AV219" i="79"/>
  <c r="AV220" i="79"/>
  <c r="AV221" i="79"/>
  <c r="AV222" i="79"/>
  <c r="AV223" i="79"/>
  <c r="AV224" i="79"/>
  <c r="AV225" i="79"/>
  <c r="AV226" i="79"/>
  <c r="AV227" i="79"/>
  <c r="AV228" i="79"/>
  <c r="AV229" i="79"/>
  <c r="AV230" i="79"/>
  <c r="AV231" i="79"/>
  <c r="AV232" i="79"/>
  <c r="AV233" i="79"/>
  <c r="AV234" i="79"/>
  <c r="AV235" i="79"/>
  <c r="AV236" i="79"/>
  <c r="AV237" i="79"/>
  <c r="AV238" i="79"/>
  <c r="AV239" i="79"/>
  <c r="AV240" i="79"/>
  <c r="AV241" i="79"/>
  <c r="AV242" i="79"/>
  <c r="AV243" i="79"/>
  <c r="AV244" i="79"/>
  <c r="AV245" i="79"/>
  <c r="AV246" i="79"/>
  <c r="AV247" i="79"/>
  <c r="AV248" i="79"/>
  <c r="AV249" i="79"/>
  <c r="AV250" i="79"/>
  <c r="AV251" i="79"/>
  <c r="AV562" i="79"/>
  <c r="AU10" i="79"/>
  <c r="AU11" i="79"/>
  <c r="AU12" i="79"/>
  <c r="AU13" i="79"/>
  <c r="AU14" i="79"/>
  <c r="AU15" i="79"/>
  <c r="AU16" i="79"/>
  <c r="AU17" i="79"/>
  <c r="AU18" i="79"/>
  <c r="AU19" i="79"/>
  <c r="AU20" i="79"/>
  <c r="AU21" i="79"/>
  <c r="AU22" i="79"/>
  <c r="AU23" i="79"/>
  <c r="AU24" i="79"/>
  <c r="AU25" i="79"/>
  <c r="AU26" i="79"/>
  <c r="AU27" i="79"/>
  <c r="AU28" i="79"/>
  <c r="AU29" i="79"/>
  <c r="AU30" i="79"/>
  <c r="AU31" i="79"/>
  <c r="AU32" i="79"/>
  <c r="AU33" i="79"/>
  <c r="AU34" i="79"/>
  <c r="AU35" i="79"/>
  <c r="AU36" i="79"/>
  <c r="AU37" i="79"/>
  <c r="AU38" i="79"/>
  <c r="AU39" i="79"/>
  <c r="AU40" i="79"/>
  <c r="AU41" i="79"/>
  <c r="AU42" i="79"/>
  <c r="AU43" i="79"/>
  <c r="AU44" i="79"/>
  <c r="AU45" i="79"/>
  <c r="AU46" i="79"/>
  <c r="AU47" i="79"/>
  <c r="AU48" i="79"/>
  <c r="AU49" i="79"/>
  <c r="AU50" i="79"/>
  <c r="AU51" i="79"/>
  <c r="AU52" i="79"/>
  <c r="AU53" i="79"/>
  <c r="AU54" i="79"/>
  <c r="AU55" i="79"/>
  <c r="AU56" i="79"/>
  <c r="AU57" i="79"/>
  <c r="AU58" i="79"/>
  <c r="AU59" i="79"/>
  <c r="AU60" i="79"/>
  <c r="AU61" i="79"/>
  <c r="AU62" i="79"/>
  <c r="AU63" i="79"/>
  <c r="AU64" i="79"/>
  <c r="AU65" i="79"/>
  <c r="AU66" i="79"/>
  <c r="AU67" i="79"/>
  <c r="AU68" i="79"/>
  <c r="AU69" i="79"/>
  <c r="AU70" i="79"/>
  <c r="AU71" i="79"/>
  <c r="AU72" i="79"/>
  <c r="AU73" i="79"/>
  <c r="AU74" i="79"/>
  <c r="AU75" i="79"/>
  <c r="AU76" i="79"/>
  <c r="AU77" i="79"/>
  <c r="AU78" i="79"/>
  <c r="AU79" i="79"/>
  <c r="AU80" i="79"/>
  <c r="AU81" i="79"/>
  <c r="AU82" i="79"/>
  <c r="AU83" i="79"/>
  <c r="AU84" i="79"/>
  <c r="AU85" i="79"/>
  <c r="AU86" i="79"/>
  <c r="AU87" i="79"/>
  <c r="AU88" i="79"/>
  <c r="AU89" i="79"/>
  <c r="AU90" i="79"/>
  <c r="AU91" i="79"/>
  <c r="AU92" i="79"/>
  <c r="AU93" i="79"/>
  <c r="AU94" i="79"/>
  <c r="AU95" i="79"/>
  <c r="AU96" i="79"/>
  <c r="AU97" i="79"/>
  <c r="AU98" i="79"/>
  <c r="AU99" i="79"/>
  <c r="AU100" i="79"/>
  <c r="AU101" i="79"/>
  <c r="AU102" i="79"/>
  <c r="AU103" i="79"/>
  <c r="AU104" i="79"/>
  <c r="AU105" i="79"/>
  <c r="AU106" i="79"/>
  <c r="AU107" i="79"/>
  <c r="AU108" i="79"/>
  <c r="AU109" i="79"/>
  <c r="AU110" i="79"/>
  <c r="AU111" i="79"/>
  <c r="AU112" i="79"/>
  <c r="AU113" i="79"/>
  <c r="AU114" i="79"/>
  <c r="AU115" i="79"/>
  <c r="AU116" i="79"/>
  <c r="AU117" i="79"/>
  <c r="AU118" i="79"/>
  <c r="AU119" i="79"/>
  <c r="AU120" i="79"/>
  <c r="AU121" i="79"/>
  <c r="AU122" i="79"/>
  <c r="AU123" i="79"/>
  <c r="AU124" i="79"/>
  <c r="AU125" i="79"/>
  <c r="AU126" i="79"/>
  <c r="AU127" i="79"/>
  <c r="AU128" i="79"/>
  <c r="AU129" i="79"/>
  <c r="AU130" i="79"/>
  <c r="AU131" i="79"/>
  <c r="AU132" i="79"/>
  <c r="AU133" i="79"/>
  <c r="AU134" i="79"/>
  <c r="AU135" i="79"/>
  <c r="AU136" i="79"/>
  <c r="AU137" i="79"/>
  <c r="AU138" i="79"/>
  <c r="AU139" i="79"/>
  <c r="AU140" i="79"/>
  <c r="AU141" i="79"/>
  <c r="AU142" i="79"/>
  <c r="AU143" i="79"/>
  <c r="AU144" i="79"/>
  <c r="AU145" i="79"/>
  <c r="AU146" i="79"/>
  <c r="AU147" i="79"/>
  <c r="AU148" i="79"/>
  <c r="AU149" i="79"/>
  <c r="AU150" i="79"/>
  <c r="AU151" i="79"/>
  <c r="AU152" i="79"/>
  <c r="AU153" i="79"/>
  <c r="AU154" i="79"/>
  <c r="AU155" i="79"/>
  <c r="AU156" i="79"/>
  <c r="AU157" i="79"/>
  <c r="AU158" i="79"/>
  <c r="AU159" i="79"/>
  <c r="AU160" i="79"/>
  <c r="AU161" i="79"/>
  <c r="AU162" i="79"/>
  <c r="AU163" i="79"/>
  <c r="AU164" i="79"/>
  <c r="AU165" i="79"/>
  <c r="AU166" i="79"/>
  <c r="AU167" i="79"/>
  <c r="AU168" i="79"/>
  <c r="AU169" i="79"/>
  <c r="AU170" i="79"/>
  <c r="AU171" i="79"/>
  <c r="AU172" i="79"/>
  <c r="AU173" i="79"/>
  <c r="AU174" i="79"/>
  <c r="AU175" i="79"/>
  <c r="AU176" i="79"/>
  <c r="AU177" i="79"/>
  <c r="AU178" i="79"/>
  <c r="AU179" i="79"/>
  <c r="AU180" i="79"/>
  <c r="AU181" i="79"/>
  <c r="AU182" i="79"/>
  <c r="AU183" i="79"/>
  <c r="AU184" i="79"/>
  <c r="AU185" i="79"/>
  <c r="AU186" i="79"/>
  <c r="AU187" i="79"/>
  <c r="AU188" i="79"/>
  <c r="AU189" i="79"/>
  <c r="AU190" i="79"/>
  <c r="AU191" i="79"/>
  <c r="AU192" i="79"/>
  <c r="AU193" i="79"/>
  <c r="AU194" i="79"/>
  <c r="AU195" i="79"/>
  <c r="AU196" i="79"/>
  <c r="AU197" i="79"/>
  <c r="AU198" i="79"/>
  <c r="AU199" i="79"/>
  <c r="AU200" i="79"/>
  <c r="AU201" i="79"/>
  <c r="AU202" i="79"/>
  <c r="AU203" i="79"/>
  <c r="AU204" i="79"/>
  <c r="AU205" i="79"/>
  <c r="AU206" i="79"/>
  <c r="AU207" i="79"/>
  <c r="AU208" i="79"/>
  <c r="AU209" i="79"/>
  <c r="AU210" i="79"/>
  <c r="AU211" i="79"/>
  <c r="AU212" i="79"/>
  <c r="AU213" i="79"/>
  <c r="AU214" i="79"/>
  <c r="AU215" i="79"/>
  <c r="AU216" i="79"/>
  <c r="AU217" i="79"/>
  <c r="AU218" i="79"/>
  <c r="AU219" i="79"/>
  <c r="AU220" i="79"/>
  <c r="AU221" i="79"/>
  <c r="AU222" i="79"/>
  <c r="AU223" i="79"/>
  <c r="AU224" i="79"/>
  <c r="AU225" i="79"/>
  <c r="AU226" i="79"/>
  <c r="AU227" i="79"/>
  <c r="AU228" i="79"/>
  <c r="AU229" i="79"/>
  <c r="AU230" i="79"/>
  <c r="AU231" i="79"/>
  <c r="AU232" i="79"/>
  <c r="AU233" i="79"/>
  <c r="AU234" i="79"/>
  <c r="AU235" i="79"/>
  <c r="AU236" i="79"/>
  <c r="AU237" i="79"/>
  <c r="AU238" i="79"/>
  <c r="AU239" i="79"/>
  <c r="AU240" i="79"/>
  <c r="AU241" i="79"/>
  <c r="AU242" i="79"/>
  <c r="AU243" i="79"/>
  <c r="AU244" i="79"/>
  <c r="AU245" i="79"/>
  <c r="AU246" i="79"/>
  <c r="AU247" i="79"/>
  <c r="AU248" i="79"/>
  <c r="AU249" i="79"/>
  <c r="AU250" i="79"/>
  <c r="AU251" i="79"/>
  <c r="AU562" i="79"/>
  <c r="AT562" i="79"/>
  <c r="AS562" i="79"/>
  <c r="AR562" i="79"/>
  <c r="AN562" i="79"/>
  <c r="AL3" i="79"/>
  <c r="AL4" i="79"/>
  <c r="AL5" i="79"/>
  <c r="AL6" i="79"/>
  <c r="AL7" i="79"/>
  <c r="AL8" i="79"/>
  <c r="AL9" i="79"/>
  <c r="AL10" i="79"/>
  <c r="AL11" i="79"/>
  <c r="AL12" i="79"/>
  <c r="AL13" i="79"/>
  <c r="AL14" i="79"/>
  <c r="AL15" i="79"/>
  <c r="AL16" i="79"/>
  <c r="AL17" i="79"/>
  <c r="AL18" i="79"/>
  <c r="AL19" i="79"/>
  <c r="AL20" i="79"/>
  <c r="AL21" i="79"/>
  <c r="AL22" i="79"/>
  <c r="AL23" i="79"/>
  <c r="AL24" i="79"/>
  <c r="AL25" i="79"/>
  <c r="AL26" i="79"/>
  <c r="AL27" i="79"/>
  <c r="AL28" i="79"/>
  <c r="AL29" i="79"/>
  <c r="AL30" i="79"/>
  <c r="AL31" i="79"/>
  <c r="AL32" i="79"/>
  <c r="AL33" i="79"/>
  <c r="AL34" i="79"/>
  <c r="AL35" i="79"/>
  <c r="AL36" i="79"/>
  <c r="AL37" i="79"/>
  <c r="AL38" i="79"/>
  <c r="AL39" i="79"/>
  <c r="AL40" i="79"/>
  <c r="AL41" i="79"/>
  <c r="AL42" i="79"/>
  <c r="AL43" i="79"/>
  <c r="AL44" i="79"/>
  <c r="AL45" i="79"/>
  <c r="AL46" i="79"/>
  <c r="AL47" i="79"/>
  <c r="AL48" i="79"/>
  <c r="AL49" i="79"/>
  <c r="AL50" i="79"/>
  <c r="AL51" i="79"/>
  <c r="AL52" i="79"/>
  <c r="AL53" i="79"/>
  <c r="AL54" i="79"/>
  <c r="AL55" i="79"/>
  <c r="AL56" i="79"/>
  <c r="AL57" i="79"/>
  <c r="AL58" i="79"/>
  <c r="AL59" i="79"/>
  <c r="AL60" i="79"/>
  <c r="AL61" i="79"/>
  <c r="AL62" i="79"/>
  <c r="AL63" i="79"/>
  <c r="AL64" i="79"/>
  <c r="AL65" i="79"/>
  <c r="AL66" i="79"/>
  <c r="AL67" i="79"/>
  <c r="AL68" i="79"/>
  <c r="AL69" i="79"/>
  <c r="AL70" i="79"/>
  <c r="AL71" i="79"/>
  <c r="AL72" i="79"/>
  <c r="AL73" i="79"/>
  <c r="AL74" i="79"/>
  <c r="AL75" i="79"/>
  <c r="AL76" i="79"/>
  <c r="AL77" i="79"/>
  <c r="AL78" i="79"/>
  <c r="AL79" i="79"/>
  <c r="AL80" i="79"/>
  <c r="AL81" i="79"/>
  <c r="AL82" i="79"/>
  <c r="AL83" i="79"/>
  <c r="AL84" i="79"/>
  <c r="AL85" i="79"/>
  <c r="AL86" i="79"/>
  <c r="AL87" i="79"/>
  <c r="AL88" i="79"/>
  <c r="AL89" i="79"/>
  <c r="AL90" i="79"/>
  <c r="AL91" i="79"/>
  <c r="AL92" i="79"/>
  <c r="AL93" i="79"/>
  <c r="AL94" i="79"/>
  <c r="AL95" i="79"/>
  <c r="AL96" i="79"/>
  <c r="AL97" i="79"/>
  <c r="AL98" i="79"/>
  <c r="AL99" i="79"/>
  <c r="AL100" i="79"/>
  <c r="AL101" i="79"/>
  <c r="AL102" i="79"/>
  <c r="AL103" i="79"/>
  <c r="AL104" i="79"/>
  <c r="AL105" i="79"/>
  <c r="AL106" i="79"/>
  <c r="AL107" i="79"/>
  <c r="AL108" i="79"/>
  <c r="AL109" i="79"/>
  <c r="AL110" i="79"/>
  <c r="AL111" i="79"/>
  <c r="AL112" i="79"/>
  <c r="AL113" i="79"/>
  <c r="AL114" i="79"/>
  <c r="AL115" i="79"/>
  <c r="AL116" i="79"/>
  <c r="AL117" i="79"/>
  <c r="AL118" i="79"/>
  <c r="AL119" i="79"/>
  <c r="AL120" i="79"/>
  <c r="AL121" i="79"/>
  <c r="AL122" i="79"/>
  <c r="AL123" i="79"/>
  <c r="AL124" i="79"/>
  <c r="AL125" i="79"/>
  <c r="AL126" i="79"/>
  <c r="AL127" i="79"/>
  <c r="AL128" i="79"/>
  <c r="AL129" i="79"/>
  <c r="AL130" i="79"/>
  <c r="AL131" i="79"/>
  <c r="AL132" i="79"/>
  <c r="AL133" i="79"/>
  <c r="AL134" i="79"/>
  <c r="AL135" i="79"/>
  <c r="AL136" i="79"/>
  <c r="AL137" i="79"/>
  <c r="AL138" i="79"/>
  <c r="AL139" i="79"/>
  <c r="AL140" i="79"/>
  <c r="AL141" i="79"/>
  <c r="AL142" i="79"/>
  <c r="AL143" i="79"/>
  <c r="AL144" i="79"/>
  <c r="AL145" i="79"/>
  <c r="AL146" i="79"/>
  <c r="AL147" i="79"/>
  <c r="AL148" i="79"/>
  <c r="AL149" i="79"/>
  <c r="AL150" i="79"/>
  <c r="AL151" i="79"/>
  <c r="AL152" i="79"/>
  <c r="AL153" i="79"/>
  <c r="AL154" i="79"/>
  <c r="AL155" i="79"/>
  <c r="AL156" i="79"/>
  <c r="AL157" i="79"/>
  <c r="AL158" i="79"/>
  <c r="AL159" i="79"/>
  <c r="AL160" i="79"/>
  <c r="AL161" i="79"/>
  <c r="AL162" i="79"/>
  <c r="AL163" i="79"/>
  <c r="AL164" i="79"/>
  <c r="AL165" i="79"/>
  <c r="AL166" i="79"/>
  <c r="AL167" i="79"/>
  <c r="AL168" i="79"/>
  <c r="AL169" i="79"/>
  <c r="AL170" i="79"/>
  <c r="AL171" i="79"/>
  <c r="AL172" i="79"/>
  <c r="AL173" i="79"/>
  <c r="AL174" i="79"/>
  <c r="AL175" i="79"/>
  <c r="AL176" i="79"/>
  <c r="AL177" i="79"/>
  <c r="AL178" i="79"/>
  <c r="AL179" i="79"/>
  <c r="AL180" i="79"/>
  <c r="AL181" i="79"/>
  <c r="AL182" i="79"/>
  <c r="AL183" i="79"/>
  <c r="AL184" i="79"/>
  <c r="AL185" i="79"/>
  <c r="AL186" i="79"/>
  <c r="AL187" i="79"/>
  <c r="AL188" i="79"/>
  <c r="AL189" i="79"/>
  <c r="AL190" i="79"/>
  <c r="AL191" i="79"/>
  <c r="AL192" i="79"/>
  <c r="AL193" i="79"/>
  <c r="AL196" i="79"/>
  <c r="AL197" i="79"/>
  <c r="AL198" i="79"/>
  <c r="AL199" i="79"/>
  <c r="AL200" i="79"/>
  <c r="AL201" i="79"/>
  <c r="AL202" i="79"/>
  <c r="AL203" i="79"/>
  <c r="AL204" i="79"/>
  <c r="AL205" i="79"/>
  <c r="AL206" i="79"/>
  <c r="AL207" i="79"/>
  <c r="AL208" i="79"/>
  <c r="AL209" i="79"/>
  <c r="AL210" i="79"/>
  <c r="AL211" i="79"/>
  <c r="AL212" i="79"/>
  <c r="AL213" i="79"/>
  <c r="AL214" i="79"/>
  <c r="AL215" i="79"/>
  <c r="AL216" i="79"/>
  <c r="AL217" i="79"/>
  <c r="AL218" i="79"/>
  <c r="AL219" i="79"/>
  <c r="AL220" i="79"/>
  <c r="AL221" i="79"/>
  <c r="AL222" i="79"/>
  <c r="AL223" i="79"/>
  <c r="AL224" i="79"/>
  <c r="AL225" i="79"/>
  <c r="AL226" i="79"/>
  <c r="AL227" i="79"/>
  <c r="AL228" i="79"/>
  <c r="AL229" i="79"/>
  <c r="AL230" i="79"/>
  <c r="AL231" i="79"/>
  <c r="AL232" i="79"/>
  <c r="AL233" i="79"/>
  <c r="AL234" i="79"/>
  <c r="AL235" i="79"/>
  <c r="AL236" i="79"/>
  <c r="AL237" i="79"/>
  <c r="AL238" i="79"/>
  <c r="AL239" i="79"/>
  <c r="AL240" i="79"/>
  <c r="AL241" i="79"/>
  <c r="AL242" i="79"/>
  <c r="AL243" i="79"/>
  <c r="AL244" i="79"/>
  <c r="AL245" i="79"/>
  <c r="AL246" i="79"/>
  <c r="AL247" i="79"/>
  <c r="AL248" i="79"/>
  <c r="AL249" i="79"/>
  <c r="AL250" i="79"/>
  <c r="AL251" i="79"/>
  <c r="AL252" i="79"/>
  <c r="AL253" i="79"/>
  <c r="AL254" i="79"/>
  <c r="AL255" i="79"/>
  <c r="AL256" i="79"/>
  <c r="AL257" i="79"/>
  <c r="AL258" i="79"/>
  <c r="AL259" i="79"/>
  <c r="AL260" i="79"/>
  <c r="AL261" i="79"/>
  <c r="AL262" i="79"/>
  <c r="AL263" i="79"/>
  <c r="AL264" i="79"/>
  <c r="AL265" i="79"/>
  <c r="AL266" i="79"/>
  <c r="AL267" i="79"/>
  <c r="AL268" i="79"/>
  <c r="AL269" i="79"/>
  <c r="AL270" i="79"/>
  <c r="AL271" i="79"/>
  <c r="AL272" i="79"/>
  <c r="AL273" i="79"/>
  <c r="AL274" i="79"/>
  <c r="AL275" i="79"/>
  <c r="AL276" i="79"/>
  <c r="AL277" i="79"/>
  <c r="AL278" i="79"/>
  <c r="AL279" i="79"/>
  <c r="AL280" i="79"/>
  <c r="AL281" i="79"/>
  <c r="AL282" i="79"/>
  <c r="AL283" i="79"/>
  <c r="AL284" i="79"/>
  <c r="AL285" i="79"/>
  <c r="AL286" i="79"/>
  <c r="AL287" i="79"/>
  <c r="AL288" i="79"/>
  <c r="AL289" i="79"/>
  <c r="AL290" i="79"/>
  <c r="AL291" i="79"/>
  <c r="AL292" i="79"/>
  <c r="AL293" i="79"/>
  <c r="AL294" i="79"/>
  <c r="AL295" i="79"/>
  <c r="AL296" i="79"/>
  <c r="AL297" i="79"/>
  <c r="AL298" i="79"/>
  <c r="AL299" i="79"/>
  <c r="AL300" i="79"/>
  <c r="AL301" i="79"/>
  <c r="AL302" i="79"/>
  <c r="AL303" i="79"/>
  <c r="AL304" i="79"/>
  <c r="AL305" i="79"/>
  <c r="AL306" i="79"/>
  <c r="AL307" i="79"/>
  <c r="AL308" i="79"/>
  <c r="AL309" i="79"/>
  <c r="AL310" i="79"/>
  <c r="AL311" i="79"/>
  <c r="AL312" i="79"/>
  <c r="AL313" i="79"/>
  <c r="AL314" i="79"/>
  <c r="AL315" i="79"/>
  <c r="AL316" i="79"/>
  <c r="AL317" i="79"/>
  <c r="AL318" i="79"/>
  <c r="AL319" i="79"/>
  <c r="AL320" i="79"/>
  <c r="AL321" i="79"/>
  <c r="AL322" i="79"/>
  <c r="AL323" i="79"/>
  <c r="AL324" i="79"/>
  <c r="AL325" i="79"/>
  <c r="AL326" i="79"/>
  <c r="AL327" i="79"/>
  <c r="AL328" i="79"/>
  <c r="AL329" i="79"/>
  <c r="AL330" i="79"/>
  <c r="AL331" i="79"/>
  <c r="AL332" i="79"/>
  <c r="AL333" i="79"/>
  <c r="AL334" i="79"/>
  <c r="AL335" i="79"/>
  <c r="AL336" i="79"/>
  <c r="AL337" i="79"/>
  <c r="AL338" i="79"/>
  <c r="AL339" i="79"/>
  <c r="AL340" i="79"/>
  <c r="AL341" i="79"/>
  <c r="AL342" i="79"/>
  <c r="AL343" i="79"/>
  <c r="AL344" i="79"/>
  <c r="AL345" i="79"/>
  <c r="AL346" i="79"/>
  <c r="AL347" i="79"/>
  <c r="AL348" i="79"/>
  <c r="AL349" i="79"/>
  <c r="AL350" i="79"/>
  <c r="AL351" i="79"/>
  <c r="AL352" i="79"/>
  <c r="AL353" i="79"/>
  <c r="AL354" i="79"/>
  <c r="AL355" i="79"/>
  <c r="AL356" i="79"/>
  <c r="AL357" i="79"/>
  <c r="AL358" i="79"/>
  <c r="AL359" i="79"/>
  <c r="AL360" i="79"/>
  <c r="AL361" i="79"/>
  <c r="AL362" i="79"/>
  <c r="AL363" i="79"/>
  <c r="AL364" i="79"/>
  <c r="AL365" i="79"/>
  <c r="AL366" i="79"/>
  <c r="AL367" i="79"/>
  <c r="AL368" i="79"/>
  <c r="AL369" i="79"/>
  <c r="AL370" i="79"/>
  <c r="AL371" i="79"/>
  <c r="AL372" i="79"/>
  <c r="AL373" i="79"/>
  <c r="AL374" i="79"/>
  <c r="AL375" i="79"/>
  <c r="AL376" i="79"/>
  <c r="AL377" i="79"/>
  <c r="AL378" i="79"/>
  <c r="AL379" i="79"/>
  <c r="AL380" i="79"/>
  <c r="AL381" i="79"/>
  <c r="AL382" i="79"/>
  <c r="AL383" i="79"/>
  <c r="AL384" i="79"/>
  <c r="AL385" i="79"/>
  <c r="AL386" i="79"/>
  <c r="AL387" i="79"/>
  <c r="AL388" i="79"/>
  <c r="AL389" i="79"/>
  <c r="AL390" i="79"/>
  <c r="AL391" i="79"/>
  <c r="AL392" i="79"/>
  <c r="AL393" i="79"/>
  <c r="AL394" i="79"/>
  <c r="AL395" i="79"/>
  <c r="AL396" i="79"/>
  <c r="AL397" i="79"/>
  <c r="AL398" i="79"/>
  <c r="AL399" i="79"/>
  <c r="AL400" i="79"/>
  <c r="AL401" i="79"/>
  <c r="AL402" i="79"/>
  <c r="AL403" i="79"/>
  <c r="AL404" i="79"/>
  <c r="AL405" i="79"/>
  <c r="AL406" i="79"/>
  <c r="AL407" i="79"/>
  <c r="AL408" i="79"/>
  <c r="AL409" i="79"/>
  <c r="AL410" i="79"/>
  <c r="AL411" i="79"/>
  <c r="AL412" i="79"/>
  <c r="AL413" i="79"/>
  <c r="AL414" i="79"/>
  <c r="AL415" i="79"/>
  <c r="AL416" i="79"/>
  <c r="AL417" i="79"/>
  <c r="AL418" i="79"/>
  <c r="AL419" i="79"/>
  <c r="AL420" i="79"/>
  <c r="AL421" i="79"/>
  <c r="AL422" i="79"/>
  <c r="AL423" i="79"/>
  <c r="AL424" i="79"/>
  <c r="AL425" i="79"/>
  <c r="AL426" i="79"/>
  <c r="AL427" i="79"/>
  <c r="AL428" i="79"/>
  <c r="AL429" i="79"/>
  <c r="AL430" i="79"/>
  <c r="AL431" i="79"/>
  <c r="AL432" i="79"/>
  <c r="AL433" i="79"/>
  <c r="AL434" i="79"/>
  <c r="AL435" i="79"/>
  <c r="AL436" i="79"/>
  <c r="AL437" i="79"/>
  <c r="AL438" i="79"/>
  <c r="AL439" i="79"/>
  <c r="AL440" i="79"/>
  <c r="AL441" i="79"/>
  <c r="AL442" i="79"/>
  <c r="AL443" i="79"/>
  <c r="AL444" i="79"/>
  <c r="AL445" i="79"/>
  <c r="AL446" i="79"/>
  <c r="AL447" i="79"/>
  <c r="AL448" i="79"/>
  <c r="AL449" i="79"/>
  <c r="AL450" i="79"/>
  <c r="AL451" i="79"/>
  <c r="AL452" i="79"/>
  <c r="AL453" i="79"/>
  <c r="AL454" i="79"/>
  <c r="AL455" i="79"/>
  <c r="AL456" i="79"/>
  <c r="AL457" i="79"/>
  <c r="AL458" i="79"/>
  <c r="AL459" i="79"/>
  <c r="AL460" i="79"/>
  <c r="AL461" i="79"/>
  <c r="AL462" i="79"/>
  <c r="AL463" i="79"/>
  <c r="AL464" i="79"/>
  <c r="AL465" i="79"/>
  <c r="AL466" i="79"/>
  <c r="AL467" i="79"/>
  <c r="AL468" i="79"/>
  <c r="AL469" i="79"/>
  <c r="AL470" i="79"/>
  <c r="AL471" i="79"/>
  <c r="AL472" i="79"/>
  <c r="AL473" i="79"/>
  <c r="AL474" i="79"/>
  <c r="AL475" i="79"/>
  <c r="AL476" i="79"/>
  <c r="AL477" i="79"/>
  <c r="AL478" i="79"/>
  <c r="AL479" i="79"/>
  <c r="AL480" i="79"/>
  <c r="AL481" i="79"/>
  <c r="AL482" i="79"/>
  <c r="AL483" i="79"/>
  <c r="AL484" i="79"/>
  <c r="AL485" i="79"/>
  <c r="AL486" i="79"/>
  <c r="AL487" i="79"/>
  <c r="AL488" i="79"/>
  <c r="AL489" i="79"/>
  <c r="AL490" i="79"/>
  <c r="AL491" i="79"/>
  <c r="AL492" i="79"/>
  <c r="AL493" i="79"/>
  <c r="AL494" i="79"/>
  <c r="AL495" i="79"/>
  <c r="AL561" i="79"/>
  <c r="AL562" i="79"/>
  <c r="AH562" i="79"/>
  <c r="Z3" i="79"/>
  <c r="Z4" i="79"/>
  <c r="Z5" i="79"/>
  <c r="Z6" i="79"/>
  <c r="Z7" i="79"/>
  <c r="Z8" i="79"/>
  <c r="Z9" i="79"/>
  <c r="Z10" i="79"/>
  <c r="Z11" i="79"/>
  <c r="Z12" i="79"/>
  <c r="Z13" i="79"/>
  <c r="Z14" i="79"/>
  <c r="Z15" i="79"/>
  <c r="Z16" i="79"/>
  <c r="Z17" i="79"/>
  <c r="Z18" i="79"/>
  <c r="Z19" i="79"/>
  <c r="Z20" i="79"/>
  <c r="Z21" i="79"/>
  <c r="Z22" i="79"/>
  <c r="Z23" i="79"/>
  <c r="Z24" i="79"/>
  <c r="Z25" i="79"/>
  <c r="Z26" i="79"/>
  <c r="Z27" i="79"/>
  <c r="Z28" i="79"/>
  <c r="Z29" i="79"/>
  <c r="Z30" i="79"/>
  <c r="Z31" i="79"/>
  <c r="Z32" i="79"/>
  <c r="Z33" i="79"/>
  <c r="Z34" i="79"/>
  <c r="Z35" i="79"/>
  <c r="Z36" i="79"/>
  <c r="Z37" i="79"/>
  <c r="Z38" i="79"/>
  <c r="Z39" i="79"/>
  <c r="Z40" i="79"/>
  <c r="Z41" i="79"/>
  <c r="Z42" i="79"/>
  <c r="Z43" i="79"/>
  <c r="Z44" i="79"/>
  <c r="Z45" i="79"/>
  <c r="Z46" i="79"/>
  <c r="Z47" i="79"/>
  <c r="Z48" i="79"/>
  <c r="Z49" i="79"/>
  <c r="Z50" i="79"/>
  <c r="Z51" i="79"/>
  <c r="Z52" i="79"/>
  <c r="Z53" i="79"/>
  <c r="Z54" i="79"/>
  <c r="Z55" i="79"/>
  <c r="Z56" i="79"/>
  <c r="Z57" i="79"/>
  <c r="Z58" i="79"/>
  <c r="Z59" i="79"/>
  <c r="Z60" i="79"/>
  <c r="Z61" i="79"/>
  <c r="Z62" i="79"/>
  <c r="Z63" i="79"/>
  <c r="Z64" i="79"/>
  <c r="Z65" i="79"/>
  <c r="Z66" i="79"/>
  <c r="Z67" i="79"/>
  <c r="Z68" i="79"/>
  <c r="Z69" i="79"/>
  <c r="Z70" i="79"/>
  <c r="Z71" i="79"/>
  <c r="Z72" i="79"/>
  <c r="Z73" i="79"/>
  <c r="Z74" i="79"/>
  <c r="Z75" i="79"/>
  <c r="Z76" i="79"/>
  <c r="Z77" i="79"/>
  <c r="Z78" i="79"/>
  <c r="Z79" i="79"/>
  <c r="Z80" i="79"/>
  <c r="Z81" i="79"/>
  <c r="Z82" i="79"/>
  <c r="Z83" i="79"/>
  <c r="Z84" i="79"/>
  <c r="Z85" i="79"/>
  <c r="Z86" i="79"/>
  <c r="Z87" i="79"/>
  <c r="Z88" i="79"/>
  <c r="Z89" i="79"/>
  <c r="Z90" i="79"/>
  <c r="Z91" i="79"/>
  <c r="Z92" i="79"/>
  <c r="Z93" i="79"/>
  <c r="Z94" i="79"/>
  <c r="Z95" i="79"/>
  <c r="Z96" i="79"/>
  <c r="Z97" i="79"/>
  <c r="Z98" i="79"/>
  <c r="Z99" i="79"/>
  <c r="Z100" i="79"/>
  <c r="Z101" i="79"/>
  <c r="Z102" i="79"/>
  <c r="Z103" i="79"/>
  <c r="Z104" i="79"/>
  <c r="Z105" i="79"/>
  <c r="Z106" i="79"/>
  <c r="Z107" i="79"/>
  <c r="Z108" i="79"/>
  <c r="Z109" i="79"/>
  <c r="Z110" i="79"/>
  <c r="Z111" i="79"/>
  <c r="Z112" i="79"/>
  <c r="Z113" i="79"/>
  <c r="Z114" i="79"/>
  <c r="Z115" i="79"/>
  <c r="Z116" i="79"/>
  <c r="Z117" i="79"/>
  <c r="Z118" i="79"/>
  <c r="Z119" i="79"/>
  <c r="Z120" i="79"/>
  <c r="Z121" i="79"/>
  <c r="Z122" i="79"/>
  <c r="Z123" i="79"/>
  <c r="Z124" i="79"/>
  <c r="Z125" i="79"/>
  <c r="Z126" i="79"/>
  <c r="Z127" i="79"/>
  <c r="Z128" i="79"/>
  <c r="Z129" i="79"/>
  <c r="Z130" i="79"/>
  <c r="Z131" i="79"/>
  <c r="Z132" i="79"/>
  <c r="Z133" i="79"/>
  <c r="Z134" i="79"/>
  <c r="Z135" i="79"/>
  <c r="Z136" i="79"/>
  <c r="Z137" i="79"/>
  <c r="Z138" i="79"/>
  <c r="Z139" i="79"/>
  <c r="Z140" i="79"/>
  <c r="Z141" i="79"/>
  <c r="Z142" i="79"/>
  <c r="Z143" i="79"/>
  <c r="Z144" i="79"/>
  <c r="Z145" i="79"/>
  <c r="Z146" i="79"/>
  <c r="Z147" i="79"/>
  <c r="Z148" i="79"/>
  <c r="Z149" i="79"/>
  <c r="Z150" i="79"/>
  <c r="Z151" i="79"/>
  <c r="Z152" i="79"/>
  <c r="Z153" i="79"/>
  <c r="Z154" i="79"/>
  <c r="Z155" i="79"/>
  <c r="Z156" i="79"/>
  <c r="Z157" i="79"/>
  <c r="Z158" i="79"/>
  <c r="Z159" i="79"/>
  <c r="Z160" i="79"/>
  <c r="Z161" i="79"/>
  <c r="Z162" i="79"/>
  <c r="Z163" i="79"/>
  <c r="Z164" i="79"/>
  <c r="Z165" i="79"/>
  <c r="Z166" i="79"/>
  <c r="Z167" i="79"/>
  <c r="Z168" i="79"/>
  <c r="Z169" i="79"/>
  <c r="Z170" i="79"/>
  <c r="Z171" i="79"/>
  <c r="Z172" i="79"/>
  <c r="Z173" i="79"/>
  <c r="Z174" i="79"/>
  <c r="Z175" i="79"/>
  <c r="Z176" i="79"/>
  <c r="Z177" i="79"/>
  <c r="Z178" i="79"/>
  <c r="Z179" i="79"/>
  <c r="Z180" i="79"/>
  <c r="Z181" i="79"/>
  <c r="Z182" i="79"/>
  <c r="Z183" i="79"/>
  <c r="Z184" i="79"/>
  <c r="Z185" i="79"/>
  <c r="Z186" i="79"/>
  <c r="Z187" i="79"/>
  <c r="Z188" i="79"/>
  <c r="Z189" i="79"/>
  <c r="Z190" i="79"/>
  <c r="Z191" i="79"/>
  <c r="Z192" i="79"/>
  <c r="Z193" i="79"/>
  <c r="Z194" i="79"/>
  <c r="Z195" i="79"/>
  <c r="Z196" i="79"/>
  <c r="Z197" i="79"/>
  <c r="Z198" i="79"/>
  <c r="Z199" i="79"/>
  <c r="Z200" i="79"/>
  <c r="Z201" i="79"/>
  <c r="Z202" i="79"/>
  <c r="Z203" i="79"/>
  <c r="Z204" i="79"/>
  <c r="Z205" i="79"/>
  <c r="Z206" i="79"/>
  <c r="Z207" i="79"/>
  <c r="Z208" i="79"/>
  <c r="Z209" i="79"/>
  <c r="Z210" i="79"/>
  <c r="Z211" i="79"/>
  <c r="Z212" i="79"/>
  <c r="Z213" i="79"/>
  <c r="Z214" i="79"/>
  <c r="Z215" i="79"/>
  <c r="Z216" i="79"/>
  <c r="Z217" i="79"/>
  <c r="Z218" i="79"/>
  <c r="Z219" i="79"/>
  <c r="Z220" i="79"/>
  <c r="Z221" i="79"/>
  <c r="Z222" i="79"/>
  <c r="Z223" i="79"/>
  <c r="Z224" i="79"/>
  <c r="Z225" i="79"/>
  <c r="Z226" i="79"/>
  <c r="Z227" i="79"/>
  <c r="Z228" i="79"/>
  <c r="Z229" i="79"/>
  <c r="Z230" i="79"/>
  <c r="Z231" i="79"/>
  <c r="Z232" i="79"/>
  <c r="Z233" i="79"/>
  <c r="Z234" i="79"/>
  <c r="Z235" i="79"/>
  <c r="Z236" i="79"/>
  <c r="Z237" i="79"/>
  <c r="Z238" i="79"/>
  <c r="Z239" i="79"/>
  <c r="Z240" i="79"/>
  <c r="Z241" i="79"/>
  <c r="Z242" i="79"/>
  <c r="Z243" i="79"/>
  <c r="Z244" i="79"/>
  <c r="Z245" i="79"/>
  <c r="Z246" i="79"/>
  <c r="Z247" i="79"/>
  <c r="Z248" i="79"/>
  <c r="Z249" i="79"/>
  <c r="Z250" i="79"/>
  <c r="Z251" i="79"/>
  <c r="Z252" i="79"/>
  <c r="Z253" i="79"/>
  <c r="Z254" i="79"/>
  <c r="Z255" i="79"/>
  <c r="Z256" i="79"/>
  <c r="Z257" i="79"/>
  <c r="Z258" i="79"/>
  <c r="Z259" i="79"/>
  <c r="Z260" i="79"/>
  <c r="Z261" i="79"/>
  <c r="Z262" i="79"/>
  <c r="Z263" i="79"/>
  <c r="Z264" i="79"/>
  <c r="Z265" i="79"/>
  <c r="Z266" i="79"/>
  <c r="Z267" i="79"/>
  <c r="Z268" i="79"/>
  <c r="Z269" i="79"/>
  <c r="Z270" i="79"/>
  <c r="Z271" i="79"/>
  <c r="Z272" i="79"/>
  <c r="Z273" i="79"/>
  <c r="Z274" i="79"/>
  <c r="Z275" i="79"/>
  <c r="Z276" i="79"/>
  <c r="Z277" i="79"/>
  <c r="Z278" i="79"/>
  <c r="Z279" i="79"/>
  <c r="Z280" i="79"/>
  <c r="Z281" i="79"/>
  <c r="Z282" i="79"/>
  <c r="Z283" i="79"/>
  <c r="Z284" i="79"/>
  <c r="Z285" i="79"/>
  <c r="Z286" i="79"/>
  <c r="Z287" i="79"/>
  <c r="Z288" i="79"/>
  <c r="Z289" i="79"/>
  <c r="Z290" i="79"/>
  <c r="Z291" i="79"/>
  <c r="Z292" i="79"/>
  <c r="Z293" i="79"/>
  <c r="Z294" i="79"/>
  <c r="Z295" i="79"/>
  <c r="Z296" i="79"/>
  <c r="Z297" i="79"/>
  <c r="Z298" i="79"/>
  <c r="Z299" i="79"/>
  <c r="Z300" i="79"/>
  <c r="Z301" i="79"/>
  <c r="Z302" i="79"/>
  <c r="Z303" i="79"/>
  <c r="Z304" i="79"/>
  <c r="Z305" i="79"/>
  <c r="Z306" i="79"/>
  <c r="Z307" i="79"/>
  <c r="Z308" i="79"/>
  <c r="Z309" i="79"/>
  <c r="Z310" i="79"/>
  <c r="Z311" i="79"/>
  <c r="Z312" i="79"/>
  <c r="Z313" i="79"/>
  <c r="Z314" i="79"/>
  <c r="Z315" i="79"/>
  <c r="Z316" i="79"/>
  <c r="Z317" i="79"/>
  <c r="Z318" i="79"/>
  <c r="Z319" i="79"/>
  <c r="Z320" i="79"/>
  <c r="Z321" i="79"/>
  <c r="Z322" i="79"/>
  <c r="Z323" i="79"/>
  <c r="Z324" i="79"/>
  <c r="Z325" i="79"/>
  <c r="Z326" i="79"/>
  <c r="Z327" i="79"/>
  <c r="Z328" i="79"/>
  <c r="Z329" i="79"/>
  <c r="Z330" i="79"/>
  <c r="Z331" i="79"/>
  <c r="Z332" i="79"/>
  <c r="Z333" i="79"/>
  <c r="Z334" i="79"/>
  <c r="Z335" i="79"/>
  <c r="Z336" i="79"/>
  <c r="Z337" i="79"/>
  <c r="Z338" i="79"/>
  <c r="Z339" i="79"/>
  <c r="Z340" i="79"/>
  <c r="Z341" i="79"/>
  <c r="Z342" i="79"/>
  <c r="Z343" i="79"/>
  <c r="Z344" i="79"/>
  <c r="Z345" i="79"/>
  <c r="Z346" i="79"/>
  <c r="Z347" i="79"/>
  <c r="Z348" i="79"/>
  <c r="Z349" i="79"/>
  <c r="Z350" i="79"/>
  <c r="Z351" i="79"/>
  <c r="Z352" i="79"/>
  <c r="Z353" i="79"/>
  <c r="Z354" i="79"/>
  <c r="Z355" i="79"/>
  <c r="Z356" i="79"/>
  <c r="Z357" i="79"/>
  <c r="Z358" i="79"/>
  <c r="Z359" i="79"/>
  <c r="Z360" i="79"/>
  <c r="Z361" i="79"/>
  <c r="Z362" i="79"/>
  <c r="Z363" i="79"/>
  <c r="Z364" i="79"/>
  <c r="Z365" i="79"/>
  <c r="Z366" i="79"/>
  <c r="Z367" i="79"/>
  <c r="Z368" i="79"/>
  <c r="Z369" i="79"/>
  <c r="Z370" i="79"/>
  <c r="Z371" i="79"/>
  <c r="Z372" i="79"/>
  <c r="Z373" i="79"/>
  <c r="Z374" i="79"/>
  <c r="Z375" i="79"/>
  <c r="Z376" i="79"/>
  <c r="Z377" i="79"/>
  <c r="Z378" i="79"/>
  <c r="Z379" i="79"/>
  <c r="Z380" i="79"/>
  <c r="Z381" i="79"/>
  <c r="Z382" i="79"/>
  <c r="Z383" i="79"/>
  <c r="Z384" i="79"/>
  <c r="Z385" i="79"/>
  <c r="Z386" i="79"/>
  <c r="Z387" i="79"/>
  <c r="Z388" i="79"/>
  <c r="Z389" i="79"/>
  <c r="Z390" i="79"/>
  <c r="Z391" i="79"/>
  <c r="Z392" i="79"/>
  <c r="Z393" i="79"/>
  <c r="Z394" i="79"/>
  <c r="Z395" i="79"/>
  <c r="Z396" i="79"/>
  <c r="Z397" i="79"/>
  <c r="Z398" i="79"/>
  <c r="Z399" i="79"/>
  <c r="Z400" i="79"/>
  <c r="Z401" i="79"/>
  <c r="Z402" i="79"/>
  <c r="Z403" i="79"/>
  <c r="Z404" i="79"/>
  <c r="Z405" i="79"/>
  <c r="Z406" i="79"/>
  <c r="Z407" i="79"/>
  <c r="Z408" i="79"/>
  <c r="Z409" i="79"/>
  <c r="Z410" i="79"/>
  <c r="Z411" i="79"/>
  <c r="Z412" i="79"/>
  <c r="Z413" i="79"/>
  <c r="Z414" i="79"/>
  <c r="Z415" i="79"/>
  <c r="Z416" i="79"/>
  <c r="Z417" i="79"/>
  <c r="Z418" i="79"/>
  <c r="Z419" i="79"/>
  <c r="Z420" i="79"/>
  <c r="Z421" i="79"/>
  <c r="Z422" i="79"/>
  <c r="Z423" i="79"/>
  <c r="Z424" i="79"/>
  <c r="Z425" i="79"/>
  <c r="Z426" i="79"/>
  <c r="Z427" i="79"/>
  <c r="Z428" i="79"/>
  <c r="Z429" i="79"/>
  <c r="Z430" i="79"/>
  <c r="Z431" i="79"/>
  <c r="Z432" i="79"/>
  <c r="Z433" i="79"/>
  <c r="Z434" i="79"/>
  <c r="Z435" i="79"/>
  <c r="Z436" i="79"/>
  <c r="Z437" i="79"/>
  <c r="Z438" i="79"/>
  <c r="Z439" i="79"/>
  <c r="Z440" i="79"/>
  <c r="Z441" i="79"/>
  <c r="Z442" i="79"/>
  <c r="Z443" i="79"/>
  <c r="Z444" i="79"/>
  <c r="Z445" i="79"/>
  <c r="Z446" i="79"/>
  <c r="Z447" i="79"/>
  <c r="Z448" i="79"/>
  <c r="Z449" i="79"/>
  <c r="Z450" i="79"/>
  <c r="Z451" i="79"/>
  <c r="Z452" i="79"/>
  <c r="Z453" i="79"/>
  <c r="Z454" i="79"/>
  <c r="Z455" i="79"/>
  <c r="Z456" i="79"/>
  <c r="Z457" i="79"/>
  <c r="Z458" i="79"/>
  <c r="Z459" i="79"/>
  <c r="Z460" i="79"/>
  <c r="Z461" i="79"/>
  <c r="Z462" i="79"/>
  <c r="Z463" i="79"/>
  <c r="Z464" i="79"/>
  <c r="Z465" i="79"/>
  <c r="Z466" i="79"/>
  <c r="Z467" i="79"/>
  <c r="Z468" i="79"/>
  <c r="Z469" i="79"/>
  <c r="Z470" i="79"/>
  <c r="Z471" i="79"/>
  <c r="Z472" i="79"/>
  <c r="Z473" i="79"/>
  <c r="Z474" i="79"/>
  <c r="Z475" i="79"/>
  <c r="Z476" i="79"/>
  <c r="Z477" i="79"/>
  <c r="Z478" i="79"/>
  <c r="Z479" i="79"/>
  <c r="Z480" i="79"/>
  <c r="Z481" i="79"/>
  <c r="Z482" i="79"/>
  <c r="Z483" i="79"/>
  <c r="Z484" i="79"/>
  <c r="Z485" i="79"/>
  <c r="Z486" i="79"/>
  <c r="Z487" i="79"/>
  <c r="Z488" i="79"/>
  <c r="Z489" i="79"/>
  <c r="Z490" i="79"/>
  <c r="Z491" i="79"/>
  <c r="Z492" i="79"/>
  <c r="Z493" i="79"/>
  <c r="Z494" i="79"/>
  <c r="Z495" i="79"/>
  <c r="Z496" i="79"/>
  <c r="Z497" i="79"/>
  <c r="Z498" i="79"/>
  <c r="Z499" i="79"/>
  <c r="Z500" i="79"/>
  <c r="Z501" i="79"/>
  <c r="Z502" i="79"/>
  <c r="Z503" i="79"/>
  <c r="Z504" i="79"/>
  <c r="Z505" i="79"/>
  <c r="Z506" i="79"/>
  <c r="Z507" i="79"/>
  <c r="Z508" i="79"/>
  <c r="Z509" i="79"/>
  <c r="Z510" i="79"/>
  <c r="Z511" i="79"/>
  <c r="Z512" i="79"/>
  <c r="Z513" i="79"/>
  <c r="Z514" i="79"/>
  <c r="Z515" i="79"/>
  <c r="Z516" i="79"/>
  <c r="Z517" i="79"/>
  <c r="Z518" i="79"/>
  <c r="Z519" i="79"/>
  <c r="Z520" i="79"/>
  <c r="Z521" i="79"/>
  <c r="Z522" i="79"/>
  <c r="Z523" i="79"/>
  <c r="Z524" i="79"/>
  <c r="Z525" i="79"/>
  <c r="Z526" i="79"/>
  <c r="Z527" i="79"/>
  <c r="Z528" i="79"/>
  <c r="Z529" i="79"/>
  <c r="Z530" i="79"/>
  <c r="Z531" i="79"/>
  <c r="Z532" i="79"/>
  <c r="Z533" i="79"/>
  <c r="Z534" i="79"/>
  <c r="Z535" i="79"/>
  <c r="Z536" i="79"/>
  <c r="Z537" i="79"/>
  <c r="Z538" i="79"/>
  <c r="Z539" i="79"/>
  <c r="Z540" i="79"/>
  <c r="Z541" i="79"/>
  <c r="Z542" i="79"/>
  <c r="Z543" i="79"/>
  <c r="Z544" i="79"/>
  <c r="Z545" i="79"/>
  <c r="Z546" i="79"/>
  <c r="Z547" i="79"/>
  <c r="Z548" i="79"/>
  <c r="Z549" i="79"/>
  <c r="Z550" i="79"/>
  <c r="Z551" i="79"/>
  <c r="Z552" i="79"/>
  <c r="Z553" i="79"/>
  <c r="Z554" i="79"/>
  <c r="Z555" i="79"/>
  <c r="Z556" i="79"/>
  <c r="Z557" i="79"/>
  <c r="Z562" i="79"/>
  <c r="W562" i="79"/>
  <c r="V562" i="79"/>
  <c r="U562" i="79"/>
  <c r="T27" i="79"/>
  <c r="T562" i="79"/>
  <c r="S3" i="79"/>
  <c r="S4" i="79"/>
  <c r="S5" i="79"/>
  <c r="S6" i="79"/>
  <c r="S7" i="79"/>
  <c r="S8" i="79"/>
  <c r="S9" i="79"/>
  <c r="S10" i="79"/>
  <c r="S11" i="79"/>
  <c r="S12" i="79"/>
  <c r="S13" i="79"/>
  <c r="S14" i="79"/>
  <c r="S15" i="79"/>
  <c r="S16" i="79"/>
  <c r="S17" i="79"/>
  <c r="S18" i="79"/>
  <c r="S19" i="79"/>
  <c r="S20" i="79"/>
  <c r="S21" i="79"/>
  <c r="S22" i="79"/>
  <c r="S23" i="79"/>
  <c r="S24" i="79"/>
  <c r="S25" i="79"/>
  <c r="S26" i="79"/>
  <c r="S27" i="79"/>
  <c r="S28" i="79"/>
  <c r="S29" i="79"/>
  <c r="S30" i="79"/>
  <c r="S31" i="79"/>
  <c r="S32" i="79"/>
  <c r="S33" i="79"/>
  <c r="S34" i="79"/>
  <c r="S35" i="79"/>
  <c r="S36" i="79"/>
  <c r="S37" i="79"/>
  <c r="S38" i="79"/>
  <c r="S39" i="79"/>
  <c r="S40" i="79"/>
  <c r="S41" i="79"/>
  <c r="S42" i="79"/>
  <c r="S43" i="79"/>
  <c r="S44" i="79"/>
  <c r="S45" i="79"/>
  <c r="S46" i="79"/>
  <c r="S47" i="79"/>
  <c r="S48" i="79"/>
  <c r="S49" i="79"/>
  <c r="S50" i="79"/>
  <c r="S51" i="79"/>
  <c r="S52" i="79"/>
  <c r="S53" i="79"/>
  <c r="S54" i="79"/>
  <c r="S55" i="79"/>
  <c r="S56" i="79"/>
  <c r="S57" i="79"/>
  <c r="S58" i="79"/>
  <c r="S59" i="79"/>
  <c r="S60" i="79"/>
  <c r="S61" i="79"/>
  <c r="S62" i="79"/>
  <c r="S63" i="79"/>
  <c r="S64" i="79"/>
  <c r="S65" i="79"/>
  <c r="S66" i="79"/>
  <c r="S67" i="79"/>
  <c r="S68" i="79"/>
  <c r="S69" i="79"/>
  <c r="S70" i="79"/>
  <c r="S71"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09" i="79"/>
  <c r="S110" i="79"/>
  <c r="S111" i="79"/>
  <c r="S112" i="79"/>
  <c r="S113" i="79"/>
  <c r="S114" i="79"/>
  <c r="S115" i="79"/>
  <c r="S116" i="79"/>
  <c r="S117" i="79"/>
  <c r="S118" i="79"/>
  <c r="S119" i="79"/>
  <c r="S120" i="79"/>
  <c r="S121" i="79"/>
  <c r="S122" i="79"/>
  <c r="S123" i="79"/>
  <c r="S124" i="79"/>
  <c r="S125" i="79"/>
  <c r="S126" i="79"/>
  <c r="S127" i="79"/>
  <c r="S128" i="79"/>
  <c r="S129" i="79"/>
  <c r="S130" i="79"/>
  <c r="S131" i="79"/>
  <c r="S132" i="79"/>
  <c r="S133" i="79"/>
  <c r="S134" i="79"/>
  <c r="S135" i="79"/>
  <c r="S136" i="79"/>
  <c r="S137" i="79"/>
  <c r="S138" i="79"/>
  <c r="S139" i="79"/>
  <c r="S140" i="79"/>
  <c r="S141" i="79"/>
  <c r="S142" i="79"/>
  <c r="S143" i="79"/>
  <c r="S144" i="79"/>
  <c r="S145" i="79"/>
  <c r="S146" i="79"/>
  <c r="S147" i="79"/>
  <c r="S148" i="79"/>
  <c r="S149" i="79"/>
  <c r="S150" i="79"/>
  <c r="S151" i="79"/>
  <c r="S152" i="79"/>
  <c r="S153" i="79"/>
  <c r="S154" i="79"/>
  <c r="S155" i="79"/>
  <c r="S156" i="79"/>
  <c r="S157" i="79"/>
  <c r="S158" i="79"/>
  <c r="S159" i="79"/>
  <c r="S160" i="79"/>
  <c r="S161" i="79"/>
  <c r="S162" i="79"/>
  <c r="S163" i="79"/>
  <c r="S164" i="79"/>
  <c r="S165" i="79"/>
  <c r="S166" i="79"/>
  <c r="S167" i="79"/>
  <c r="S168" i="79"/>
  <c r="S169" i="79"/>
  <c r="S170" i="79"/>
  <c r="S171" i="79"/>
  <c r="S172" i="79"/>
  <c r="S173" i="79"/>
  <c r="S174" i="79"/>
  <c r="S175" i="79"/>
  <c r="S176" i="79"/>
  <c r="S177" i="79"/>
  <c r="S178" i="79"/>
  <c r="S179" i="79"/>
  <c r="S180" i="79"/>
  <c r="S181" i="79"/>
  <c r="S182" i="79"/>
  <c r="S183" i="79"/>
  <c r="S184" i="79"/>
  <c r="S185" i="79"/>
  <c r="S186" i="79"/>
  <c r="S187" i="79"/>
  <c r="S188" i="79"/>
  <c r="S189" i="79"/>
  <c r="S190" i="79"/>
  <c r="S191" i="79"/>
  <c r="S192" i="79"/>
  <c r="S193" i="79"/>
  <c r="S194" i="79"/>
  <c r="S195" i="79"/>
  <c r="S196" i="79"/>
  <c r="S197" i="79"/>
  <c r="S198" i="79"/>
  <c r="S199" i="79"/>
  <c r="S200" i="79"/>
  <c r="S201" i="79"/>
  <c r="S202" i="79"/>
  <c r="S203" i="79"/>
  <c r="S204" i="79"/>
  <c r="S205" i="79"/>
  <c r="S206" i="79"/>
  <c r="S207" i="79"/>
  <c r="S208" i="79"/>
  <c r="S209" i="79"/>
  <c r="S210" i="79"/>
  <c r="S211" i="79"/>
  <c r="S212" i="79"/>
  <c r="S213" i="79"/>
  <c r="S214" i="79"/>
  <c r="S215" i="79"/>
  <c r="S216" i="79"/>
  <c r="S217" i="79"/>
  <c r="S218" i="79"/>
  <c r="S219" i="79"/>
  <c r="S220" i="79"/>
  <c r="S221" i="79"/>
  <c r="S222" i="79"/>
  <c r="S223" i="79"/>
  <c r="S224" i="79"/>
  <c r="S225" i="79"/>
  <c r="S226" i="79"/>
  <c r="S227" i="79"/>
  <c r="S228" i="79"/>
  <c r="S229" i="79"/>
  <c r="S230" i="79"/>
  <c r="S231" i="79"/>
  <c r="S232" i="79"/>
  <c r="S233" i="79"/>
  <c r="S234" i="79"/>
  <c r="S235" i="79"/>
  <c r="S236" i="79"/>
  <c r="S237" i="79"/>
  <c r="S238" i="79"/>
  <c r="S239" i="79"/>
  <c r="S240" i="79"/>
  <c r="S241" i="79"/>
  <c r="S242" i="79"/>
  <c r="S243" i="79"/>
  <c r="S244" i="79"/>
  <c r="S245" i="79"/>
  <c r="S246" i="79"/>
  <c r="S247" i="79"/>
  <c r="S248" i="79"/>
  <c r="S249" i="79"/>
  <c r="S250" i="79"/>
  <c r="S251" i="79"/>
  <c r="S252" i="79"/>
  <c r="S253" i="79"/>
  <c r="S254" i="79"/>
  <c r="S255" i="79"/>
  <c r="S256" i="79"/>
  <c r="S257" i="79"/>
  <c r="S258" i="79"/>
  <c r="S259" i="79"/>
  <c r="S260" i="79"/>
  <c r="S261" i="79"/>
  <c r="S262" i="79"/>
  <c r="S263" i="79"/>
  <c r="S264" i="79"/>
  <c r="S265" i="79"/>
  <c r="S266" i="79"/>
  <c r="S267" i="79"/>
  <c r="S268" i="79"/>
  <c r="S269" i="79"/>
  <c r="S270" i="79"/>
  <c r="S271" i="79"/>
  <c r="S272" i="79"/>
  <c r="S273" i="79"/>
  <c r="S274" i="79"/>
  <c r="S275" i="79"/>
  <c r="S276" i="79"/>
  <c r="S277" i="79"/>
  <c r="S278" i="79"/>
  <c r="S279" i="79"/>
  <c r="S280" i="79"/>
  <c r="S281" i="79"/>
  <c r="S282" i="79"/>
  <c r="S283" i="79"/>
  <c r="S284" i="79"/>
  <c r="S285" i="79"/>
  <c r="S286" i="79"/>
  <c r="S287" i="79"/>
  <c r="S288" i="79"/>
  <c r="S289" i="79"/>
  <c r="S290" i="79"/>
  <c r="S291" i="79"/>
  <c r="S292" i="79"/>
  <c r="S293" i="79"/>
  <c r="S294" i="79"/>
  <c r="S295" i="79"/>
  <c r="S296" i="79"/>
  <c r="S297" i="79"/>
  <c r="S298" i="79"/>
  <c r="S299" i="79"/>
  <c r="S300" i="79"/>
  <c r="S301" i="79"/>
  <c r="S302" i="79"/>
  <c r="S303" i="79"/>
  <c r="S304" i="79"/>
  <c r="S305" i="79"/>
  <c r="S306" i="79"/>
  <c r="S307" i="79"/>
  <c r="S308" i="79"/>
  <c r="S309" i="79"/>
  <c r="S310" i="79"/>
  <c r="S311" i="79"/>
  <c r="S312" i="79"/>
  <c r="S313" i="79"/>
  <c r="S314" i="79"/>
  <c r="S315" i="79"/>
  <c r="S316" i="79"/>
  <c r="S317" i="79"/>
  <c r="S318" i="79"/>
  <c r="S319" i="79"/>
  <c r="S320" i="79"/>
  <c r="S321" i="79"/>
  <c r="S322" i="79"/>
  <c r="S323" i="79"/>
  <c r="S324" i="79"/>
  <c r="S325" i="79"/>
  <c r="S326" i="79"/>
  <c r="S327" i="79"/>
  <c r="S328" i="79"/>
  <c r="S329" i="79"/>
  <c r="S330" i="79"/>
  <c r="S331" i="79"/>
  <c r="S332" i="79"/>
  <c r="S333" i="79"/>
  <c r="S334" i="79"/>
  <c r="S335" i="79"/>
  <c r="S336" i="79"/>
  <c r="S456" i="79"/>
  <c r="S462" i="79"/>
  <c r="S465" i="79"/>
  <c r="S472" i="79"/>
  <c r="S484" i="79"/>
  <c r="S561" i="79"/>
  <c r="S562" i="79"/>
  <c r="R562" i="79"/>
  <c r="Q562" i="79"/>
  <c r="P562" i="79"/>
  <c r="O3"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8" i="79"/>
  <c r="O189" i="79"/>
  <c r="O190" i="79"/>
  <c r="O191" i="79"/>
  <c r="O192" i="79"/>
  <c r="O193" i="79"/>
  <c r="O194" i="79"/>
  <c r="O195" i="79"/>
  <c r="O196" i="79"/>
  <c r="O197" i="79"/>
  <c r="O198" i="79"/>
  <c r="O199" i="79"/>
  <c r="O200" i="79"/>
  <c r="O201" i="79"/>
  <c r="O202" i="79"/>
  <c r="O203" i="79"/>
  <c r="O204" i="79"/>
  <c r="O205" i="79"/>
  <c r="O206" i="79"/>
  <c r="O207" i="79"/>
  <c r="O208" i="79"/>
  <c r="O209" i="79"/>
  <c r="O210" i="79"/>
  <c r="O211" i="79"/>
  <c r="O212" i="79"/>
  <c r="O213"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2" i="79"/>
  <c r="O243" i="79"/>
  <c r="O244" i="79"/>
  <c r="O245" i="79"/>
  <c r="O246" i="79"/>
  <c r="O247" i="79"/>
  <c r="O248" i="79"/>
  <c r="O249" i="79"/>
  <c r="O250" i="79"/>
  <c r="O251" i="79"/>
  <c r="O252" i="79"/>
  <c r="O253" i="79"/>
  <c r="O254" i="79"/>
  <c r="O255" i="79"/>
  <c r="O256" i="79"/>
  <c r="O257" i="79"/>
  <c r="O258" i="79"/>
  <c r="O259" i="79"/>
  <c r="O260" i="79"/>
  <c r="O261" i="79"/>
  <c r="O262" i="79"/>
  <c r="O263" i="79"/>
  <c r="O264" i="79"/>
  <c r="O265" i="79"/>
  <c r="O266" i="79"/>
  <c r="O267" i="79"/>
  <c r="O268" i="79"/>
  <c r="O269" i="79"/>
  <c r="O270" i="79"/>
  <c r="O271" i="79"/>
  <c r="O272" i="79"/>
  <c r="O273" i="79"/>
  <c r="O274" i="79"/>
  <c r="O275" i="79"/>
  <c r="O276" i="79"/>
  <c r="O277" i="79"/>
  <c r="O278" i="79"/>
  <c r="O279" i="79"/>
  <c r="O280" i="79"/>
  <c r="O281" i="79"/>
  <c r="O282" i="79"/>
  <c r="O283" i="79"/>
  <c r="O284" i="79"/>
  <c r="O285" i="79"/>
  <c r="O286" i="79"/>
  <c r="O287" i="79"/>
  <c r="O288" i="79"/>
  <c r="O289" i="79"/>
  <c r="O290" i="79"/>
  <c r="O291" i="79"/>
  <c r="O292" i="79"/>
  <c r="O293" i="79"/>
  <c r="O294" i="79"/>
  <c r="O295" i="79"/>
  <c r="O296" i="79"/>
  <c r="O297" i="79"/>
  <c r="O298" i="79"/>
  <c r="O299" i="79"/>
  <c r="O300" i="79"/>
  <c r="O301" i="79"/>
  <c r="O302" i="79"/>
  <c r="O303" i="79"/>
  <c r="O304" i="79"/>
  <c r="O305" i="79"/>
  <c r="O306" i="79"/>
  <c r="O307" i="79"/>
  <c r="O308" i="79"/>
  <c r="O309" i="79"/>
  <c r="O310" i="79"/>
  <c r="O311" i="79"/>
  <c r="O312" i="79"/>
  <c r="O313" i="79"/>
  <c r="O314" i="79"/>
  <c r="O315" i="79"/>
  <c r="O316" i="79"/>
  <c r="O317" i="79"/>
  <c r="O318" i="79"/>
  <c r="O319" i="79"/>
  <c r="O320" i="79"/>
  <c r="O321" i="79"/>
  <c r="O322" i="79"/>
  <c r="O323" i="79"/>
  <c r="O324" i="79"/>
  <c r="O325" i="79"/>
  <c r="O326" i="79"/>
  <c r="O327" i="79"/>
  <c r="O328" i="79"/>
  <c r="O329" i="79"/>
  <c r="O330" i="79"/>
  <c r="O331" i="79"/>
  <c r="O332" i="79"/>
  <c r="O333" i="79"/>
  <c r="O334" i="79"/>
  <c r="O335" i="79"/>
  <c r="O336" i="79"/>
  <c r="O456" i="79"/>
  <c r="O462" i="79"/>
  <c r="O465" i="79"/>
  <c r="O472" i="79"/>
  <c r="O484" i="79"/>
  <c r="O562" i="79"/>
  <c r="N562" i="79"/>
  <c r="M3" i="79"/>
  <c r="M4" i="79"/>
  <c r="M5" i="79"/>
  <c r="M6" i="79"/>
  <c r="M7" i="79"/>
  <c r="M8" i="79"/>
  <c r="M9" i="79"/>
  <c r="M10" i="79"/>
  <c r="M11" i="79"/>
  <c r="M12" i="79"/>
  <c r="M13" i="79"/>
  <c r="M14" i="79"/>
  <c r="M15" i="79"/>
  <c r="M16" i="79"/>
  <c r="M17" i="79"/>
  <c r="M18" i="79"/>
  <c r="M19" i="79"/>
  <c r="M20"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78" i="79"/>
  <c r="M79" i="79"/>
  <c r="M80" i="79"/>
  <c r="M81" i="79"/>
  <c r="M82" i="79"/>
  <c r="M83" i="79"/>
  <c r="M84" i="79"/>
  <c r="M85" i="79"/>
  <c r="M86" i="79"/>
  <c r="M87" i="79"/>
  <c r="M88" i="79"/>
  <c r="M89" i="79"/>
  <c r="M90" i="79"/>
  <c r="M91" i="79"/>
  <c r="M92" i="79"/>
  <c r="M93" i="79"/>
  <c r="M94" i="79"/>
  <c r="M95" i="79"/>
  <c r="M96" i="79"/>
  <c r="M97" i="79"/>
  <c r="M98" i="79"/>
  <c r="M99" i="79"/>
  <c r="M100" i="79"/>
  <c r="M101" i="79"/>
  <c r="M102" i="79"/>
  <c r="M103" i="79"/>
  <c r="M104" i="79"/>
  <c r="M105" i="79"/>
  <c r="M106" i="79"/>
  <c r="M107" i="79"/>
  <c r="M108" i="79"/>
  <c r="M109" i="79"/>
  <c r="M110" i="79"/>
  <c r="M111" i="79"/>
  <c r="M112" i="79"/>
  <c r="M113" i="79"/>
  <c r="M114" i="79"/>
  <c r="M115" i="79"/>
  <c r="M116" i="79"/>
  <c r="M117" i="79"/>
  <c r="M118" i="79"/>
  <c r="M119" i="79"/>
  <c r="M120" i="79"/>
  <c r="M121" i="79"/>
  <c r="M122" i="79"/>
  <c r="M123" i="79"/>
  <c r="M124" i="79"/>
  <c r="M125" i="79"/>
  <c r="M126" i="79"/>
  <c r="M127" i="79"/>
  <c r="M128" i="79"/>
  <c r="M129" i="79"/>
  <c r="M130" i="79"/>
  <c r="M131" i="79"/>
  <c r="M132" i="79"/>
  <c r="M133" i="79"/>
  <c r="M134" i="79"/>
  <c r="M135" i="79"/>
  <c r="M136" i="79"/>
  <c r="M137" i="79"/>
  <c r="M138" i="79"/>
  <c r="M139" i="79"/>
  <c r="M140" i="79"/>
  <c r="M141" i="79"/>
  <c r="M142" i="79"/>
  <c r="M143" i="79"/>
  <c r="M144" i="79"/>
  <c r="M145" i="79"/>
  <c r="M146" i="79"/>
  <c r="M147" i="79"/>
  <c r="M148" i="79"/>
  <c r="M149" i="79"/>
  <c r="M150" i="79"/>
  <c r="M151" i="79"/>
  <c r="M152" i="79"/>
  <c r="M153" i="79"/>
  <c r="M154" i="79"/>
  <c r="M155" i="79"/>
  <c r="M156" i="79"/>
  <c r="M157" i="79"/>
  <c r="M158" i="79"/>
  <c r="M159" i="79"/>
  <c r="M160" i="79"/>
  <c r="M161" i="79"/>
  <c r="M162" i="79"/>
  <c r="M163" i="79"/>
  <c r="M164" i="79"/>
  <c r="M165" i="79"/>
  <c r="M166" i="79"/>
  <c r="M167" i="79"/>
  <c r="M168" i="79"/>
  <c r="M169" i="79"/>
  <c r="M170" i="79"/>
  <c r="M171" i="79"/>
  <c r="M172" i="79"/>
  <c r="M173" i="79"/>
  <c r="M174" i="79"/>
  <c r="M175" i="79"/>
  <c r="M176" i="79"/>
  <c r="M177" i="79"/>
  <c r="M178" i="79"/>
  <c r="M179"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15" i="79"/>
  <c r="M216" i="79"/>
  <c r="M217" i="79"/>
  <c r="M218" i="79"/>
  <c r="M219" i="79"/>
  <c r="M220" i="79"/>
  <c r="M221" i="79"/>
  <c r="M222" i="79"/>
  <c r="M223" i="79"/>
  <c r="M224" i="79"/>
  <c r="M225" i="79"/>
  <c r="M226" i="79"/>
  <c r="M227" i="79"/>
  <c r="M228" i="79"/>
  <c r="M229" i="79"/>
  <c r="M230" i="79"/>
  <c r="M231" i="79"/>
  <c r="M232" i="79"/>
  <c r="M233" i="79"/>
  <c r="M234" i="79"/>
  <c r="M235" i="79"/>
  <c r="M236" i="79"/>
  <c r="M237" i="79"/>
  <c r="M238" i="79"/>
  <c r="M239" i="79"/>
  <c r="M240" i="79"/>
  <c r="M241" i="79"/>
  <c r="M242" i="79"/>
  <c r="M243" i="79"/>
  <c r="M244" i="79"/>
  <c r="M245" i="79"/>
  <c r="M246" i="79"/>
  <c r="M247" i="79"/>
  <c r="M248" i="79"/>
  <c r="M249" i="79"/>
  <c r="M250" i="79"/>
  <c r="M251" i="79"/>
  <c r="M252" i="79"/>
  <c r="M253" i="79"/>
  <c r="M254" i="79"/>
  <c r="M255" i="79"/>
  <c r="M256" i="79"/>
  <c r="M257" i="79"/>
  <c r="M258" i="79"/>
  <c r="M259" i="79"/>
  <c r="M260" i="79"/>
  <c r="M261" i="79"/>
  <c r="M262" i="79"/>
  <c r="M263" i="79"/>
  <c r="M264" i="79"/>
  <c r="M265" i="79"/>
  <c r="M266" i="79"/>
  <c r="M267" i="79"/>
  <c r="M268" i="79"/>
  <c r="M269" i="79"/>
  <c r="M270" i="79"/>
  <c r="M271" i="79"/>
  <c r="M272" i="79"/>
  <c r="M273" i="79"/>
  <c r="M274" i="79"/>
  <c r="M275" i="79"/>
  <c r="M276" i="79"/>
  <c r="M277" i="79"/>
  <c r="M278" i="79"/>
  <c r="M279" i="79"/>
  <c r="M280" i="79"/>
  <c r="M281" i="79"/>
  <c r="M282" i="79"/>
  <c r="M283" i="79"/>
  <c r="M284" i="79"/>
  <c r="M285" i="79"/>
  <c r="M286" i="79"/>
  <c r="M287" i="79"/>
  <c r="M288" i="79"/>
  <c r="M289" i="79"/>
  <c r="M290" i="79"/>
  <c r="M291" i="79"/>
  <c r="M292" i="79"/>
  <c r="M293" i="79"/>
  <c r="M294" i="79"/>
  <c r="M295" i="79"/>
  <c r="M296" i="79"/>
  <c r="M297" i="79"/>
  <c r="M298" i="79"/>
  <c r="M299" i="79"/>
  <c r="M300" i="79"/>
  <c r="M301" i="79"/>
  <c r="M302" i="79"/>
  <c r="M303" i="79"/>
  <c r="M304" i="79"/>
  <c r="M305" i="79"/>
  <c r="M306" i="79"/>
  <c r="M307" i="79"/>
  <c r="M308" i="79"/>
  <c r="M309" i="79"/>
  <c r="M310" i="79"/>
  <c r="M311" i="79"/>
  <c r="M312" i="79"/>
  <c r="M313" i="79"/>
  <c r="M314" i="79"/>
  <c r="M315" i="79"/>
  <c r="M316" i="79"/>
  <c r="M317" i="79"/>
  <c r="M318" i="79"/>
  <c r="M319" i="79"/>
  <c r="M320" i="79"/>
  <c r="M321" i="79"/>
  <c r="M322" i="79"/>
  <c r="M323" i="79"/>
  <c r="M324" i="79"/>
  <c r="M325" i="79"/>
  <c r="M326" i="79"/>
  <c r="M327" i="79"/>
  <c r="M328" i="79"/>
  <c r="M329" i="79"/>
  <c r="M330" i="79"/>
  <c r="M331" i="79"/>
  <c r="M332" i="79"/>
  <c r="M333" i="79"/>
  <c r="M334" i="79"/>
  <c r="M335" i="79"/>
  <c r="M336" i="79"/>
  <c r="M337" i="79"/>
  <c r="M338" i="79"/>
  <c r="M339" i="79"/>
  <c r="M340" i="79"/>
  <c r="M341" i="79"/>
  <c r="M342" i="79"/>
  <c r="M343" i="79"/>
  <c r="M344" i="79"/>
  <c r="M345" i="79"/>
  <c r="M346" i="79"/>
  <c r="M347" i="79"/>
  <c r="M348" i="79"/>
  <c r="M349" i="79"/>
  <c r="M350" i="79"/>
  <c r="M351" i="79"/>
  <c r="M352" i="79"/>
  <c r="M353" i="79"/>
  <c r="M354" i="79"/>
  <c r="M355" i="79"/>
  <c r="M356" i="79"/>
  <c r="M357" i="79"/>
  <c r="M358" i="79"/>
  <c r="M359" i="79"/>
  <c r="M360" i="79"/>
  <c r="M361" i="79"/>
  <c r="M362" i="79"/>
  <c r="M363" i="79"/>
  <c r="M364" i="79"/>
  <c r="M365" i="79"/>
  <c r="M366" i="79"/>
  <c r="M367" i="79"/>
  <c r="M368" i="79"/>
  <c r="M369" i="79"/>
  <c r="M370" i="79"/>
  <c r="M371" i="79"/>
  <c r="M372" i="79"/>
  <c r="M373" i="79"/>
  <c r="M374" i="79"/>
  <c r="M375" i="79"/>
  <c r="M376" i="79"/>
  <c r="M377" i="79"/>
  <c r="M378" i="79"/>
  <c r="M379" i="79"/>
  <c r="M380" i="79"/>
  <c r="M381" i="79"/>
  <c r="M382" i="79"/>
  <c r="M383" i="79"/>
  <c r="M384" i="79"/>
  <c r="M385" i="79"/>
  <c r="M386" i="79"/>
  <c r="M387" i="79"/>
  <c r="M388" i="79"/>
  <c r="M389" i="79"/>
  <c r="M390" i="79"/>
  <c r="M391" i="79"/>
  <c r="M392" i="79"/>
  <c r="M393" i="79"/>
  <c r="M394" i="79"/>
  <c r="M395" i="79"/>
  <c r="M396" i="79"/>
  <c r="M397" i="79"/>
  <c r="M398" i="79"/>
  <c r="M399" i="79"/>
  <c r="M400" i="79"/>
  <c r="M401" i="79"/>
  <c r="M402" i="79"/>
  <c r="M403" i="79"/>
  <c r="M404" i="79"/>
  <c r="M405" i="79"/>
  <c r="M406" i="79"/>
  <c r="M407" i="79"/>
  <c r="M408" i="79"/>
  <c r="M409" i="79"/>
  <c r="M410" i="79"/>
  <c r="M411" i="79"/>
  <c r="M412" i="79"/>
  <c r="M413" i="79"/>
  <c r="M414" i="79"/>
  <c r="M415" i="79"/>
  <c r="M416" i="79"/>
  <c r="M417" i="79"/>
  <c r="M418" i="79"/>
  <c r="M419" i="79"/>
  <c r="M420" i="79"/>
  <c r="M421" i="79"/>
  <c r="M422" i="79"/>
  <c r="M423" i="79"/>
  <c r="M424" i="79"/>
  <c r="M425" i="79"/>
  <c r="M426" i="79"/>
  <c r="M427" i="79"/>
  <c r="M428" i="79"/>
  <c r="M429" i="79"/>
  <c r="M430" i="79"/>
  <c r="M431" i="79"/>
  <c r="M432" i="79"/>
  <c r="M433" i="79"/>
  <c r="M434" i="79"/>
  <c r="M435" i="79"/>
  <c r="M436" i="79"/>
  <c r="M437" i="79"/>
  <c r="M438" i="79"/>
  <c r="M439" i="79"/>
  <c r="M440" i="79"/>
  <c r="M441" i="79"/>
  <c r="M442" i="79"/>
  <c r="M443" i="79"/>
  <c r="M444" i="79"/>
  <c r="M445" i="79"/>
  <c r="M446" i="79"/>
  <c r="M447" i="79"/>
  <c r="M448" i="79"/>
  <c r="M449" i="79"/>
  <c r="M450" i="79"/>
  <c r="M451" i="79"/>
  <c r="M452" i="79"/>
  <c r="M453" i="79"/>
  <c r="M454" i="79"/>
  <c r="M455" i="79"/>
  <c r="M456" i="79"/>
  <c r="M457" i="79"/>
  <c r="M458" i="79"/>
  <c r="M459" i="79"/>
  <c r="M460" i="79"/>
  <c r="M461" i="79"/>
  <c r="M462" i="79"/>
  <c r="M463" i="79"/>
  <c r="M464" i="79"/>
  <c r="M465" i="79"/>
  <c r="M466" i="79"/>
  <c r="M467" i="79"/>
  <c r="M468" i="79"/>
  <c r="M469" i="79"/>
  <c r="M470" i="79"/>
  <c r="M471" i="79"/>
  <c r="M472" i="79"/>
  <c r="M473" i="79"/>
  <c r="M474" i="79"/>
  <c r="M475" i="79"/>
  <c r="M476" i="79"/>
  <c r="M477" i="79"/>
  <c r="M478" i="79"/>
  <c r="M479" i="79"/>
  <c r="M480" i="79"/>
  <c r="M481" i="79"/>
  <c r="M482" i="79"/>
  <c r="M483" i="79"/>
  <c r="M484" i="79"/>
  <c r="M485" i="79"/>
  <c r="M486" i="79"/>
  <c r="M487" i="79"/>
  <c r="M488" i="79"/>
  <c r="M489" i="79"/>
  <c r="M490" i="79"/>
  <c r="M491" i="79"/>
  <c r="M492" i="79"/>
  <c r="M493" i="79"/>
  <c r="M494" i="79"/>
  <c r="M495" i="79"/>
  <c r="M496" i="79"/>
  <c r="M497" i="79"/>
  <c r="M498" i="79"/>
  <c r="M499" i="79"/>
  <c r="M500" i="79"/>
  <c r="M501" i="79"/>
  <c r="M502" i="79"/>
  <c r="M503" i="79"/>
  <c r="M504" i="79"/>
  <c r="M505" i="79"/>
  <c r="M506" i="79"/>
  <c r="M507" i="79"/>
  <c r="M508" i="79"/>
  <c r="M509" i="79"/>
  <c r="M510" i="79"/>
  <c r="M511" i="79"/>
  <c r="M512" i="79"/>
  <c r="M513" i="79"/>
  <c r="M514" i="79"/>
  <c r="M515" i="79"/>
  <c r="M516" i="79"/>
  <c r="M517" i="79"/>
  <c r="M518" i="79"/>
  <c r="M519" i="79"/>
  <c r="M520" i="79"/>
  <c r="M521" i="79"/>
  <c r="M522" i="79"/>
  <c r="M523" i="79"/>
  <c r="M524" i="79"/>
  <c r="M525" i="79"/>
  <c r="M526" i="79"/>
  <c r="M527" i="79"/>
  <c r="M528" i="79"/>
  <c r="M529" i="79"/>
  <c r="M530" i="79"/>
  <c r="M531" i="79"/>
  <c r="M532" i="79"/>
  <c r="M533" i="79"/>
  <c r="M534" i="79"/>
  <c r="M535" i="79"/>
  <c r="M536" i="79"/>
  <c r="M537" i="79"/>
  <c r="M538" i="79"/>
  <c r="M539" i="79"/>
  <c r="M540" i="79"/>
  <c r="M541" i="79"/>
  <c r="M542" i="79"/>
  <c r="M543" i="79"/>
  <c r="M544" i="79"/>
  <c r="M545" i="79"/>
  <c r="M546" i="79"/>
  <c r="M547" i="79"/>
  <c r="M548" i="79"/>
  <c r="M549" i="79"/>
  <c r="M550" i="79"/>
  <c r="M551" i="79"/>
  <c r="M552" i="79"/>
  <c r="M553" i="79"/>
  <c r="M554" i="79"/>
  <c r="M555" i="79"/>
  <c r="M556" i="79"/>
  <c r="M557" i="79"/>
  <c r="M562" i="79"/>
  <c r="L562" i="79"/>
  <c r="K3" i="79"/>
  <c r="K4" i="79"/>
  <c r="K5" i="79"/>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70" i="79"/>
  <c r="K71" i="79"/>
  <c r="K72" i="79"/>
  <c r="K73" i="79"/>
  <c r="K74" i="79"/>
  <c r="K75" i="79"/>
  <c r="K76" i="79"/>
  <c r="K77" i="79"/>
  <c r="K78" i="79"/>
  <c r="K79" i="79"/>
  <c r="K80" i="79"/>
  <c r="K81" i="79"/>
  <c r="K82" i="79"/>
  <c r="K83" i="79"/>
  <c r="K84" i="79"/>
  <c r="K85" i="79"/>
  <c r="K86" i="79"/>
  <c r="K87" i="79"/>
  <c r="K88" i="79"/>
  <c r="K89" i="79"/>
  <c r="K90" i="79"/>
  <c r="K91" i="79"/>
  <c r="K92" i="79"/>
  <c r="K93" i="79"/>
  <c r="K94" i="79"/>
  <c r="K95" i="79"/>
  <c r="K96" i="79"/>
  <c r="K97" i="79"/>
  <c r="K98" i="79"/>
  <c r="K99" i="79"/>
  <c r="K100" i="79"/>
  <c r="K101" i="79"/>
  <c r="K102" i="79"/>
  <c r="K103" i="79"/>
  <c r="K104" i="79"/>
  <c r="K105" i="79"/>
  <c r="K106" i="79"/>
  <c r="K107" i="79"/>
  <c r="K108" i="79"/>
  <c r="K109" i="79"/>
  <c r="K110" i="79"/>
  <c r="K111" i="79"/>
  <c r="K112" i="79"/>
  <c r="K113" i="79"/>
  <c r="K114" i="79"/>
  <c r="K115" i="79"/>
  <c r="K116" i="79"/>
  <c r="K117" i="79"/>
  <c r="K118" i="79"/>
  <c r="K119" i="79"/>
  <c r="K120" i="79"/>
  <c r="K121" i="79"/>
  <c r="K122" i="79"/>
  <c r="K123" i="79"/>
  <c r="K124" i="79"/>
  <c r="K125" i="79"/>
  <c r="K126" i="79"/>
  <c r="K127" i="79"/>
  <c r="K128" i="79"/>
  <c r="K129" i="79"/>
  <c r="K130" i="79"/>
  <c r="K131" i="79"/>
  <c r="K132" i="79"/>
  <c r="K133" i="79"/>
  <c r="K134" i="79"/>
  <c r="K135" i="79"/>
  <c r="K136" i="79"/>
  <c r="K137" i="79"/>
  <c r="K138" i="79"/>
  <c r="K139" i="79"/>
  <c r="K140" i="79"/>
  <c r="K141" i="79"/>
  <c r="K142" i="79"/>
  <c r="K143" i="79"/>
  <c r="K144" i="79"/>
  <c r="K145" i="79"/>
  <c r="K146" i="79"/>
  <c r="K147" i="79"/>
  <c r="K148" i="79"/>
  <c r="K149" i="79"/>
  <c r="K150" i="79"/>
  <c r="K151" i="79"/>
  <c r="K152" i="79"/>
  <c r="K153" i="79"/>
  <c r="K154" i="79"/>
  <c r="K155" i="79"/>
  <c r="K156" i="79"/>
  <c r="K157" i="79"/>
  <c r="K158" i="79"/>
  <c r="K159" i="79"/>
  <c r="K160" i="79"/>
  <c r="K161" i="79"/>
  <c r="K162" i="79"/>
  <c r="K163" i="79"/>
  <c r="K164" i="79"/>
  <c r="K165" i="79"/>
  <c r="K166" i="79"/>
  <c r="K167" i="79"/>
  <c r="K168" i="79"/>
  <c r="K169" i="79"/>
  <c r="K170" i="79"/>
  <c r="K171" i="79"/>
  <c r="K172" i="79"/>
  <c r="K173" i="79"/>
  <c r="K174" i="79"/>
  <c r="K175" i="79"/>
  <c r="K176" i="79"/>
  <c r="K177" i="79"/>
  <c r="K178" i="79"/>
  <c r="K179"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K215" i="79"/>
  <c r="K216" i="79"/>
  <c r="K217" i="79"/>
  <c r="K218" i="79"/>
  <c r="K219" i="79"/>
  <c r="K220" i="79"/>
  <c r="K221" i="79"/>
  <c r="K222" i="79"/>
  <c r="K223" i="79"/>
  <c r="K224" i="79"/>
  <c r="K225" i="79"/>
  <c r="K226" i="79"/>
  <c r="K227" i="79"/>
  <c r="K228" i="79"/>
  <c r="K229" i="79"/>
  <c r="K230" i="79"/>
  <c r="K231" i="79"/>
  <c r="K232" i="79"/>
  <c r="K233" i="79"/>
  <c r="K234" i="79"/>
  <c r="K235" i="79"/>
  <c r="K236" i="79"/>
  <c r="K237" i="79"/>
  <c r="K238" i="79"/>
  <c r="K239" i="79"/>
  <c r="K240" i="79"/>
  <c r="K241" i="79"/>
  <c r="K242" i="79"/>
  <c r="K243" i="79"/>
  <c r="K244" i="79"/>
  <c r="K245" i="79"/>
  <c r="K246" i="79"/>
  <c r="K247" i="79"/>
  <c r="K248" i="79"/>
  <c r="K249" i="79"/>
  <c r="K250" i="79"/>
  <c r="K251" i="79"/>
  <c r="K252" i="79"/>
  <c r="K253" i="79"/>
  <c r="K254" i="79"/>
  <c r="K255" i="79"/>
  <c r="K256" i="79"/>
  <c r="K257" i="79"/>
  <c r="K258" i="79"/>
  <c r="K259" i="79"/>
  <c r="K260" i="79"/>
  <c r="K261" i="79"/>
  <c r="K262" i="79"/>
  <c r="K263" i="79"/>
  <c r="K264" i="79"/>
  <c r="K265" i="79"/>
  <c r="K266" i="79"/>
  <c r="K267" i="79"/>
  <c r="K268" i="79"/>
  <c r="K269" i="79"/>
  <c r="K270" i="79"/>
  <c r="K271" i="79"/>
  <c r="K272" i="79"/>
  <c r="K273" i="79"/>
  <c r="K274" i="79"/>
  <c r="K275" i="79"/>
  <c r="K276" i="79"/>
  <c r="K277" i="79"/>
  <c r="K278" i="79"/>
  <c r="K279" i="79"/>
  <c r="K280" i="79"/>
  <c r="K281" i="79"/>
  <c r="K282" i="79"/>
  <c r="K283" i="79"/>
  <c r="K284" i="79"/>
  <c r="K285" i="79"/>
  <c r="K286" i="79"/>
  <c r="K287" i="79"/>
  <c r="K288" i="79"/>
  <c r="K289" i="79"/>
  <c r="K290" i="79"/>
  <c r="K291" i="79"/>
  <c r="K292" i="79"/>
  <c r="K293" i="79"/>
  <c r="K294" i="79"/>
  <c r="K295" i="79"/>
  <c r="K296" i="79"/>
  <c r="K297" i="79"/>
  <c r="K298" i="79"/>
  <c r="K299" i="79"/>
  <c r="K300" i="79"/>
  <c r="K301" i="79"/>
  <c r="K302" i="79"/>
  <c r="K303" i="79"/>
  <c r="K304" i="79"/>
  <c r="K305" i="79"/>
  <c r="K306" i="79"/>
  <c r="K307" i="79"/>
  <c r="K308" i="79"/>
  <c r="K309" i="79"/>
  <c r="K310" i="79"/>
  <c r="K311" i="79"/>
  <c r="K312" i="79"/>
  <c r="K313" i="79"/>
  <c r="K314" i="79"/>
  <c r="K315" i="79"/>
  <c r="K316" i="79"/>
  <c r="K317" i="79"/>
  <c r="K318" i="79"/>
  <c r="K319" i="79"/>
  <c r="K320" i="79"/>
  <c r="K321" i="79"/>
  <c r="K322" i="79"/>
  <c r="K323" i="79"/>
  <c r="K324" i="79"/>
  <c r="K325" i="79"/>
  <c r="K326" i="79"/>
  <c r="K327" i="79"/>
  <c r="K328" i="79"/>
  <c r="K329" i="79"/>
  <c r="K330" i="79"/>
  <c r="K331" i="79"/>
  <c r="K332" i="79"/>
  <c r="K333" i="79"/>
  <c r="K334" i="79"/>
  <c r="K335" i="79"/>
  <c r="K336" i="79"/>
  <c r="K337" i="79"/>
  <c r="K338" i="79"/>
  <c r="K339" i="79"/>
  <c r="K340" i="79"/>
  <c r="K341" i="79"/>
  <c r="K342" i="79"/>
  <c r="K343" i="79"/>
  <c r="K344" i="79"/>
  <c r="K345" i="79"/>
  <c r="K346" i="79"/>
  <c r="K347" i="79"/>
  <c r="K348" i="79"/>
  <c r="K349" i="79"/>
  <c r="K350" i="79"/>
  <c r="K351" i="79"/>
  <c r="K352" i="79"/>
  <c r="K353" i="79"/>
  <c r="K354" i="79"/>
  <c r="K355" i="79"/>
  <c r="K356" i="79"/>
  <c r="K357" i="79"/>
  <c r="K358" i="79"/>
  <c r="K359" i="79"/>
  <c r="K360" i="79"/>
  <c r="K361" i="79"/>
  <c r="K362" i="79"/>
  <c r="K363" i="79"/>
  <c r="K364" i="79"/>
  <c r="K365" i="79"/>
  <c r="K366" i="79"/>
  <c r="K367" i="79"/>
  <c r="K368" i="79"/>
  <c r="K369" i="79"/>
  <c r="K370" i="79"/>
  <c r="K371" i="79"/>
  <c r="K372" i="79"/>
  <c r="K373" i="79"/>
  <c r="K374" i="79"/>
  <c r="K375" i="79"/>
  <c r="K376" i="79"/>
  <c r="K377" i="79"/>
  <c r="K378" i="79"/>
  <c r="K379" i="79"/>
  <c r="K380" i="79"/>
  <c r="K381" i="79"/>
  <c r="K382" i="79"/>
  <c r="K383" i="79"/>
  <c r="K384" i="79"/>
  <c r="K385" i="79"/>
  <c r="K386" i="79"/>
  <c r="K387" i="79"/>
  <c r="K388" i="79"/>
  <c r="K389" i="79"/>
  <c r="K390" i="79"/>
  <c r="K391" i="79"/>
  <c r="K392" i="79"/>
  <c r="K393" i="79"/>
  <c r="K394" i="79"/>
  <c r="K395" i="79"/>
  <c r="K396" i="79"/>
  <c r="K397" i="79"/>
  <c r="K398" i="79"/>
  <c r="K399" i="79"/>
  <c r="K400" i="79"/>
  <c r="K401" i="79"/>
  <c r="K402" i="79"/>
  <c r="K403" i="79"/>
  <c r="K404" i="79"/>
  <c r="K405" i="79"/>
  <c r="K406" i="79"/>
  <c r="K407" i="79"/>
  <c r="K408" i="79"/>
  <c r="K409" i="79"/>
  <c r="K410" i="79"/>
  <c r="K411" i="79"/>
  <c r="K412" i="79"/>
  <c r="K413" i="79"/>
  <c r="K414" i="79"/>
  <c r="K415" i="79"/>
  <c r="K416" i="79"/>
  <c r="K417" i="79"/>
  <c r="K418" i="79"/>
  <c r="K419" i="79"/>
  <c r="K420" i="79"/>
  <c r="K421" i="79"/>
  <c r="K422" i="79"/>
  <c r="K423" i="79"/>
  <c r="K424" i="79"/>
  <c r="K425" i="79"/>
  <c r="K426" i="79"/>
  <c r="K427" i="79"/>
  <c r="K428" i="79"/>
  <c r="K429" i="79"/>
  <c r="K430" i="79"/>
  <c r="K431" i="79"/>
  <c r="K432" i="79"/>
  <c r="K433" i="79"/>
  <c r="K434" i="79"/>
  <c r="K435" i="79"/>
  <c r="K436" i="79"/>
  <c r="K437" i="79"/>
  <c r="K438" i="79"/>
  <c r="K439" i="79"/>
  <c r="K440" i="79"/>
  <c r="K441" i="79"/>
  <c r="K442" i="79"/>
  <c r="K443" i="79"/>
  <c r="K444" i="79"/>
  <c r="K445" i="79"/>
  <c r="K446" i="79"/>
  <c r="K447" i="79"/>
  <c r="K448" i="79"/>
  <c r="K449" i="79"/>
  <c r="K450" i="79"/>
  <c r="K451" i="79"/>
  <c r="K452" i="79"/>
  <c r="K453" i="79"/>
  <c r="K454" i="79"/>
  <c r="K455" i="79"/>
  <c r="K456" i="79"/>
  <c r="K457" i="79"/>
  <c r="K458" i="79"/>
  <c r="K459" i="79"/>
  <c r="K460" i="79"/>
  <c r="K461" i="79"/>
  <c r="K462" i="79"/>
  <c r="K463" i="79"/>
  <c r="K464" i="79"/>
  <c r="K465" i="79"/>
  <c r="K466" i="79"/>
  <c r="K467" i="79"/>
  <c r="K468" i="79"/>
  <c r="K469" i="79"/>
  <c r="K470" i="79"/>
  <c r="K471" i="79"/>
  <c r="K472" i="79"/>
  <c r="K473" i="79"/>
  <c r="K474" i="79"/>
  <c r="K475" i="79"/>
  <c r="K476" i="79"/>
  <c r="K477" i="79"/>
  <c r="K478" i="79"/>
  <c r="K479" i="79"/>
  <c r="K480" i="79"/>
  <c r="K481" i="79"/>
  <c r="K482" i="79"/>
  <c r="K483" i="79"/>
  <c r="K484" i="79"/>
  <c r="K485" i="79"/>
  <c r="K486" i="79"/>
  <c r="K487" i="79"/>
  <c r="K488" i="79"/>
  <c r="K489" i="79"/>
  <c r="K490" i="79"/>
  <c r="K491" i="79"/>
  <c r="K492" i="79"/>
  <c r="K493" i="79"/>
  <c r="K494" i="79"/>
  <c r="K495" i="79"/>
  <c r="K496" i="79"/>
  <c r="K497" i="79"/>
  <c r="K498" i="79"/>
  <c r="K499" i="79"/>
  <c r="K500" i="79"/>
  <c r="K501" i="79"/>
  <c r="K502" i="79"/>
  <c r="K503" i="79"/>
  <c r="K504" i="79"/>
  <c r="K505" i="79"/>
  <c r="K506" i="79"/>
  <c r="K507" i="79"/>
  <c r="K508" i="79"/>
  <c r="K509" i="79"/>
  <c r="K510" i="79"/>
  <c r="K511" i="79"/>
  <c r="K512" i="79"/>
  <c r="K513" i="79"/>
  <c r="K514" i="79"/>
  <c r="K515" i="79"/>
  <c r="K516" i="79"/>
  <c r="K518" i="79"/>
  <c r="K519" i="79"/>
  <c r="K520" i="79"/>
  <c r="K521" i="79"/>
  <c r="K522" i="79"/>
  <c r="K523" i="79"/>
  <c r="K524" i="79"/>
  <c r="K525" i="79"/>
  <c r="K526" i="79"/>
  <c r="K527" i="79"/>
  <c r="K528" i="79"/>
  <c r="K529" i="79"/>
  <c r="K530" i="79"/>
  <c r="K531" i="79"/>
  <c r="K532" i="79"/>
  <c r="K533" i="79"/>
  <c r="K534" i="79"/>
  <c r="K535" i="79"/>
  <c r="K536" i="79"/>
  <c r="K537" i="79"/>
  <c r="K538" i="79"/>
  <c r="K539" i="79"/>
  <c r="K540" i="79"/>
  <c r="K541" i="79"/>
  <c r="K542" i="79"/>
  <c r="K543" i="79"/>
  <c r="K544" i="79"/>
  <c r="K545" i="79"/>
  <c r="K546" i="79"/>
  <c r="K547" i="79"/>
  <c r="K548" i="79"/>
  <c r="K549" i="79"/>
  <c r="K550" i="79"/>
  <c r="K551" i="79"/>
  <c r="K552" i="79"/>
  <c r="K553" i="79"/>
  <c r="K554" i="79"/>
  <c r="K555" i="79"/>
  <c r="K556" i="79"/>
  <c r="K557" i="79"/>
  <c r="K561" i="79"/>
  <c r="K562" i="79"/>
  <c r="J562" i="79"/>
  <c r="I562" i="79"/>
  <c r="G562" i="79"/>
  <c r="F562" i="79"/>
  <c r="BA557" i="79"/>
  <c r="H557" i="79"/>
  <c r="BA556" i="79"/>
  <c r="H556" i="79"/>
  <c r="BA555" i="79"/>
  <c r="H555" i="79"/>
  <c r="BA554" i="79"/>
  <c r="H554" i="79"/>
  <c r="BA553" i="79"/>
  <c r="H553" i="79"/>
  <c r="BA552" i="79"/>
  <c r="H552" i="79"/>
  <c r="BA551" i="79"/>
  <c r="H551" i="79"/>
  <c r="BA550" i="79"/>
  <c r="H550" i="79"/>
  <c r="BA549" i="79"/>
  <c r="H549" i="79"/>
  <c r="BA548" i="79"/>
  <c r="H548" i="79"/>
  <c r="BA547" i="79"/>
  <c r="H547" i="79"/>
  <c r="BA546" i="79"/>
  <c r="H546" i="79"/>
  <c r="BA545" i="79"/>
  <c r="H545" i="79"/>
  <c r="BA544" i="79"/>
  <c r="H544" i="79"/>
  <c r="BA543" i="79"/>
  <c r="H543" i="79"/>
  <c r="BA542" i="79"/>
  <c r="H542" i="79"/>
  <c r="BA541" i="79"/>
  <c r="H541" i="79"/>
  <c r="BA540" i="79"/>
  <c r="H540" i="79"/>
  <c r="BA539" i="79"/>
  <c r="H539" i="79"/>
  <c r="BA538" i="79"/>
  <c r="H538" i="79"/>
  <c r="BA537" i="79"/>
  <c r="H537" i="79"/>
  <c r="BA536" i="79"/>
  <c r="H536" i="79"/>
  <c r="BA535" i="79"/>
  <c r="H535" i="79"/>
  <c r="BA534" i="79"/>
  <c r="H534" i="79"/>
  <c r="BA533" i="79"/>
  <c r="H533" i="79"/>
  <c r="BA532" i="79"/>
  <c r="H532" i="79"/>
  <c r="BA531" i="79"/>
  <c r="H531" i="79"/>
  <c r="BA530" i="79"/>
  <c r="H530" i="79"/>
  <c r="BA529" i="79"/>
  <c r="H529" i="79"/>
  <c r="BA528" i="79"/>
  <c r="H528" i="79"/>
  <c r="BA527" i="79"/>
  <c r="H527" i="79"/>
  <c r="BA526" i="79"/>
  <c r="H526" i="79"/>
  <c r="BA525" i="79"/>
  <c r="H525" i="79"/>
  <c r="BA524" i="79"/>
  <c r="H524" i="79"/>
  <c r="BA523" i="79"/>
  <c r="H523" i="79"/>
  <c r="BA522" i="79"/>
  <c r="H522" i="79"/>
  <c r="BA521" i="79"/>
  <c r="H521" i="79"/>
  <c r="BA520" i="79"/>
  <c r="H520" i="79"/>
  <c r="BA519" i="79"/>
  <c r="H519" i="79"/>
  <c r="BA518" i="79"/>
  <c r="H518" i="79"/>
  <c r="BA517" i="79"/>
  <c r="H517" i="79"/>
  <c r="BA516" i="79"/>
  <c r="H516" i="79"/>
  <c r="BA515" i="79"/>
  <c r="H515" i="79"/>
  <c r="BA514" i="79"/>
  <c r="H514" i="79"/>
  <c r="BA513" i="79"/>
  <c r="H513" i="79"/>
  <c r="BA512" i="79"/>
  <c r="H512" i="79"/>
  <c r="BA511" i="79"/>
  <c r="H511" i="79"/>
  <c r="BA510" i="79"/>
  <c r="H510" i="79"/>
  <c r="BA509" i="79"/>
  <c r="H509" i="79"/>
  <c r="BA508" i="79"/>
  <c r="H508" i="79"/>
  <c r="BA507" i="79"/>
  <c r="H507" i="79"/>
  <c r="BA506" i="79"/>
  <c r="H506" i="79"/>
  <c r="BA505" i="79"/>
  <c r="H505" i="79"/>
  <c r="BA504" i="79"/>
  <c r="H504" i="79"/>
  <c r="BA503" i="79"/>
  <c r="H503" i="79"/>
  <c r="BA502" i="79"/>
  <c r="H502" i="79"/>
  <c r="BA501" i="79"/>
  <c r="H501" i="79"/>
  <c r="BA500" i="79"/>
  <c r="H500" i="79"/>
  <c r="BA499" i="79"/>
  <c r="H499" i="79"/>
  <c r="BA498" i="79"/>
  <c r="H498" i="79"/>
  <c r="BA497" i="79"/>
  <c r="H497" i="79"/>
  <c r="BA496" i="79"/>
  <c r="H496" i="79"/>
  <c r="BJ495" i="79"/>
  <c r="BI495" i="79"/>
  <c r="BG495" i="79"/>
  <c r="BA495" i="79"/>
  <c r="AK495" i="79"/>
  <c r="H495" i="79"/>
  <c r="BJ494" i="79"/>
  <c r="BI494" i="79"/>
  <c r="BG494" i="79"/>
  <c r="BA494" i="79"/>
  <c r="AK494" i="79"/>
  <c r="H494" i="79"/>
  <c r="BJ493" i="79"/>
  <c r="BI493" i="79"/>
  <c r="BG493" i="79"/>
  <c r="BA493" i="79"/>
  <c r="AK493" i="79"/>
  <c r="H493" i="79"/>
  <c r="BJ492" i="79"/>
  <c r="BI492" i="79"/>
  <c r="BG492" i="79"/>
  <c r="BA492" i="79"/>
  <c r="AK492" i="79"/>
  <c r="H492" i="79"/>
  <c r="BJ491" i="79"/>
  <c r="BI491" i="79"/>
  <c r="BG491" i="79"/>
  <c r="BA491" i="79"/>
  <c r="AK491" i="79"/>
  <c r="H491" i="79"/>
  <c r="BJ490" i="79"/>
  <c r="BI490" i="79"/>
  <c r="BG490" i="79"/>
  <c r="BA490" i="79"/>
  <c r="AK490" i="79"/>
  <c r="H490" i="79"/>
  <c r="BJ489" i="79"/>
  <c r="BI489" i="79"/>
  <c r="BG489" i="79"/>
  <c r="BA489" i="79"/>
  <c r="AK489" i="79"/>
  <c r="H489" i="79"/>
  <c r="BJ488" i="79"/>
  <c r="BI488" i="79"/>
  <c r="BG488" i="79"/>
  <c r="BA488" i="79"/>
  <c r="AK488" i="79"/>
  <c r="H488" i="79"/>
  <c r="BJ487" i="79"/>
  <c r="BI487" i="79"/>
  <c r="BG487" i="79"/>
  <c r="BA487" i="79"/>
  <c r="AK487" i="79"/>
  <c r="H487" i="79"/>
  <c r="BJ486" i="79"/>
  <c r="BI486" i="79"/>
  <c r="BG486" i="79"/>
  <c r="BA486" i="79"/>
  <c r="AK486" i="79"/>
  <c r="H486" i="79"/>
  <c r="BJ485" i="79"/>
  <c r="BI485" i="79"/>
  <c r="BG485" i="79"/>
  <c r="BA485" i="79"/>
  <c r="AK485" i="79"/>
  <c r="H485" i="79"/>
  <c r="BJ484" i="79"/>
  <c r="BI484" i="79"/>
  <c r="BA484" i="79"/>
  <c r="AK484" i="79"/>
  <c r="H484" i="79"/>
  <c r="BJ483" i="79"/>
  <c r="BI483" i="79"/>
  <c r="BG483" i="79"/>
  <c r="BA483" i="79"/>
  <c r="AK483" i="79"/>
  <c r="H483" i="79"/>
  <c r="BJ482" i="79"/>
  <c r="BI482" i="79"/>
  <c r="BG482" i="79"/>
  <c r="BA482" i="79"/>
  <c r="AK482" i="79"/>
  <c r="H482" i="79"/>
  <c r="BJ481" i="79"/>
  <c r="BI481" i="79"/>
  <c r="BG481" i="79"/>
  <c r="BA481" i="79"/>
  <c r="AK481" i="79"/>
  <c r="H481" i="79"/>
  <c r="BJ480" i="79"/>
  <c r="BI480" i="79"/>
  <c r="BG480" i="79"/>
  <c r="BA480" i="79"/>
  <c r="AK480" i="79"/>
  <c r="H480" i="79"/>
  <c r="BJ479" i="79"/>
  <c r="BI479" i="79"/>
  <c r="BG479" i="79"/>
  <c r="BA479" i="79"/>
  <c r="AK479" i="79"/>
  <c r="H479" i="79"/>
  <c r="BJ478" i="79"/>
  <c r="BI478" i="79"/>
  <c r="BG478" i="79"/>
  <c r="BA478" i="79"/>
  <c r="AK478" i="79"/>
  <c r="H478" i="79"/>
  <c r="BJ477" i="79"/>
  <c r="BI477" i="79"/>
  <c r="BG477" i="79"/>
  <c r="BA477" i="79"/>
  <c r="AK477" i="79"/>
  <c r="H477" i="79"/>
  <c r="BJ476" i="79"/>
  <c r="BI476" i="79"/>
  <c r="BG476" i="79"/>
  <c r="BA476" i="79"/>
  <c r="AK476" i="79"/>
  <c r="H476" i="79"/>
  <c r="BJ475" i="79"/>
  <c r="BI475" i="79"/>
  <c r="BG475" i="79"/>
  <c r="BA475" i="79"/>
  <c r="AK475" i="79"/>
  <c r="H475" i="79"/>
  <c r="BJ474" i="79"/>
  <c r="BI474" i="79"/>
  <c r="BG474" i="79"/>
  <c r="BA474" i="79"/>
  <c r="AK474" i="79"/>
  <c r="H474" i="79"/>
  <c r="BJ473" i="79"/>
  <c r="BI473" i="79"/>
  <c r="BG473" i="79"/>
  <c r="BA473" i="79"/>
  <c r="AK473" i="79"/>
  <c r="H473" i="79"/>
  <c r="BJ472" i="79"/>
  <c r="BI472" i="79"/>
  <c r="BA472" i="79"/>
  <c r="AK472" i="79"/>
  <c r="H472" i="79"/>
  <c r="BJ471" i="79"/>
  <c r="BI471" i="79"/>
  <c r="BG471" i="79"/>
  <c r="BA471" i="79"/>
  <c r="AK471" i="79"/>
  <c r="H471" i="79"/>
  <c r="BJ470" i="79"/>
  <c r="BI470" i="79"/>
  <c r="BG470" i="79"/>
  <c r="BA470" i="79"/>
  <c r="AK470" i="79"/>
  <c r="H470" i="79"/>
  <c r="BJ469" i="79"/>
  <c r="BI469" i="79"/>
  <c r="BG469" i="79"/>
  <c r="BA469" i="79"/>
  <c r="AK469" i="79"/>
  <c r="H469" i="79"/>
  <c r="BJ468" i="79"/>
  <c r="BI468" i="79"/>
  <c r="BG468" i="79"/>
  <c r="BA468" i="79"/>
  <c r="AK468" i="79"/>
  <c r="H468" i="79"/>
  <c r="BJ467" i="79"/>
  <c r="BI467" i="79"/>
  <c r="BG467" i="79"/>
  <c r="BA467" i="79"/>
  <c r="AK467" i="79"/>
  <c r="H467" i="79"/>
  <c r="BJ466" i="79"/>
  <c r="BI466" i="79"/>
  <c r="BG466" i="79"/>
  <c r="BA466" i="79"/>
  <c r="AK466" i="79"/>
  <c r="H466" i="79"/>
  <c r="BJ465" i="79"/>
  <c r="BI465" i="79"/>
  <c r="BA465" i="79"/>
  <c r="AK465" i="79"/>
  <c r="H465" i="79"/>
  <c r="BJ464" i="79"/>
  <c r="BI464" i="79"/>
  <c r="BG464" i="79"/>
  <c r="BA464" i="79"/>
  <c r="AK464" i="79"/>
  <c r="H464" i="79"/>
  <c r="BJ463" i="79"/>
  <c r="BI463" i="79"/>
  <c r="BG463" i="79"/>
  <c r="BA463" i="79"/>
  <c r="AK463" i="79"/>
  <c r="H463" i="79"/>
  <c r="BJ462" i="79"/>
  <c r="BI462" i="79"/>
  <c r="BA462" i="79"/>
  <c r="AK462" i="79"/>
  <c r="H462" i="79"/>
  <c r="BJ461" i="79"/>
  <c r="BI461" i="79"/>
  <c r="BG461" i="79"/>
  <c r="BA461" i="79"/>
  <c r="AK461" i="79"/>
  <c r="H461" i="79"/>
  <c r="BJ460" i="79"/>
  <c r="BI460" i="79"/>
  <c r="BG460" i="79"/>
  <c r="BA460" i="79"/>
  <c r="AK460" i="79"/>
  <c r="H460" i="79"/>
  <c r="BJ459" i="79"/>
  <c r="BI459" i="79"/>
  <c r="BG459" i="79"/>
  <c r="BA459" i="79"/>
  <c r="AK459" i="79"/>
  <c r="H459" i="79"/>
  <c r="BJ458" i="79"/>
  <c r="BI458" i="79"/>
  <c r="BG458" i="79"/>
  <c r="BA458" i="79"/>
  <c r="AK458" i="79"/>
  <c r="H458" i="79"/>
  <c r="BJ457" i="79"/>
  <c r="BI457" i="79"/>
  <c r="BG457" i="79"/>
  <c r="BA457" i="79"/>
  <c r="AK457" i="79"/>
  <c r="H457" i="79"/>
  <c r="BJ456" i="79"/>
  <c r="BI456" i="79"/>
  <c r="BA456" i="79"/>
  <c r="AK456" i="79"/>
  <c r="H456" i="79"/>
  <c r="BJ455" i="79"/>
  <c r="BI455" i="79"/>
  <c r="BG455" i="79"/>
  <c r="BA455" i="79"/>
  <c r="AK455" i="79"/>
  <c r="H455" i="79"/>
  <c r="BJ454" i="79"/>
  <c r="BI454" i="79"/>
  <c r="BG454" i="79"/>
  <c r="BA454" i="79"/>
  <c r="AK454" i="79"/>
  <c r="H454" i="79"/>
  <c r="BJ453" i="79"/>
  <c r="BI453" i="79"/>
  <c r="BG453" i="79"/>
  <c r="BA453" i="79"/>
  <c r="AK453" i="79"/>
  <c r="H453" i="79"/>
  <c r="BI452" i="79"/>
  <c r="BL452" i="79"/>
  <c r="BJ452" i="79"/>
  <c r="BA452" i="79"/>
  <c r="AK452" i="79"/>
  <c r="H452" i="79"/>
  <c r="BJ451" i="79"/>
  <c r="BI451" i="79"/>
  <c r="BG451" i="79"/>
  <c r="BA451" i="79"/>
  <c r="AK451" i="79"/>
  <c r="H451" i="79"/>
  <c r="BJ450" i="79"/>
  <c r="BI450" i="79"/>
  <c r="BG450" i="79"/>
  <c r="BA450" i="79"/>
  <c r="AK450" i="79"/>
  <c r="H450" i="79"/>
  <c r="BJ449" i="79"/>
  <c r="BI449" i="79"/>
  <c r="BG449" i="79"/>
  <c r="BA449" i="79"/>
  <c r="AK449" i="79"/>
  <c r="H449" i="79"/>
  <c r="BJ448" i="79"/>
  <c r="BI448" i="79"/>
  <c r="BG448" i="79"/>
  <c r="BA448" i="79"/>
  <c r="AK448" i="79"/>
  <c r="H448" i="79"/>
  <c r="BI447" i="79"/>
  <c r="BL447" i="79"/>
  <c r="BJ447" i="79"/>
  <c r="BA447" i="79"/>
  <c r="AK447" i="79"/>
  <c r="H447" i="79"/>
  <c r="BJ446" i="79"/>
  <c r="BI446" i="79"/>
  <c r="BG446" i="79"/>
  <c r="BA446" i="79"/>
  <c r="AK446" i="79"/>
  <c r="H446" i="79"/>
  <c r="BJ445" i="79"/>
  <c r="BI445" i="79"/>
  <c r="BG445" i="79"/>
  <c r="BA445" i="79"/>
  <c r="AK445" i="79"/>
  <c r="H445" i="79"/>
  <c r="BJ444" i="79"/>
  <c r="BI444" i="79"/>
  <c r="BG444" i="79"/>
  <c r="BA444" i="79"/>
  <c r="AK444" i="79"/>
  <c r="H444" i="79"/>
  <c r="BJ443" i="79"/>
  <c r="BI443" i="79"/>
  <c r="BG443" i="79"/>
  <c r="BA443" i="79"/>
  <c r="AK443" i="79"/>
  <c r="H443" i="79"/>
  <c r="BI442" i="79"/>
  <c r="BL442" i="79"/>
  <c r="BJ442" i="79"/>
  <c r="BA442" i="79"/>
  <c r="AK442" i="79"/>
  <c r="H442" i="79"/>
  <c r="BJ441" i="79"/>
  <c r="BI441" i="79"/>
  <c r="BG441" i="79"/>
  <c r="BA441" i="79"/>
  <c r="AK441" i="79"/>
  <c r="H441" i="79"/>
  <c r="BJ440" i="79"/>
  <c r="BI440" i="79"/>
  <c r="BG440" i="79"/>
  <c r="BA440" i="79"/>
  <c r="AK440" i="79"/>
  <c r="H440" i="79"/>
  <c r="BJ439" i="79"/>
  <c r="BI439" i="79"/>
  <c r="BG439" i="79"/>
  <c r="BA439" i="79"/>
  <c r="AK439" i="79"/>
  <c r="H439" i="79"/>
  <c r="BJ438" i="79"/>
  <c r="BI438" i="79"/>
  <c r="BG438" i="79"/>
  <c r="BA438" i="79"/>
  <c r="AK438" i="79"/>
  <c r="H438" i="79"/>
  <c r="BJ437" i="79"/>
  <c r="BI437" i="79"/>
  <c r="BG437" i="79"/>
  <c r="BA437" i="79"/>
  <c r="AK437" i="79"/>
  <c r="H437" i="79"/>
  <c r="BJ436" i="79"/>
  <c r="BI436" i="79"/>
  <c r="BG436" i="79"/>
  <c r="BA436" i="79"/>
  <c r="AK436" i="79"/>
  <c r="H436" i="79"/>
  <c r="BJ435" i="79"/>
  <c r="BI435" i="79"/>
  <c r="BG435" i="79"/>
  <c r="BA435" i="79"/>
  <c r="AK435" i="79"/>
  <c r="H435" i="79"/>
  <c r="BJ434" i="79"/>
  <c r="BI434" i="79"/>
  <c r="BG434" i="79"/>
  <c r="BA434" i="79"/>
  <c r="AK434" i="79"/>
  <c r="H434" i="79"/>
  <c r="BJ433" i="79"/>
  <c r="BI433" i="79"/>
  <c r="BG433" i="79"/>
  <c r="BA433" i="79"/>
  <c r="AK433" i="79"/>
  <c r="H433" i="79"/>
  <c r="BI432" i="79"/>
  <c r="BL432" i="79"/>
  <c r="BJ432" i="79"/>
  <c r="BA432" i="79"/>
  <c r="AK432" i="79"/>
  <c r="H432" i="79"/>
  <c r="BJ431" i="79"/>
  <c r="BI431" i="79"/>
  <c r="BG431" i="79"/>
  <c r="BA431" i="79"/>
  <c r="AK431" i="79"/>
  <c r="H431" i="79"/>
  <c r="BJ430" i="79"/>
  <c r="BI430" i="79"/>
  <c r="BG430" i="79"/>
  <c r="BA430" i="79"/>
  <c r="AK430" i="79"/>
  <c r="H430" i="79"/>
  <c r="BJ429" i="79"/>
  <c r="BI429" i="79"/>
  <c r="BG429" i="79"/>
  <c r="BA429" i="79"/>
  <c r="AK429" i="79"/>
  <c r="H429" i="79"/>
  <c r="BI428" i="79"/>
  <c r="BL428" i="79"/>
  <c r="BJ428" i="79"/>
  <c r="BG428" i="79"/>
  <c r="BA428" i="79"/>
  <c r="AK428" i="79"/>
  <c r="H428" i="79"/>
  <c r="BJ427" i="79"/>
  <c r="BI427" i="79"/>
  <c r="BG427" i="79"/>
  <c r="BA427" i="79"/>
  <c r="AK427" i="79"/>
  <c r="H427" i="79"/>
  <c r="BJ426" i="79"/>
  <c r="BI426" i="79"/>
  <c r="BG426" i="79"/>
  <c r="BA426" i="79"/>
  <c r="AK426" i="79"/>
  <c r="H426" i="79"/>
  <c r="BJ425" i="79"/>
  <c r="BI425" i="79"/>
  <c r="BG425" i="79"/>
  <c r="BA425" i="79"/>
  <c r="AK425" i="79"/>
  <c r="H425" i="79"/>
  <c r="BJ424" i="79"/>
  <c r="BI424" i="79"/>
  <c r="BG424" i="79"/>
  <c r="BA424" i="79"/>
  <c r="AK424" i="79"/>
  <c r="H424" i="79"/>
  <c r="BI423" i="79"/>
  <c r="BL423" i="79"/>
  <c r="BJ423" i="79"/>
  <c r="BA423" i="79"/>
  <c r="AK423" i="79"/>
  <c r="H423" i="79"/>
  <c r="BJ422" i="79"/>
  <c r="BI422" i="79"/>
  <c r="BG422" i="79"/>
  <c r="BA422" i="79"/>
  <c r="AK422" i="79"/>
  <c r="H422" i="79"/>
  <c r="BJ421" i="79"/>
  <c r="BI421" i="79"/>
  <c r="BG421" i="79"/>
  <c r="BA421" i="79"/>
  <c r="AK421" i="79"/>
  <c r="H421" i="79"/>
  <c r="BJ420" i="79"/>
  <c r="BI420" i="79"/>
  <c r="BG420" i="79"/>
  <c r="BA420" i="79"/>
  <c r="AK420" i="79"/>
  <c r="H420" i="79"/>
  <c r="BJ419" i="79"/>
  <c r="BI419" i="79"/>
  <c r="BG419" i="79"/>
  <c r="BA419" i="79"/>
  <c r="AK419" i="79"/>
  <c r="H419" i="79"/>
  <c r="BJ418" i="79"/>
  <c r="BI418" i="79"/>
  <c r="BG418" i="79"/>
  <c r="BA418" i="79"/>
  <c r="AK418" i="79"/>
  <c r="H418" i="79"/>
  <c r="BJ417" i="79"/>
  <c r="BI417" i="79"/>
  <c r="BG417" i="79"/>
  <c r="BA417" i="79"/>
  <c r="AK417" i="79"/>
  <c r="H417" i="79"/>
  <c r="BJ416" i="79"/>
  <c r="BI416" i="79"/>
  <c r="BG416" i="79"/>
  <c r="BA416" i="79"/>
  <c r="AK416" i="79"/>
  <c r="H416" i="79"/>
  <c r="BJ415" i="79"/>
  <c r="BI415" i="79"/>
  <c r="BG415" i="79"/>
  <c r="BA415" i="79"/>
  <c r="AK415" i="79"/>
  <c r="H415" i="79"/>
  <c r="BJ414" i="79"/>
  <c r="BI414" i="79"/>
  <c r="BG414" i="79"/>
  <c r="BA414" i="79"/>
  <c r="AK414" i="79"/>
  <c r="H414" i="79"/>
  <c r="BJ413" i="79"/>
  <c r="BI413" i="79"/>
  <c r="BG413" i="79"/>
  <c r="BA413" i="79"/>
  <c r="AK413" i="79"/>
  <c r="H413" i="79"/>
  <c r="BI412" i="79"/>
  <c r="BL412" i="79"/>
  <c r="BJ412" i="79"/>
  <c r="BG412" i="79"/>
  <c r="BA412" i="79"/>
  <c r="AK412" i="79"/>
  <c r="H412" i="79"/>
  <c r="BJ411" i="79"/>
  <c r="BI411" i="79"/>
  <c r="BG411" i="79"/>
  <c r="BA411" i="79"/>
  <c r="AK411" i="79"/>
  <c r="H411" i="79"/>
  <c r="BJ410" i="79"/>
  <c r="BI410" i="79"/>
  <c r="BG410" i="79"/>
  <c r="BA410" i="79"/>
  <c r="AK410" i="79"/>
  <c r="H410" i="79"/>
  <c r="BJ409" i="79"/>
  <c r="BI409" i="79"/>
  <c r="BG409" i="79"/>
  <c r="BA409" i="79"/>
  <c r="AK409" i="79"/>
  <c r="H409" i="79"/>
  <c r="BJ408" i="79"/>
  <c r="BI408" i="79"/>
  <c r="BG408" i="79"/>
  <c r="BA408" i="79"/>
  <c r="AK408" i="79"/>
  <c r="H408" i="79"/>
  <c r="BI407" i="79"/>
  <c r="BL407" i="79"/>
  <c r="BJ407" i="79"/>
  <c r="BA407" i="79"/>
  <c r="AK407" i="79"/>
  <c r="H407" i="79"/>
  <c r="BJ406" i="79"/>
  <c r="BI406" i="79"/>
  <c r="BG406" i="79"/>
  <c r="BA406" i="79"/>
  <c r="AK406" i="79"/>
  <c r="H406" i="79"/>
  <c r="BI405" i="79"/>
  <c r="BL405" i="79"/>
  <c r="BJ405" i="79"/>
  <c r="BG405" i="79"/>
  <c r="BA405" i="79"/>
  <c r="AK405" i="79"/>
  <c r="H405" i="79"/>
  <c r="BI404" i="79"/>
  <c r="BL404" i="79"/>
  <c r="BJ404" i="79"/>
  <c r="BA404" i="79"/>
  <c r="AK404" i="79"/>
  <c r="H404" i="79"/>
  <c r="BJ403" i="79"/>
  <c r="BI403" i="79"/>
  <c r="BG403" i="79"/>
  <c r="BA403" i="79"/>
  <c r="AK403" i="79"/>
  <c r="H403" i="79"/>
  <c r="BJ402" i="79"/>
  <c r="BI402" i="79"/>
  <c r="BG402" i="79"/>
  <c r="BA402" i="79"/>
  <c r="AK402" i="79"/>
  <c r="H402" i="79"/>
  <c r="BJ401" i="79"/>
  <c r="BI401" i="79"/>
  <c r="BG401" i="79"/>
  <c r="BA401" i="79"/>
  <c r="AK401" i="79"/>
  <c r="H401" i="79"/>
  <c r="BI400" i="79"/>
  <c r="BL400" i="79"/>
  <c r="BJ400" i="79"/>
  <c r="BG400" i="79"/>
  <c r="BA400" i="79"/>
  <c r="AK400" i="79"/>
  <c r="H400" i="79"/>
  <c r="BI399" i="79"/>
  <c r="BL399" i="79"/>
  <c r="BJ399" i="79"/>
  <c r="BA399" i="79"/>
  <c r="AK399" i="79"/>
  <c r="H399" i="79"/>
  <c r="BJ398" i="79"/>
  <c r="BI398" i="79"/>
  <c r="BG398" i="79"/>
  <c r="BA398" i="79"/>
  <c r="AK398" i="79"/>
  <c r="H398" i="79"/>
  <c r="BJ397" i="79"/>
  <c r="BI397" i="79"/>
  <c r="BG397" i="79"/>
  <c r="BA397" i="79"/>
  <c r="AK397" i="79"/>
  <c r="H397" i="79"/>
  <c r="BJ396" i="79"/>
  <c r="BI396" i="79"/>
  <c r="BG396" i="79"/>
  <c r="BA396" i="79"/>
  <c r="AK396" i="79"/>
  <c r="H396" i="79"/>
  <c r="BJ395" i="79"/>
  <c r="BI395" i="79"/>
  <c r="BG395" i="79"/>
  <c r="BA395" i="79"/>
  <c r="AK395" i="79"/>
  <c r="H395" i="79"/>
  <c r="BI394" i="79"/>
  <c r="BL394" i="79"/>
  <c r="BJ394" i="79"/>
  <c r="BA394" i="79"/>
  <c r="AK394" i="79"/>
  <c r="H394" i="79"/>
  <c r="BJ393" i="79"/>
  <c r="BI393" i="79"/>
  <c r="BG393" i="79"/>
  <c r="BA393" i="79"/>
  <c r="AK393" i="79"/>
  <c r="H393" i="79"/>
  <c r="BJ392" i="79"/>
  <c r="BI392" i="79"/>
  <c r="BG392" i="79"/>
  <c r="BA392" i="79"/>
  <c r="AK392" i="79"/>
  <c r="H392" i="79"/>
  <c r="BJ391" i="79"/>
  <c r="BI391" i="79"/>
  <c r="BG391" i="79"/>
  <c r="BA391" i="79"/>
  <c r="AK391" i="79"/>
  <c r="H391" i="79"/>
  <c r="BI390" i="79"/>
  <c r="BL390" i="79"/>
  <c r="BJ390" i="79"/>
  <c r="BA390" i="79"/>
  <c r="AK390" i="79"/>
  <c r="H390" i="79"/>
  <c r="BJ389" i="79"/>
  <c r="BI389" i="79"/>
  <c r="BG389" i="79"/>
  <c r="BA389" i="79"/>
  <c r="AK389" i="79"/>
  <c r="H389" i="79"/>
  <c r="BJ388" i="79"/>
  <c r="BI388" i="79"/>
  <c r="BG388" i="79"/>
  <c r="BA388" i="79"/>
  <c r="AK388" i="79"/>
  <c r="H388" i="79"/>
  <c r="BJ387" i="79"/>
  <c r="BI387" i="79"/>
  <c r="BG387" i="79"/>
  <c r="BA387" i="79"/>
  <c r="AK387" i="79"/>
  <c r="H387" i="79"/>
  <c r="BJ386" i="79"/>
  <c r="BI386" i="79"/>
  <c r="BG386" i="79"/>
  <c r="BA386" i="79"/>
  <c r="AK386" i="79"/>
  <c r="H386" i="79"/>
  <c r="BJ385" i="79"/>
  <c r="BI385" i="79"/>
  <c r="BG385" i="79"/>
  <c r="BA385" i="79"/>
  <c r="AK385" i="79"/>
  <c r="H385" i="79"/>
  <c r="BJ384" i="79"/>
  <c r="BI384" i="79"/>
  <c r="BG384" i="79"/>
  <c r="BA384" i="79"/>
  <c r="AK384" i="79"/>
  <c r="H384" i="79"/>
  <c r="BJ383" i="79"/>
  <c r="BI383" i="79"/>
  <c r="BG383" i="79"/>
  <c r="BA383" i="79"/>
  <c r="AK383" i="79"/>
  <c r="H383" i="79"/>
  <c r="BJ382" i="79"/>
  <c r="BI382" i="79"/>
  <c r="BG382" i="79"/>
  <c r="BA382" i="79"/>
  <c r="AK382" i="79"/>
  <c r="H382" i="79"/>
  <c r="BJ381" i="79"/>
  <c r="BI381" i="79"/>
  <c r="BG381" i="79"/>
  <c r="BA381" i="79"/>
  <c r="AK381" i="79"/>
  <c r="H381" i="79"/>
  <c r="BJ380" i="79"/>
  <c r="BI380" i="79"/>
  <c r="BG380" i="79"/>
  <c r="BA380" i="79"/>
  <c r="AK380" i="79"/>
  <c r="H380" i="79"/>
  <c r="BJ379" i="79"/>
  <c r="BI379" i="79"/>
  <c r="BG379" i="79"/>
  <c r="BA379" i="79"/>
  <c r="AK379" i="79"/>
  <c r="H379" i="79"/>
  <c r="BJ378" i="79"/>
  <c r="BI378" i="79"/>
  <c r="BG378" i="79"/>
  <c r="BA378" i="79"/>
  <c r="AK378" i="79"/>
  <c r="H378" i="79"/>
  <c r="BJ377" i="79"/>
  <c r="BI377" i="79"/>
  <c r="BG377" i="79"/>
  <c r="BA377" i="79"/>
  <c r="AK377" i="79"/>
  <c r="H377" i="79"/>
  <c r="BJ376" i="79"/>
  <c r="BI376" i="79"/>
  <c r="BG376" i="79"/>
  <c r="BA376" i="79"/>
  <c r="AK376" i="79"/>
  <c r="H376" i="79"/>
  <c r="BJ375" i="79"/>
  <c r="BI375" i="79"/>
  <c r="BG375" i="79"/>
  <c r="BA375" i="79"/>
  <c r="AK375" i="79"/>
  <c r="H375" i="79"/>
  <c r="BJ374" i="79"/>
  <c r="BI374" i="79"/>
  <c r="BG374" i="79"/>
  <c r="BA374" i="79"/>
  <c r="AK374" i="79"/>
  <c r="H374" i="79"/>
  <c r="BJ373" i="79"/>
  <c r="BI373" i="79"/>
  <c r="BG373" i="79"/>
  <c r="BA373" i="79"/>
  <c r="AK373" i="79"/>
  <c r="H373" i="79"/>
  <c r="BJ372" i="79"/>
  <c r="BI372" i="79"/>
  <c r="BG372" i="79"/>
  <c r="BA372" i="79"/>
  <c r="AK372" i="79"/>
  <c r="H372" i="79"/>
  <c r="BJ371" i="79"/>
  <c r="BI371" i="79"/>
  <c r="BG371" i="79"/>
  <c r="BA371" i="79"/>
  <c r="AK371" i="79"/>
  <c r="H371" i="79"/>
  <c r="BJ370" i="79"/>
  <c r="BI370" i="79"/>
  <c r="BG370" i="79"/>
  <c r="BA370" i="79"/>
  <c r="AK370" i="79"/>
  <c r="H370" i="79"/>
  <c r="BJ369" i="79"/>
  <c r="BI369" i="79"/>
  <c r="BG369" i="79"/>
  <c r="BA369" i="79"/>
  <c r="AK369" i="79"/>
  <c r="H369" i="79"/>
  <c r="BJ368" i="79"/>
  <c r="BI368" i="79"/>
  <c r="BG368" i="79"/>
  <c r="BA368" i="79"/>
  <c r="AK368" i="79"/>
  <c r="H368" i="79"/>
  <c r="BJ367" i="79"/>
  <c r="BI367" i="79"/>
  <c r="BG367" i="79"/>
  <c r="BA367" i="79"/>
  <c r="AK367" i="79"/>
  <c r="H367" i="79"/>
  <c r="BJ366" i="79"/>
  <c r="BI366" i="79"/>
  <c r="BG366" i="79"/>
  <c r="BA366" i="79"/>
  <c r="AK366" i="79"/>
  <c r="H366" i="79"/>
  <c r="BJ365" i="79"/>
  <c r="BI365" i="79"/>
  <c r="BG365" i="79"/>
  <c r="BA365" i="79"/>
  <c r="AK365" i="79"/>
  <c r="H365" i="79"/>
  <c r="BJ364" i="79"/>
  <c r="BI364" i="79"/>
  <c r="BG364" i="79"/>
  <c r="BA364" i="79"/>
  <c r="AK364" i="79"/>
  <c r="H364" i="79"/>
  <c r="BJ363" i="79"/>
  <c r="BI363" i="79"/>
  <c r="BG363" i="79"/>
  <c r="BA363" i="79"/>
  <c r="AK363" i="79"/>
  <c r="H363" i="79"/>
  <c r="BJ362" i="79"/>
  <c r="BI362" i="79"/>
  <c r="BG362" i="79"/>
  <c r="BA362" i="79"/>
  <c r="AK362" i="79"/>
  <c r="H362" i="79"/>
  <c r="BJ361" i="79"/>
  <c r="BI361" i="79"/>
  <c r="BG361" i="79"/>
  <c r="BA361" i="79"/>
  <c r="AK361" i="79"/>
  <c r="H361" i="79"/>
  <c r="BJ360" i="79"/>
  <c r="BI360" i="79"/>
  <c r="BG360" i="79"/>
  <c r="BA360" i="79"/>
  <c r="AK360" i="79"/>
  <c r="H360" i="79"/>
  <c r="BJ359" i="79"/>
  <c r="BI359" i="79"/>
  <c r="BG359" i="79"/>
  <c r="BA359" i="79"/>
  <c r="AK359" i="79"/>
  <c r="H359" i="79"/>
  <c r="BJ358" i="79"/>
  <c r="BI358" i="79"/>
  <c r="BG358" i="79"/>
  <c r="BA358" i="79"/>
  <c r="AK358" i="79"/>
  <c r="H358" i="79"/>
  <c r="BJ357" i="79"/>
  <c r="BI357" i="79"/>
  <c r="BG357" i="79"/>
  <c r="BA357" i="79"/>
  <c r="AK357" i="79"/>
  <c r="H357" i="79"/>
  <c r="BI356" i="79"/>
  <c r="BL356" i="79"/>
  <c r="BJ356" i="79"/>
  <c r="BA356" i="79"/>
  <c r="AK356" i="79"/>
  <c r="H356" i="79"/>
  <c r="BJ355" i="79"/>
  <c r="BI355" i="79"/>
  <c r="BG355" i="79"/>
  <c r="BA355" i="79"/>
  <c r="AK355" i="79"/>
  <c r="H355" i="79"/>
  <c r="BJ354" i="79"/>
  <c r="BI354" i="79"/>
  <c r="BG354" i="79"/>
  <c r="BA354" i="79"/>
  <c r="AK354" i="79"/>
  <c r="H354" i="79"/>
  <c r="BJ353" i="79"/>
  <c r="BI353" i="79"/>
  <c r="BG353" i="79"/>
  <c r="BA353" i="79"/>
  <c r="AK353" i="79"/>
  <c r="H353" i="79"/>
  <c r="BJ352" i="79"/>
  <c r="BI352" i="79"/>
  <c r="BG352" i="79"/>
  <c r="BA352" i="79"/>
  <c r="AK352" i="79"/>
  <c r="H352" i="79"/>
  <c r="BJ351" i="79"/>
  <c r="BI351" i="79"/>
  <c r="BG351" i="79"/>
  <c r="BA351" i="79"/>
  <c r="AK351" i="79"/>
  <c r="H351" i="79"/>
  <c r="BJ350" i="79"/>
  <c r="BI350" i="79"/>
  <c r="BG350" i="79"/>
  <c r="BA350" i="79"/>
  <c r="AK350" i="79"/>
  <c r="H350" i="79"/>
  <c r="BJ349" i="79"/>
  <c r="BI349" i="79"/>
  <c r="BG349" i="79"/>
  <c r="BA349" i="79"/>
  <c r="AK349" i="79"/>
  <c r="H349" i="79"/>
  <c r="BJ348" i="79"/>
  <c r="BI348" i="79"/>
  <c r="BG348" i="79"/>
  <c r="BA348" i="79"/>
  <c r="AK348" i="79"/>
  <c r="H348" i="79"/>
  <c r="BJ347" i="79"/>
  <c r="BI347" i="79"/>
  <c r="BG347" i="79"/>
  <c r="BA347" i="79"/>
  <c r="AK347" i="79"/>
  <c r="H347" i="79"/>
  <c r="BJ346" i="79"/>
  <c r="BI346" i="79"/>
  <c r="BG346" i="79"/>
  <c r="BA346" i="79"/>
  <c r="AK346" i="79"/>
  <c r="H346" i="79"/>
  <c r="BJ345" i="79"/>
  <c r="BI345" i="79"/>
  <c r="BG345" i="79"/>
  <c r="BA345" i="79"/>
  <c r="AK345" i="79"/>
  <c r="H345" i="79"/>
  <c r="BJ344" i="79"/>
  <c r="BI344" i="79"/>
  <c r="BG344" i="79"/>
  <c r="BA344" i="79"/>
  <c r="AK344" i="79"/>
  <c r="H344" i="79"/>
  <c r="BJ343" i="79"/>
  <c r="BI343" i="79"/>
  <c r="BG343" i="79"/>
  <c r="BA343" i="79"/>
  <c r="AK343" i="79"/>
  <c r="H343" i="79"/>
  <c r="BJ342" i="79"/>
  <c r="BI342" i="79"/>
  <c r="BG342" i="79"/>
  <c r="BA342" i="79"/>
  <c r="AK342" i="79"/>
  <c r="H342" i="79"/>
  <c r="BJ341" i="79"/>
  <c r="BI341" i="79"/>
  <c r="BG341" i="79"/>
  <c r="BA341" i="79"/>
  <c r="AK341" i="79"/>
  <c r="H341" i="79"/>
  <c r="BJ340" i="79"/>
  <c r="BI340" i="79"/>
  <c r="BG340" i="79"/>
  <c r="BA340" i="79"/>
  <c r="AK340" i="79"/>
  <c r="H340" i="79"/>
  <c r="BJ339" i="79"/>
  <c r="BI339" i="79"/>
  <c r="BG339" i="79"/>
  <c r="BA339" i="79"/>
  <c r="AK339" i="79"/>
  <c r="H339" i="79"/>
  <c r="BJ338" i="79"/>
  <c r="BI338" i="79"/>
  <c r="BG338" i="79"/>
  <c r="BA338" i="79"/>
  <c r="AK338" i="79"/>
  <c r="H338" i="79"/>
  <c r="BJ337" i="79"/>
  <c r="BI337" i="79"/>
  <c r="BG337" i="79"/>
  <c r="BA337" i="79"/>
  <c r="AK337" i="79"/>
  <c r="H337" i="79"/>
  <c r="BJ336" i="79"/>
  <c r="BI336" i="79"/>
  <c r="BG336" i="79"/>
  <c r="BA336" i="79"/>
  <c r="AK336" i="79"/>
  <c r="H336" i="79"/>
  <c r="BJ335" i="79"/>
  <c r="BI335" i="79"/>
  <c r="BG335" i="79"/>
  <c r="BA335" i="79"/>
  <c r="AK335" i="79"/>
  <c r="H335" i="79"/>
  <c r="BJ334" i="79"/>
  <c r="BI334" i="79"/>
  <c r="BG334" i="79"/>
  <c r="BA334" i="79"/>
  <c r="AK334" i="79"/>
  <c r="H334" i="79"/>
  <c r="BJ333" i="79"/>
  <c r="BI333" i="79"/>
  <c r="BG333" i="79"/>
  <c r="BA333" i="79"/>
  <c r="AK333" i="79"/>
  <c r="H333" i="79"/>
  <c r="BJ332" i="79"/>
  <c r="BI332" i="79"/>
  <c r="BG332" i="79"/>
  <c r="BA332" i="79"/>
  <c r="AK332" i="79"/>
  <c r="H332" i="79"/>
  <c r="BJ331" i="79"/>
  <c r="BI331" i="79"/>
  <c r="BG331" i="79"/>
  <c r="BA331" i="79"/>
  <c r="AK331" i="79"/>
  <c r="H331" i="79"/>
  <c r="BJ330" i="79"/>
  <c r="BI330" i="79"/>
  <c r="BG330" i="79"/>
  <c r="BA330" i="79"/>
  <c r="AK330" i="79"/>
  <c r="H330" i="79"/>
  <c r="BJ329" i="79"/>
  <c r="BI329" i="79"/>
  <c r="BG329" i="79"/>
  <c r="BA329" i="79"/>
  <c r="AK329" i="79"/>
  <c r="H329" i="79"/>
  <c r="BJ328" i="79"/>
  <c r="BI328" i="79"/>
  <c r="BG328" i="79"/>
  <c r="BA328" i="79"/>
  <c r="AK328" i="79"/>
  <c r="H328" i="79"/>
  <c r="BJ327" i="79"/>
  <c r="BI327" i="79"/>
  <c r="BG327" i="79"/>
  <c r="BA327" i="79"/>
  <c r="AK327" i="79"/>
  <c r="H327" i="79"/>
  <c r="BJ326" i="79"/>
  <c r="BI326" i="79"/>
  <c r="BG326" i="79"/>
  <c r="BA326" i="79"/>
  <c r="AK326" i="79"/>
  <c r="H326" i="79"/>
  <c r="BJ325" i="79"/>
  <c r="BI325" i="79"/>
  <c r="BG325" i="79"/>
  <c r="BA325" i="79"/>
  <c r="AK325" i="79"/>
  <c r="H325" i="79"/>
  <c r="BJ324" i="79"/>
  <c r="BI324" i="79"/>
  <c r="BG324" i="79"/>
  <c r="BA324" i="79"/>
  <c r="AK324" i="79"/>
  <c r="H324" i="79"/>
  <c r="BJ323" i="79"/>
  <c r="BI323" i="79"/>
  <c r="BG323" i="79"/>
  <c r="BA323" i="79"/>
  <c r="AK323" i="79"/>
  <c r="H323" i="79"/>
  <c r="BJ322" i="79"/>
  <c r="BI322" i="79"/>
  <c r="BG322" i="79"/>
  <c r="BA322" i="79"/>
  <c r="AK322" i="79"/>
  <c r="H322" i="79"/>
  <c r="BJ321" i="79"/>
  <c r="BI321" i="79"/>
  <c r="BG321" i="79"/>
  <c r="BA321" i="79"/>
  <c r="AK321" i="79"/>
  <c r="H321" i="79"/>
  <c r="BJ320" i="79"/>
  <c r="BI320" i="79"/>
  <c r="BG320" i="79"/>
  <c r="BA320" i="79"/>
  <c r="AK320" i="79"/>
  <c r="H320" i="79"/>
  <c r="BJ319" i="79"/>
  <c r="BI319" i="79"/>
  <c r="BG319" i="79"/>
  <c r="BA319" i="79"/>
  <c r="AK319" i="79"/>
  <c r="H319" i="79"/>
  <c r="BJ318" i="79"/>
  <c r="BI318" i="79"/>
  <c r="BG318" i="79"/>
  <c r="BA318" i="79"/>
  <c r="AK318" i="79"/>
  <c r="H318" i="79"/>
  <c r="BJ317" i="79"/>
  <c r="BI317" i="79"/>
  <c r="BG317" i="79"/>
  <c r="BA317" i="79"/>
  <c r="AK317" i="79"/>
  <c r="H317" i="79"/>
  <c r="BJ316" i="79"/>
  <c r="BI316" i="79"/>
  <c r="BG316" i="79"/>
  <c r="BA316" i="79"/>
  <c r="AK316" i="79"/>
  <c r="H316" i="79"/>
  <c r="BJ315" i="79"/>
  <c r="BI315" i="79"/>
  <c r="BG315" i="79"/>
  <c r="BA315" i="79"/>
  <c r="AK315" i="79"/>
  <c r="H315" i="79"/>
  <c r="BJ314" i="79"/>
  <c r="BI314" i="79"/>
  <c r="BG314" i="79"/>
  <c r="BA314" i="79"/>
  <c r="AK314" i="79"/>
  <c r="H314" i="79"/>
  <c r="BJ313" i="79"/>
  <c r="BI313" i="79"/>
  <c r="BG313" i="79"/>
  <c r="BA313" i="79"/>
  <c r="AK313" i="79"/>
  <c r="H313" i="79"/>
  <c r="BJ312" i="79"/>
  <c r="BI312" i="79"/>
  <c r="BG312" i="79"/>
  <c r="BA312" i="79"/>
  <c r="AK312" i="79"/>
  <c r="H312" i="79"/>
  <c r="BJ311" i="79"/>
  <c r="BI311" i="79"/>
  <c r="BG311" i="79"/>
  <c r="BA311" i="79"/>
  <c r="AK311" i="79"/>
  <c r="H311" i="79"/>
  <c r="BJ310" i="79"/>
  <c r="BI310" i="79"/>
  <c r="BG310" i="79"/>
  <c r="BA310" i="79"/>
  <c r="AK310" i="79"/>
  <c r="H310" i="79"/>
  <c r="BJ309" i="79"/>
  <c r="BI309" i="79"/>
  <c r="BG309" i="79"/>
  <c r="BA309" i="79"/>
  <c r="AK309" i="79"/>
  <c r="H309" i="79"/>
  <c r="BJ308" i="79"/>
  <c r="BI308" i="79"/>
  <c r="BG308" i="79"/>
  <c r="BA308" i="79"/>
  <c r="AK308" i="79"/>
  <c r="H308" i="79"/>
  <c r="BJ307" i="79"/>
  <c r="BI307" i="79"/>
  <c r="BG307" i="79"/>
  <c r="BA307" i="79"/>
  <c r="AK307" i="79"/>
  <c r="H307" i="79"/>
  <c r="BJ306" i="79"/>
  <c r="BI306" i="79"/>
  <c r="BG306" i="79"/>
  <c r="BA306" i="79"/>
  <c r="AK306" i="79"/>
  <c r="H306" i="79"/>
  <c r="BJ305" i="79"/>
  <c r="BI305" i="79"/>
  <c r="BG305" i="79"/>
  <c r="BA305" i="79"/>
  <c r="AK305" i="79"/>
  <c r="H305" i="79"/>
  <c r="BJ304" i="79"/>
  <c r="BI304" i="79"/>
  <c r="BG304" i="79"/>
  <c r="BA304" i="79"/>
  <c r="AK304" i="79"/>
  <c r="H304" i="79"/>
  <c r="BJ303" i="79"/>
  <c r="BI303" i="79"/>
  <c r="BG303" i="79"/>
  <c r="BA303" i="79"/>
  <c r="AK303" i="79"/>
  <c r="H303" i="79"/>
  <c r="BJ302" i="79"/>
  <c r="BI302" i="79"/>
  <c r="BG302" i="79"/>
  <c r="BA302" i="79"/>
  <c r="AK302" i="79"/>
  <c r="H302" i="79"/>
  <c r="BJ301" i="79"/>
  <c r="BI301" i="79"/>
  <c r="BG301" i="79"/>
  <c r="BA301" i="79"/>
  <c r="AK301" i="79"/>
  <c r="H301" i="79"/>
  <c r="BJ300" i="79"/>
  <c r="BI300" i="79"/>
  <c r="BG300" i="79"/>
  <c r="BA300" i="79"/>
  <c r="AK300" i="79"/>
  <c r="H300" i="79"/>
  <c r="BJ299" i="79"/>
  <c r="BI299" i="79"/>
  <c r="BG299" i="79"/>
  <c r="BA299" i="79"/>
  <c r="AK299" i="79"/>
  <c r="H299" i="79"/>
  <c r="BJ298" i="79"/>
  <c r="BI298" i="79"/>
  <c r="BG298" i="79"/>
  <c r="BA298" i="79"/>
  <c r="AK298" i="79"/>
  <c r="H298" i="79"/>
  <c r="BJ297" i="79"/>
  <c r="BI297" i="79"/>
  <c r="BG297" i="79"/>
  <c r="BA297" i="79"/>
  <c r="AK297" i="79"/>
  <c r="H297" i="79"/>
  <c r="BJ296" i="79"/>
  <c r="BI296" i="79"/>
  <c r="BG296" i="79"/>
  <c r="BA296" i="79"/>
  <c r="AK296" i="79"/>
  <c r="H296" i="79"/>
  <c r="BJ295" i="79"/>
  <c r="BI295" i="79"/>
  <c r="BG295" i="79"/>
  <c r="BA295" i="79"/>
  <c r="AK295" i="79"/>
  <c r="H295" i="79"/>
  <c r="BJ294" i="79"/>
  <c r="BI294" i="79"/>
  <c r="BG294" i="79"/>
  <c r="BA294" i="79"/>
  <c r="AK294" i="79"/>
  <c r="H294" i="79"/>
  <c r="BJ293" i="79"/>
  <c r="BI293" i="79"/>
  <c r="BG293" i="79"/>
  <c r="BA293" i="79"/>
  <c r="AK293" i="79"/>
  <c r="H293" i="79"/>
  <c r="BJ292" i="79"/>
  <c r="BI292" i="79"/>
  <c r="BG292" i="79"/>
  <c r="BA292" i="79"/>
  <c r="AK292" i="79"/>
  <c r="H292" i="79"/>
  <c r="BJ291" i="79"/>
  <c r="BI291" i="79"/>
  <c r="BG291" i="79"/>
  <c r="BA291" i="79"/>
  <c r="AK291" i="79"/>
  <c r="H291" i="79"/>
  <c r="BJ290" i="79"/>
  <c r="BI290" i="79"/>
  <c r="BG290" i="79"/>
  <c r="BA290" i="79"/>
  <c r="AK290" i="79"/>
  <c r="H290" i="79"/>
  <c r="BJ289" i="79"/>
  <c r="BI289" i="79"/>
  <c r="BG289" i="79"/>
  <c r="BA289" i="79"/>
  <c r="AK289" i="79"/>
  <c r="H289" i="79"/>
  <c r="BJ288" i="79"/>
  <c r="BI288" i="79"/>
  <c r="BG288" i="79"/>
  <c r="BA288" i="79"/>
  <c r="AK288" i="79"/>
  <c r="H288" i="79"/>
  <c r="BJ287" i="79"/>
  <c r="BI287" i="79"/>
  <c r="BG287" i="79"/>
  <c r="BA287" i="79"/>
  <c r="AK287" i="79"/>
  <c r="H287" i="79"/>
  <c r="BJ286" i="79"/>
  <c r="BI286" i="79"/>
  <c r="BG286" i="79"/>
  <c r="BA286" i="79"/>
  <c r="AK286" i="79"/>
  <c r="H286" i="79"/>
  <c r="BJ285" i="79"/>
  <c r="BI285" i="79"/>
  <c r="BG285" i="79"/>
  <c r="BA285" i="79"/>
  <c r="AK285" i="79"/>
  <c r="H285" i="79"/>
  <c r="BJ284" i="79"/>
  <c r="BI284" i="79"/>
  <c r="BG284" i="79"/>
  <c r="BA284" i="79"/>
  <c r="AK284" i="79"/>
  <c r="H284" i="79"/>
  <c r="BJ283" i="79"/>
  <c r="BI283" i="79"/>
  <c r="BG283" i="79"/>
  <c r="BA283" i="79"/>
  <c r="AK283" i="79"/>
  <c r="H283" i="79"/>
  <c r="BJ282" i="79"/>
  <c r="BI282" i="79"/>
  <c r="BG282" i="79"/>
  <c r="BA282" i="79"/>
  <c r="AK282" i="79"/>
  <c r="H282" i="79"/>
  <c r="BJ281" i="79"/>
  <c r="BI281" i="79"/>
  <c r="BG281" i="79"/>
  <c r="BA281" i="79"/>
  <c r="AK281" i="79"/>
  <c r="H281" i="79"/>
  <c r="BJ280" i="79"/>
  <c r="BI280" i="79"/>
  <c r="BG280" i="79"/>
  <c r="BA280" i="79"/>
  <c r="AK280" i="79"/>
  <c r="H280" i="79"/>
  <c r="BJ279" i="79"/>
  <c r="BI279" i="79"/>
  <c r="BG279" i="79"/>
  <c r="BA279" i="79"/>
  <c r="AK279" i="79"/>
  <c r="H279" i="79"/>
  <c r="BJ278" i="79"/>
  <c r="BI278" i="79"/>
  <c r="BG278" i="79"/>
  <c r="BA278" i="79"/>
  <c r="AK278" i="79"/>
  <c r="H278" i="79"/>
  <c r="BJ277" i="79"/>
  <c r="BI277" i="79"/>
  <c r="BG277" i="79"/>
  <c r="BA277" i="79"/>
  <c r="AK277" i="79"/>
  <c r="H277" i="79"/>
  <c r="BJ276" i="79"/>
  <c r="BI276" i="79"/>
  <c r="BG276" i="79"/>
  <c r="BA276" i="79"/>
  <c r="AK276" i="79"/>
  <c r="H276" i="79"/>
  <c r="BJ275" i="79"/>
  <c r="BI275" i="79"/>
  <c r="BG275" i="79"/>
  <c r="BA275" i="79"/>
  <c r="AK275" i="79"/>
  <c r="H275" i="79"/>
  <c r="BJ274" i="79"/>
  <c r="BI274" i="79"/>
  <c r="BG274" i="79"/>
  <c r="BA274" i="79"/>
  <c r="AK274" i="79"/>
  <c r="H274" i="79"/>
  <c r="BJ273" i="79"/>
  <c r="BI273" i="79"/>
  <c r="BG273" i="79"/>
  <c r="BA273" i="79"/>
  <c r="AK273" i="79"/>
  <c r="H273" i="79"/>
  <c r="BJ272" i="79"/>
  <c r="BI272" i="79"/>
  <c r="BG272" i="79"/>
  <c r="BA272" i="79"/>
  <c r="AK272" i="79"/>
  <c r="H272" i="79"/>
  <c r="BJ271" i="79"/>
  <c r="BI271" i="79"/>
  <c r="BG271" i="79"/>
  <c r="BA271" i="79"/>
  <c r="AK271" i="79"/>
  <c r="H271" i="79"/>
  <c r="BJ270" i="79"/>
  <c r="BI270" i="79"/>
  <c r="BG270" i="79"/>
  <c r="BA270" i="79"/>
  <c r="AK270" i="79"/>
  <c r="H270" i="79"/>
  <c r="BJ269" i="79"/>
  <c r="BI269" i="79"/>
  <c r="BG269" i="79"/>
  <c r="BA269" i="79"/>
  <c r="AK269" i="79"/>
  <c r="H269" i="79"/>
  <c r="BJ268" i="79"/>
  <c r="BI268" i="79"/>
  <c r="BG268" i="79"/>
  <c r="BA268" i="79"/>
  <c r="AK268" i="79"/>
  <c r="H268" i="79"/>
  <c r="BJ267" i="79"/>
  <c r="BI267" i="79"/>
  <c r="BG267" i="79"/>
  <c r="BA267" i="79"/>
  <c r="AK267" i="79"/>
  <c r="H267" i="79"/>
  <c r="BJ266" i="79"/>
  <c r="BI266" i="79"/>
  <c r="BG266" i="79"/>
  <c r="BA266" i="79"/>
  <c r="AK266" i="79"/>
  <c r="H266" i="79"/>
  <c r="BJ265" i="79"/>
  <c r="BI265" i="79"/>
  <c r="BG265" i="79"/>
  <c r="BA265" i="79"/>
  <c r="AK265" i="79"/>
  <c r="H265" i="79"/>
  <c r="BJ264" i="79"/>
  <c r="BI264" i="79"/>
  <c r="BG264" i="79"/>
  <c r="BA264" i="79"/>
  <c r="AK264" i="79"/>
  <c r="H264" i="79"/>
  <c r="BJ263" i="79"/>
  <c r="BI263" i="79"/>
  <c r="BG263" i="79"/>
  <c r="BA263" i="79"/>
  <c r="AK263" i="79"/>
  <c r="H263" i="79"/>
  <c r="BJ262" i="79"/>
  <c r="BI262" i="79"/>
  <c r="BG262" i="79"/>
  <c r="BA262" i="79"/>
  <c r="AK262" i="79"/>
  <c r="H262" i="79"/>
  <c r="BJ261" i="79"/>
  <c r="BI261" i="79"/>
  <c r="BG261" i="79"/>
  <c r="BA261" i="79"/>
  <c r="AK261" i="79"/>
  <c r="H261" i="79"/>
  <c r="BJ260" i="79"/>
  <c r="BI260" i="79"/>
  <c r="BG260" i="79"/>
  <c r="BA260" i="79"/>
  <c r="AK260" i="79"/>
  <c r="H260" i="79"/>
  <c r="BI259" i="79"/>
  <c r="BL259" i="79"/>
  <c r="BJ259" i="79"/>
  <c r="BA259" i="79"/>
  <c r="AK259" i="79"/>
  <c r="H259" i="79"/>
  <c r="BJ258" i="79"/>
  <c r="BI258" i="79"/>
  <c r="BG258" i="79"/>
  <c r="BA258" i="79"/>
  <c r="AK258" i="79"/>
  <c r="H258" i="79"/>
  <c r="BI257" i="79"/>
  <c r="BL257" i="79"/>
  <c r="BJ257" i="79"/>
  <c r="BA257" i="79"/>
  <c r="AK257" i="79"/>
  <c r="H257" i="79"/>
  <c r="BJ256" i="79"/>
  <c r="BI256" i="79"/>
  <c r="BA256" i="79"/>
  <c r="AK256" i="79"/>
  <c r="H256" i="79"/>
  <c r="BJ255" i="79"/>
  <c r="BI255" i="79"/>
  <c r="BG255" i="79"/>
  <c r="BA255" i="79"/>
  <c r="AK255" i="79"/>
  <c r="H255" i="79"/>
  <c r="BJ254" i="79"/>
  <c r="BI254" i="79"/>
  <c r="BG254" i="79"/>
  <c r="BA254" i="79"/>
  <c r="AK254" i="79"/>
  <c r="H254" i="79"/>
  <c r="BJ253" i="79"/>
  <c r="BI253" i="79"/>
  <c r="BG253" i="79"/>
  <c r="BA253" i="79"/>
  <c r="AK253" i="79"/>
  <c r="H253" i="79"/>
  <c r="BJ252" i="79"/>
  <c r="BI252" i="79"/>
  <c r="BG252" i="79"/>
  <c r="BA252" i="79"/>
  <c r="AK252" i="79"/>
  <c r="H252" i="79"/>
  <c r="BJ251" i="79"/>
  <c r="BI251" i="79"/>
  <c r="BG251" i="79"/>
  <c r="BA251" i="79"/>
  <c r="AK251" i="79"/>
  <c r="H251" i="79"/>
  <c r="BJ250" i="79"/>
  <c r="BI250" i="79"/>
  <c r="BG250" i="79"/>
  <c r="BD250" i="79"/>
  <c r="BA250" i="79"/>
  <c r="AK250" i="79"/>
  <c r="H250" i="79"/>
  <c r="BJ249" i="79"/>
  <c r="BI249" i="79"/>
  <c r="BG249" i="79"/>
  <c r="BA249" i="79"/>
  <c r="AK249" i="79"/>
  <c r="H249" i="79"/>
  <c r="BJ248" i="79"/>
  <c r="BI248" i="79"/>
  <c r="BG248" i="79"/>
  <c r="BA248" i="79"/>
  <c r="AK248" i="79"/>
  <c r="H248" i="79"/>
  <c r="BJ247" i="79"/>
  <c r="BI247" i="79"/>
  <c r="BG247" i="79"/>
  <c r="BA247" i="79"/>
  <c r="AK247" i="79"/>
  <c r="H247" i="79"/>
  <c r="BJ246" i="79"/>
  <c r="BI246" i="79"/>
  <c r="BG246" i="79"/>
  <c r="BA246" i="79"/>
  <c r="AK246" i="79"/>
  <c r="H246" i="79"/>
  <c r="BJ245" i="79"/>
  <c r="BI245" i="79"/>
  <c r="BG245" i="79"/>
  <c r="BA245" i="79"/>
  <c r="AK245" i="79"/>
  <c r="H245" i="79"/>
  <c r="BJ244" i="79"/>
  <c r="BI244" i="79"/>
  <c r="BG244" i="79"/>
  <c r="BA244" i="79"/>
  <c r="AK244" i="79"/>
  <c r="H244" i="79"/>
  <c r="BJ243" i="79"/>
  <c r="BI243" i="79"/>
  <c r="BG243" i="79"/>
  <c r="BA243" i="79"/>
  <c r="AK243" i="79"/>
  <c r="H243" i="79"/>
  <c r="BJ242" i="79"/>
  <c r="BI242" i="79"/>
  <c r="BG242" i="79"/>
  <c r="BA242" i="79"/>
  <c r="AK242" i="79"/>
  <c r="H242" i="79"/>
  <c r="BJ241" i="79"/>
  <c r="BI241" i="79"/>
  <c r="BG241" i="79"/>
  <c r="BA241" i="79"/>
  <c r="AK241" i="79"/>
  <c r="H241" i="79"/>
  <c r="BJ240" i="79"/>
  <c r="BI240" i="79"/>
  <c r="BG240" i="79"/>
  <c r="BA240" i="79"/>
  <c r="AK240" i="79"/>
  <c r="H240" i="79"/>
  <c r="BJ239" i="79"/>
  <c r="BI239" i="79"/>
  <c r="BG239" i="79"/>
  <c r="BA239" i="79"/>
  <c r="AK239" i="79"/>
  <c r="H239" i="79"/>
  <c r="BJ238" i="79"/>
  <c r="BI238" i="79"/>
  <c r="BG238" i="79"/>
  <c r="BA238" i="79"/>
  <c r="AK238" i="79"/>
  <c r="H238" i="79"/>
  <c r="BJ237" i="79"/>
  <c r="BI237" i="79"/>
  <c r="BG237" i="79"/>
  <c r="BA237" i="79"/>
  <c r="AK237" i="79"/>
  <c r="H237" i="79"/>
  <c r="BJ236" i="79"/>
  <c r="BI236" i="79"/>
  <c r="BG236" i="79"/>
  <c r="BA236" i="79"/>
  <c r="AK236" i="79"/>
  <c r="H236" i="79"/>
  <c r="BJ235" i="79"/>
  <c r="BI235" i="79"/>
  <c r="BG235" i="79"/>
  <c r="BA235" i="79"/>
  <c r="AK235" i="79"/>
  <c r="H235" i="79"/>
  <c r="BJ234" i="79"/>
  <c r="BI234" i="79"/>
  <c r="BG234" i="79"/>
  <c r="BA234" i="79"/>
  <c r="AK234" i="79"/>
  <c r="H234" i="79"/>
  <c r="BJ233" i="79"/>
  <c r="BI233" i="79"/>
  <c r="BG233" i="79"/>
  <c r="BA233" i="79"/>
  <c r="AK233" i="79"/>
  <c r="H233" i="79"/>
  <c r="BJ232" i="79"/>
  <c r="BI232" i="79"/>
  <c r="BG232" i="79"/>
  <c r="BA232" i="79"/>
  <c r="AK232" i="79"/>
  <c r="H232" i="79"/>
  <c r="BJ231" i="79"/>
  <c r="BI231" i="79"/>
  <c r="BG231" i="79"/>
  <c r="BD231" i="79"/>
  <c r="BA231" i="79"/>
  <c r="AK231" i="79"/>
  <c r="H231" i="79"/>
  <c r="BJ230" i="79"/>
  <c r="BI230" i="79"/>
  <c r="BG230" i="79"/>
  <c r="BD230" i="79"/>
  <c r="BA230" i="79"/>
  <c r="AK230" i="79"/>
  <c r="H230" i="79"/>
  <c r="BJ229" i="79"/>
  <c r="BI229" i="79"/>
  <c r="BG229" i="79"/>
  <c r="BD229" i="79"/>
  <c r="BA229" i="79"/>
  <c r="AK229" i="79"/>
  <c r="H229" i="79"/>
  <c r="BJ228" i="79"/>
  <c r="BI228" i="79"/>
  <c r="BG228" i="79"/>
  <c r="BD228" i="79"/>
  <c r="BA228" i="79"/>
  <c r="AK228" i="79"/>
  <c r="H228" i="79"/>
  <c r="BJ227" i="79"/>
  <c r="BI227" i="79"/>
  <c r="BG227" i="79"/>
  <c r="BD227" i="79"/>
  <c r="BA227" i="79"/>
  <c r="AK227" i="79"/>
  <c r="H227" i="79"/>
  <c r="BJ226" i="79"/>
  <c r="BI226" i="79"/>
  <c r="BG226" i="79"/>
  <c r="BA226" i="79"/>
  <c r="AK226" i="79"/>
  <c r="H226" i="79"/>
  <c r="BJ225" i="79"/>
  <c r="BI225" i="79"/>
  <c r="BG225" i="79"/>
  <c r="BD225" i="79"/>
  <c r="BA225" i="79"/>
  <c r="AK225" i="79"/>
  <c r="H225" i="79"/>
  <c r="BJ224" i="79"/>
  <c r="BI224" i="79"/>
  <c r="BG224" i="79"/>
  <c r="BA224" i="79"/>
  <c r="AK224" i="79"/>
  <c r="H224" i="79"/>
  <c r="BJ223" i="79"/>
  <c r="BI223" i="79"/>
  <c r="BG223" i="79"/>
  <c r="BA223" i="79"/>
  <c r="AK223" i="79"/>
  <c r="H223" i="79"/>
  <c r="BJ222" i="79"/>
  <c r="BI222" i="79"/>
  <c r="BG222" i="79"/>
  <c r="BD222" i="79"/>
  <c r="BA222" i="79"/>
  <c r="AK222" i="79"/>
  <c r="H222" i="79"/>
  <c r="BJ221" i="79"/>
  <c r="BI221" i="79"/>
  <c r="BG221" i="79"/>
  <c r="BA221" i="79"/>
  <c r="AK221" i="79"/>
  <c r="H221" i="79"/>
  <c r="BJ220" i="79"/>
  <c r="BI220" i="79"/>
  <c r="BG220" i="79"/>
  <c r="BD220" i="79"/>
  <c r="BA220" i="79"/>
  <c r="AK220" i="79"/>
  <c r="H220" i="79"/>
  <c r="BJ219" i="79"/>
  <c r="BI219" i="79"/>
  <c r="BG219" i="79"/>
  <c r="BD219" i="79"/>
  <c r="BA219" i="79"/>
  <c r="AK219" i="79"/>
  <c r="H219" i="79"/>
  <c r="BJ218" i="79"/>
  <c r="BI218" i="79"/>
  <c r="BG218" i="79"/>
  <c r="BD218" i="79"/>
  <c r="BA218" i="79"/>
  <c r="AK218" i="79"/>
  <c r="H218" i="79"/>
  <c r="BJ217" i="79"/>
  <c r="BI217" i="79"/>
  <c r="BG217" i="79"/>
  <c r="BD217" i="79"/>
  <c r="BA217" i="79"/>
  <c r="AK217" i="79"/>
  <c r="H217" i="79"/>
  <c r="BJ216" i="79"/>
  <c r="BI216" i="79"/>
  <c r="BG216" i="79"/>
  <c r="BD216" i="79"/>
  <c r="BA216" i="79"/>
  <c r="AK216" i="79"/>
  <c r="H216" i="79"/>
  <c r="BJ215" i="79"/>
  <c r="BI215" i="79"/>
  <c r="BG215" i="79"/>
  <c r="BA215" i="79"/>
  <c r="AK215" i="79"/>
  <c r="H215" i="79"/>
  <c r="BJ214" i="79"/>
  <c r="BI214" i="79"/>
  <c r="BG214" i="79"/>
  <c r="BA214" i="79"/>
  <c r="AK214" i="79"/>
  <c r="H214" i="79"/>
  <c r="BJ213" i="79"/>
  <c r="BI213" i="79"/>
  <c r="BG213" i="79"/>
  <c r="BA213" i="79"/>
  <c r="AK213" i="79"/>
  <c r="H213" i="79"/>
  <c r="BJ212" i="79"/>
  <c r="BI212" i="79"/>
  <c r="BG212" i="79"/>
  <c r="BA212" i="79"/>
  <c r="AK212" i="79"/>
  <c r="H212" i="79"/>
  <c r="BJ211" i="79"/>
  <c r="BI211" i="79"/>
  <c r="BG211" i="79"/>
  <c r="BA211" i="79"/>
  <c r="AK211" i="79"/>
  <c r="H211" i="79"/>
  <c r="BJ210" i="79"/>
  <c r="BI210" i="79"/>
  <c r="BG210" i="79"/>
  <c r="BD210" i="79"/>
  <c r="BA210" i="79"/>
  <c r="AK210" i="79"/>
  <c r="H210" i="79"/>
  <c r="BJ209" i="79"/>
  <c r="BI209" i="79"/>
  <c r="BG209" i="79"/>
  <c r="BA209" i="79"/>
  <c r="AK209" i="79"/>
  <c r="H209" i="79"/>
  <c r="BJ208" i="79"/>
  <c r="BI208" i="79"/>
  <c r="BG208" i="79"/>
  <c r="BA208" i="79"/>
  <c r="AK208" i="79"/>
  <c r="H208" i="79"/>
  <c r="BJ207" i="79"/>
  <c r="BI207" i="79"/>
  <c r="BG207" i="79"/>
  <c r="BD207" i="79"/>
  <c r="BA207" i="79"/>
  <c r="AK207" i="79"/>
  <c r="H207" i="79"/>
  <c r="BJ206" i="79"/>
  <c r="BI206" i="79"/>
  <c r="BG206" i="79"/>
  <c r="BD206" i="79"/>
  <c r="BA206" i="79"/>
  <c r="AK206" i="79"/>
  <c r="H206" i="79"/>
  <c r="BJ205" i="79"/>
  <c r="BI205" i="79"/>
  <c r="BG205" i="79"/>
  <c r="BD205" i="79"/>
  <c r="BA205" i="79"/>
  <c r="AK205" i="79"/>
  <c r="H205" i="79"/>
  <c r="BJ204" i="79"/>
  <c r="BI204" i="79"/>
  <c r="BG204" i="79"/>
  <c r="BA204" i="79"/>
  <c r="AK204" i="79"/>
  <c r="H204" i="79"/>
  <c r="BJ203" i="79"/>
  <c r="BI203" i="79"/>
  <c r="BG203" i="79"/>
  <c r="BD203" i="79"/>
  <c r="BA203" i="79"/>
  <c r="AK203" i="79"/>
  <c r="H203" i="79"/>
  <c r="BJ202" i="79"/>
  <c r="BI202" i="79"/>
  <c r="BG202" i="79"/>
  <c r="BA202" i="79"/>
  <c r="AK202" i="79"/>
  <c r="H202" i="79"/>
  <c r="BJ201" i="79"/>
  <c r="BI201" i="79"/>
  <c r="BG201" i="79"/>
  <c r="BA201" i="79"/>
  <c r="AK201" i="79"/>
  <c r="H201" i="79"/>
  <c r="BJ200" i="79"/>
  <c r="BI200" i="79"/>
  <c r="BG200" i="79"/>
  <c r="BA200" i="79"/>
  <c r="AK200" i="79"/>
  <c r="H200" i="79"/>
  <c r="BJ199" i="79"/>
  <c r="BI199" i="79"/>
  <c r="BG199" i="79"/>
  <c r="BD199" i="79"/>
  <c r="BA199" i="79"/>
  <c r="AK199" i="79"/>
  <c r="H199" i="79"/>
  <c r="BJ198" i="79"/>
  <c r="BI198" i="79"/>
  <c r="BG198" i="79"/>
  <c r="BA198" i="79"/>
  <c r="AK198" i="79"/>
  <c r="H198" i="79"/>
  <c r="BJ197" i="79"/>
  <c r="BI197" i="79"/>
  <c r="BG197" i="79"/>
  <c r="BD197" i="79"/>
  <c r="BA197" i="79"/>
  <c r="AK197" i="79"/>
  <c r="H197" i="79"/>
  <c r="BJ196" i="79"/>
  <c r="BI196" i="79"/>
  <c r="BG196" i="79"/>
  <c r="BD196" i="79"/>
  <c r="BA196" i="79"/>
  <c r="AK196" i="79"/>
  <c r="H196" i="79"/>
  <c r="BJ195" i="79"/>
  <c r="BI195" i="79"/>
  <c r="BG195" i="79"/>
  <c r="BA195" i="79"/>
  <c r="AK195" i="79"/>
  <c r="H195" i="79"/>
  <c r="BJ194" i="79"/>
  <c r="BI194" i="79"/>
  <c r="BG194" i="79"/>
  <c r="BA194" i="79"/>
  <c r="AK194" i="79"/>
  <c r="H194" i="79"/>
  <c r="BJ193" i="79"/>
  <c r="BI193" i="79"/>
  <c r="BG193" i="79"/>
  <c r="BA193" i="79"/>
  <c r="AK193" i="79"/>
  <c r="H193" i="79"/>
  <c r="BJ192" i="79"/>
  <c r="BI192" i="79"/>
  <c r="BG192" i="79"/>
  <c r="BA192" i="79"/>
  <c r="AK192" i="79"/>
  <c r="H192" i="79"/>
  <c r="BJ191" i="79"/>
  <c r="BI191" i="79"/>
  <c r="BG191" i="79"/>
  <c r="BA191" i="79"/>
  <c r="AK191" i="79"/>
  <c r="H191" i="79"/>
  <c r="BJ190" i="79"/>
  <c r="BI190" i="79"/>
  <c r="BG190" i="79"/>
  <c r="BD190" i="79"/>
  <c r="BA190" i="79"/>
  <c r="AK190" i="79"/>
  <c r="H190" i="79"/>
  <c r="BJ189" i="79"/>
  <c r="BI189" i="79"/>
  <c r="BG189" i="79"/>
  <c r="BD189" i="79"/>
  <c r="BA189" i="79"/>
  <c r="AK189" i="79"/>
  <c r="H189" i="79"/>
  <c r="BJ188" i="79"/>
  <c r="BI188" i="79"/>
  <c r="BG188" i="79"/>
  <c r="BD188" i="79"/>
  <c r="BA188" i="79"/>
  <c r="AK188" i="79"/>
  <c r="H188" i="79"/>
  <c r="BJ187" i="79"/>
  <c r="BI187" i="79"/>
  <c r="BG187" i="79"/>
  <c r="BD187" i="79"/>
  <c r="BA187" i="79"/>
  <c r="AK187" i="79"/>
  <c r="H187" i="79"/>
  <c r="BJ186" i="79"/>
  <c r="BI186" i="79"/>
  <c r="BG186" i="79"/>
  <c r="BD186" i="79"/>
  <c r="BA186" i="79"/>
  <c r="AK186" i="79"/>
  <c r="H186" i="79"/>
  <c r="BJ185" i="79"/>
  <c r="BI185" i="79"/>
  <c r="BG185" i="79"/>
  <c r="BD185" i="79"/>
  <c r="BA185" i="79"/>
  <c r="AK185" i="79"/>
  <c r="H185" i="79"/>
  <c r="BJ184" i="79"/>
  <c r="BI184" i="79"/>
  <c r="BG184" i="79"/>
  <c r="BA184" i="79"/>
  <c r="AK184" i="79"/>
  <c r="H184" i="79"/>
  <c r="BJ183" i="79"/>
  <c r="BI183" i="79"/>
  <c r="BG183" i="79"/>
  <c r="BA183" i="79"/>
  <c r="AK183" i="79"/>
  <c r="H183" i="79"/>
  <c r="BJ182" i="79"/>
  <c r="BI182" i="79"/>
  <c r="BG182" i="79"/>
  <c r="BA182" i="79"/>
  <c r="AK182" i="79"/>
  <c r="H182" i="79"/>
  <c r="BJ181" i="79"/>
  <c r="BI181" i="79"/>
  <c r="BG181" i="79"/>
  <c r="BA181" i="79"/>
  <c r="AK181" i="79"/>
  <c r="H181" i="79"/>
  <c r="BJ180" i="79"/>
  <c r="BI180" i="79"/>
  <c r="BG180" i="79"/>
  <c r="BA180" i="79"/>
  <c r="AK180" i="79"/>
  <c r="H180" i="79"/>
  <c r="BJ179" i="79"/>
  <c r="BI179" i="79"/>
  <c r="BG179" i="79"/>
  <c r="BD179" i="79"/>
  <c r="BA179" i="79"/>
  <c r="AK179" i="79"/>
  <c r="H179" i="79"/>
  <c r="BJ178" i="79"/>
  <c r="BI178" i="79"/>
  <c r="BG178" i="79"/>
  <c r="BD178" i="79"/>
  <c r="BA178" i="79"/>
  <c r="AK178" i="79"/>
  <c r="H178" i="79"/>
  <c r="BJ177" i="79"/>
  <c r="BI177" i="79"/>
  <c r="BG177" i="79"/>
  <c r="BA177" i="79"/>
  <c r="AK177" i="79"/>
  <c r="H177" i="79"/>
  <c r="BJ176" i="79"/>
  <c r="BI176" i="79"/>
  <c r="BG176" i="79"/>
  <c r="BD176" i="79"/>
  <c r="BA176" i="79"/>
  <c r="AK176" i="79"/>
  <c r="H176" i="79"/>
  <c r="BJ175" i="79"/>
  <c r="BI175" i="79"/>
  <c r="BG175" i="79"/>
  <c r="BA175" i="79"/>
  <c r="AK175" i="79"/>
  <c r="H175" i="79"/>
  <c r="BJ174" i="79"/>
  <c r="BI174" i="79"/>
  <c r="BG174" i="79"/>
  <c r="BA174" i="79"/>
  <c r="AK174" i="79"/>
  <c r="H174" i="79"/>
  <c r="BJ173" i="79"/>
  <c r="BI173" i="79"/>
  <c r="BG173" i="79"/>
  <c r="BA173" i="79"/>
  <c r="AK173" i="79"/>
  <c r="H173" i="79"/>
  <c r="BJ172" i="79"/>
  <c r="BI172" i="79"/>
  <c r="BG172" i="79"/>
  <c r="BA172" i="79"/>
  <c r="AK172" i="79"/>
  <c r="H172" i="79"/>
  <c r="BJ171" i="79"/>
  <c r="BI171" i="79"/>
  <c r="BG171" i="79"/>
  <c r="BD171" i="79"/>
  <c r="BA171" i="79"/>
  <c r="AK171" i="79"/>
  <c r="H171" i="79"/>
  <c r="BJ170" i="79"/>
  <c r="BI170" i="79"/>
  <c r="BG170" i="79"/>
  <c r="BA170" i="79"/>
  <c r="AK170" i="79"/>
  <c r="H170" i="79"/>
  <c r="BJ169" i="79"/>
  <c r="BI169" i="79"/>
  <c r="BG169" i="79"/>
  <c r="BA169" i="79"/>
  <c r="AK169" i="79"/>
  <c r="H169" i="79"/>
  <c r="BJ168" i="79"/>
  <c r="BI168" i="79"/>
  <c r="BG168" i="79"/>
  <c r="BD168" i="79"/>
  <c r="BA168" i="79"/>
  <c r="AK168" i="79"/>
  <c r="H168" i="79"/>
  <c r="BJ167" i="79"/>
  <c r="BI167" i="79"/>
  <c r="BG167" i="79"/>
  <c r="BD167" i="79"/>
  <c r="BA167" i="79"/>
  <c r="AK167" i="79"/>
  <c r="H167" i="79"/>
  <c r="BJ166" i="79"/>
  <c r="BI166" i="79"/>
  <c r="BG166" i="79"/>
  <c r="BA166" i="79"/>
  <c r="AK166" i="79"/>
  <c r="H166" i="79"/>
  <c r="BJ165" i="79"/>
  <c r="BI165" i="79"/>
  <c r="BG165" i="79"/>
  <c r="BD165" i="79"/>
  <c r="BA165" i="79"/>
  <c r="AK165" i="79"/>
  <c r="H165" i="79"/>
  <c r="BJ164" i="79"/>
  <c r="BI164" i="79"/>
  <c r="BG164" i="79"/>
  <c r="BD164" i="79"/>
  <c r="BA164" i="79"/>
  <c r="AK164" i="79"/>
  <c r="H164" i="79"/>
  <c r="BJ163" i="79"/>
  <c r="BI163" i="79"/>
  <c r="BG163" i="79"/>
  <c r="BD163" i="79"/>
  <c r="BA163" i="79"/>
  <c r="AK163" i="79"/>
  <c r="H163" i="79"/>
  <c r="BJ162" i="79"/>
  <c r="BI162" i="79"/>
  <c r="BG162" i="79"/>
  <c r="BA162" i="79"/>
  <c r="AK162" i="79"/>
  <c r="H162" i="79"/>
  <c r="BJ161" i="79"/>
  <c r="BI161" i="79"/>
  <c r="BG161" i="79"/>
  <c r="BD161" i="79"/>
  <c r="BA161" i="79"/>
  <c r="AK161" i="79"/>
  <c r="H161" i="79"/>
  <c r="BJ160" i="79"/>
  <c r="BI160" i="79"/>
  <c r="BG160" i="79"/>
  <c r="BD160" i="79"/>
  <c r="BA160" i="79"/>
  <c r="AK160" i="79"/>
  <c r="H160" i="79"/>
  <c r="BJ159" i="79"/>
  <c r="BI159" i="79"/>
  <c r="BG159" i="79"/>
  <c r="BD159" i="79"/>
  <c r="BA159" i="79"/>
  <c r="AK159" i="79"/>
  <c r="H159" i="79"/>
  <c r="BJ158" i="79"/>
  <c r="BI158" i="79"/>
  <c r="BG158" i="79"/>
  <c r="BA158" i="79"/>
  <c r="AK158" i="79"/>
  <c r="H158" i="79"/>
  <c r="BJ157" i="79"/>
  <c r="BI157" i="79"/>
  <c r="BG157" i="79"/>
  <c r="BD157" i="79"/>
  <c r="BA157" i="79"/>
  <c r="AK157" i="79"/>
  <c r="H157" i="79"/>
  <c r="BJ156" i="79"/>
  <c r="BI156" i="79"/>
  <c r="BG156" i="79"/>
  <c r="BD156" i="79"/>
  <c r="BA156" i="79"/>
  <c r="AK156" i="79"/>
  <c r="H156" i="79"/>
  <c r="BJ155" i="79"/>
  <c r="BI155" i="79"/>
  <c r="BG155" i="79"/>
  <c r="BD155" i="79"/>
  <c r="BA155" i="79"/>
  <c r="AK155" i="79"/>
  <c r="H155" i="79"/>
  <c r="BJ154" i="79"/>
  <c r="BI154" i="79"/>
  <c r="BG154" i="79"/>
  <c r="BD154" i="79"/>
  <c r="BA154" i="79"/>
  <c r="AK154" i="79"/>
  <c r="H154" i="79"/>
  <c r="BJ153" i="79"/>
  <c r="BI153" i="79"/>
  <c r="BG153" i="79"/>
  <c r="BD153" i="79"/>
  <c r="BA153" i="79"/>
  <c r="AK153" i="79"/>
  <c r="H153" i="79"/>
  <c r="BJ152" i="79"/>
  <c r="BI152" i="79"/>
  <c r="BG152" i="79"/>
  <c r="BD152" i="79"/>
  <c r="BA152" i="79"/>
  <c r="AK152" i="79"/>
  <c r="H152" i="79"/>
  <c r="BJ151" i="79"/>
  <c r="BI151" i="79"/>
  <c r="BG151" i="79"/>
  <c r="BD151" i="79"/>
  <c r="BA151" i="79"/>
  <c r="AK151" i="79"/>
  <c r="H151" i="79"/>
  <c r="BJ150" i="79"/>
  <c r="BI150" i="79"/>
  <c r="BG150" i="79"/>
  <c r="BA150" i="79"/>
  <c r="AK150" i="79"/>
  <c r="H150" i="79"/>
  <c r="BJ149" i="79"/>
  <c r="BI149" i="79"/>
  <c r="BG149" i="79"/>
  <c r="BD149" i="79"/>
  <c r="BA149" i="79"/>
  <c r="AK149" i="79"/>
  <c r="H149" i="79"/>
  <c r="BJ148" i="79"/>
  <c r="BI148" i="79"/>
  <c r="BG148" i="79"/>
  <c r="BD148" i="79"/>
  <c r="BA148" i="79"/>
  <c r="AK148" i="79"/>
  <c r="H148" i="79"/>
  <c r="BJ147" i="79"/>
  <c r="BI147" i="79"/>
  <c r="BG147" i="79"/>
  <c r="BA147" i="79"/>
  <c r="AK147" i="79"/>
  <c r="H147" i="79"/>
  <c r="BJ146" i="79"/>
  <c r="BI146" i="79"/>
  <c r="BG146" i="79"/>
  <c r="BD146" i="79"/>
  <c r="BA146" i="79"/>
  <c r="AK146" i="79"/>
  <c r="H146" i="79"/>
  <c r="BJ145" i="79"/>
  <c r="BI145" i="79"/>
  <c r="BG145" i="79"/>
  <c r="BD145" i="79"/>
  <c r="BA145" i="79"/>
  <c r="AK145" i="79"/>
  <c r="H145" i="79"/>
  <c r="BJ144" i="79"/>
  <c r="BI144" i="79"/>
  <c r="BG144" i="79"/>
  <c r="BD144" i="79"/>
  <c r="BA144" i="79"/>
  <c r="AK144" i="79"/>
  <c r="H144" i="79"/>
  <c r="BJ143" i="79"/>
  <c r="BI143" i="79"/>
  <c r="BG143" i="79"/>
  <c r="BD143" i="79"/>
  <c r="BA143" i="79"/>
  <c r="AK143" i="79"/>
  <c r="H143" i="79"/>
  <c r="BJ142" i="79"/>
  <c r="BI142" i="79"/>
  <c r="BG142" i="79"/>
  <c r="BA142" i="79"/>
  <c r="AK142" i="79"/>
  <c r="H142" i="79"/>
  <c r="BJ141" i="79"/>
  <c r="BI141" i="79"/>
  <c r="BG141" i="79"/>
  <c r="BD141" i="79"/>
  <c r="BA141" i="79"/>
  <c r="AK141" i="79"/>
  <c r="H141" i="79"/>
  <c r="BJ140" i="79"/>
  <c r="BI140" i="79"/>
  <c r="BG140" i="79"/>
  <c r="BA140" i="79"/>
  <c r="AK140" i="79"/>
  <c r="H140" i="79"/>
  <c r="BJ139" i="79"/>
  <c r="BI139" i="79"/>
  <c r="BG139" i="79"/>
  <c r="BD139" i="79"/>
  <c r="BA139" i="79"/>
  <c r="AK139" i="79"/>
  <c r="H139" i="79"/>
  <c r="BJ138" i="79"/>
  <c r="BI138" i="79"/>
  <c r="BG138" i="79"/>
  <c r="BA138" i="79"/>
  <c r="AK138" i="79"/>
  <c r="H138" i="79"/>
  <c r="BJ137" i="79"/>
  <c r="BI137" i="79"/>
  <c r="BG137" i="79"/>
  <c r="BD137" i="79"/>
  <c r="BA137" i="79"/>
  <c r="AK137" i="79"/>
  <c r="H137" i="79"/>
  <c r="BJ136" i="79"/>
  <c r="BI136" i="79"/>
  <c r="BG136" i="79"/>
  <c r="BA136" i="79"/>
  <c r="AK136" i="79"/>
  <c r="H136" i="79"/>
  <c r="BJ135" i="79"/>
  <c r="BI135" i="79"/>
  <c r="BG135" i="79"/>
  <c r="BD135" i="79"/>
  <c r="BA135" i="79"/>
  <c r="AK135" i="79"/>
  <c r="H135" i="79"/>
  <c r="BJ134" i="79"/>
  <c r="BI134" i="79"/>
  <c r="BG134" i="79"/>
  <c r="BD134" i="79"/>
  <c r="BA134" i="79"/>
  <c r="AK134" i="79"/>
  <c r="H134" i="79"/>
  <c r="BJ133" i="79"/>
  <c r="BI133" i="79"/>
  <c r="BG133" i="79"/>
  <c r="BD133" i="79"/>
  <c r="BA133" i="79"/>
  <c r="AK133" i="79"/>
  <c r="H133" i="79"/>
  <c r="BJ132" i="79"/>
  <c r="BI132" i="79"/>
  <c r="BG132" i="79"/>
  <c r="BD132" i="79"/>
  <c r="BA132" i="79"/>
  <c r="AK132" i="79"/>
  <c r="H132" i="79"/>
  <c r="BJ131" i="79"/>
  <c r="BI131" i="79"/>
  <c r="BG131" i="79"/>
  <c r="BD131" i="79"/>
  <c r="BA131" i="79"/>
  <c r="AK131" i="79"/>
  <c r="H131" i="79"/>
  <c r="BJ130" i="79"/>
  <c r="BI130" i="79"/>
  <c r="BG130" i="79"/>
  <c r="BD130" i="79"/>
  <c r="BA130" i="79"/>
  <c r="AK130" i="79"/>
  <c r="H130" i="79"/>
  <c r="BJ129" i="79"/>
  <c r="BI129" i="79"/>
  <c r="BG129" i="79"/>
  <c r="BA129" i="79"/>
  <c r="AK129" i="79"/>
  <c r="H129" i="79"/>
  <c r="BJ128" i="79"/>
  <c r="BI128" i="79"/>
  <c r="BG128" i="79"/>
  <c r="BA128" i="79"/>
  <c r="AK128" i="79"/>
  <c r="H128" i="79"/>
  <c r="BJ127" i="79"/>
  <c r="BI127" i="79"/>
  <c r="BG127" i="79"/>
  <c r="BA127" i="79"/>
  <c r="AK127" i="79"/>
  <c r="H127" i="79"/>
  <c r="BJ126" i="79"/>
  <c r="BI126" i="79"/>
  <c r="BG126" i="79"/>
  <c r="BA126" i="79"/>
  <c r="AK126" i="79"/>
  <c r="H126" i="79"/>
  <c r="BJ125" i="79"/>
  <c r="BI125" i="79"/>
  <c r="BG125" i="79"/>
  <c r="BD125" i="79"/>
  <c r="BA125" i="79"/>
  <c r="AK125" i="79"/>
  <c r="H125" i="79"/>
  <c r="BJ124" i="79"/>
  <c r="BI124" i="79"/>
  <c r="BG124" i="79"/>
  <c r="BD124" i="79"/>
  <c r="BA124" i="79"/>
  <c r="AK124" i="79"/>
  <c r="H124" i="79"/>
  <c r="BJ123" i="79"/>
  <c r="BI123" i="79"/>
  <c r="BG123" i="79"/>
  <c r="BD123" i="79"/>
  <c r="BA123" i="79"/>
  <c r="AK123" i="79"/>
  <c r="H123" i="79"/>
  <c r="BJ122" i="79"/>
  <c r="BI122" i="79"/>
  <c r="BG122" i="79"/>
  <c r="BD122" i="79"/>
  <c r="BA122" i="79"/>
  <c r="AK122" i="79"/>
  <c r="H122" i="79"/>
  <c r="BJ121" i="79"/>
  <c r="BI121" i="79"/>
  <c r="BG121" i="79"/>
  <c r="BD121" i="79"/>
  <c r="BA121" i="79"/>
  <c r="AK121" i="79"/>
  <c r="H121" i="79"/>
  <c r="BJ120" i="79"/>
  <c r="BI120" i="79"/>
  <c r="BG120" i="79"/>
  <c r="BD120" i="79"/>
  <c r="BA120" i="79"/>
  <c r="AK120" i="79"/>
  <c r="H120" i="79"/>
  <c r="BJ119" i="79"/>
  <c r="BI119" i="79"/>
  <c r="BG119" i="79"/>
  <c r="BD119" i="79"/>
  <c r="BA119" i="79"/>
  <c r="AK119" i="79"/>
  <c r="H119" i="79"/>
  <c r="BJ118" i="79"/>
  <c r="BI118" i="79"/>
  <c r="BG118" i="79"/>
  <c r="BD118" i="79"/>
  <c r="BA118" i="79"/>
  <c r="AK118" i="79"/>
  <c r="H118" i="79"/>
  <c r="BJ117" i="79"/>
  <c r="BI117" i="79"/>
  <c r="BG117" i="79"/>
  <c r="BD117" i="79"/>
  <c r="BA117" i="79"/>
  <c r="AK117" i="79"/>
  <c r="H117" i="79"/>
  <c r="BJ116" i="79"/>
  <c r="BI116" i="79"/>
  <c r="BG116" i="79"/>
  <c r="BA116" i="79"/>
  <c r="AK116" i="79"/>
  <c r="H116" i="79"/>
  <c r="BJ115" i="79"/>
  <c r="BI115" i="79"/>
  <c r="BG115" i="79"/>
  <c r="BD115" i="79"/>
  <c r="BA115" i="79"/>
  <c r="AK115" i="79"/>
  <c r="H115" i="79"/>
  <c r="BJ114" i="79"/>
  <c r="BI114" i="79"/>
  <c r="BG114" i="79"/>
  <c r="BD114" i="79"/>
  <c r="BA114" i="79"/>
  <c r="AK114" i="79"/>
  <c r="H114" i="79"/>
  <c r="BJ113" i="79"/>
  <c r="BI113" i="79"/>
  <c r="BG113" i="79"/>
  <c r="BD113" i="79"/>
  <c r="BA113" i="79"/>
  <c r="AK113" i="79"/>
  <c r="H113" i="79"/>
  <c r="BJ112" i="79"/>
  <c r="BI112" i="79"/>
  <c r="BG112" i="79"/>
  <c r="BD112" i="79"/>
  <c r="BA112" i="79"/>
  <c r="AK112" i="79"/>
  <c r="H112" i="79"/>
  <c r="BJ111" i="79"/>
  <c r="BI111" i="79"/>
  <c r="BG111" i="79"/>
  <c r="BD111" i="79"/>
  <c r="BA111" i="79"/>
  <c r="AK111" i="79"/>
  <c r="H111" i="79"/>
  <c r="BJ110" i="79"/>
  <c r="BI110" i="79"/>
  <c r="BG110" i="79"/>
  <c r="BD110" i="79"/>
  <c r="BA110" i="79"/>
  <c r="AK110" i="79"/>
  <c r="H110" i="79"/>
  <c r="BJ109" i="79"/>
  <c r="BI109" i="79"/>
  <c r="BG109" i="79"/>
  <c r="BD109" i="79"/>
  <c r="BA109" i="79"/>
  <c r="AK109" i="79"/>
  <c r="H109" i="79"/>
  <c r="BJ108" i="79"/>
  <c r="BI108" i="79"/>
  <c r="BG108" i="79"/>
  <c r="BD108" i="79"/>
  <c r="BA108" i="79"/>
  <c r="AK108" i="79"/>
  <c r="H108" i="79"/>
  <c r="BJ107" i="79"/>
  <c r="BI107" i="79"/>
  <c r="BG107" i="79"/>
  <c r="BD107" i="79"/>
  <c r="BA107" i="79"/>
  <c r="AK107" i="79"/>
  <c r="H107" i="79"/>
  <c r="BJ106" i="79"/>
  <c r="BI106" i="79"/>
  <c r="BG106" i="79"/>
  <c r="BD106" i="79"/>
  <c r="BA106" i="79"/>
  <c r="AK106" i="79"/>
  <c r="H106" i="79"/>
  <c r="BJ105" i="79"/>
  <c r="BI105" i="79"/>
  <c r="BG105" i="79"/>
  <c r="BD105" i="79"/>
  <c r="BA105" i="79"/>
  <c r="AK105" i="79"/>
  <c r="H105" i="79"/>
  <c r="BJ104" i="79"/>
  <c r="BI104" i="79"/>
  <c r="BG104" i="79"/>
  <c r="BD104" i="79"/>
  <c r="BA104" i="79"/>
  <c r="AK104" i="79"/>
  <c r="H104" i="79"/>
  <c r="BJ103" i="79"/>
  <c r="BI103" i="79"/>
  <c r="BG103" i="79"/>
  <c r="BD103" i="79"/>
  <c r="BA103" i="79"/>
  <c r="AK103" i="79"/>
  <c r="H103" i="79"/>
  <c r="BJ102" i="79"/>
  <c r="BI102" i="79"/>
  <c r="BG102" i="79"/>
  <c r="BD102" i="79"/>
  <c r="BA102" i="79"/>
  <c r="AK102" i="79"/>
  <c r="H102" i="79"/>
  <c r="BJ101" i="79"/>
  <c r="BI101" i="79"/>
  <c r="BG101" i="79"/>
  <c r="BD101" i="79"/>
  <c r="BA101" i="79"/>
  <c r="AK101" i="79"/>
  <c r="H101" i="79"/>
  <c r="BJ100" i="79"/>
  <c r="BI100" i="79"/>
  <c r="BG100" i="79"/>
  <c r="BD100" i="79"/>
  <c r="BA100" i="79"/>
  <c r="AK100" i="79"/>
  <c r="H100" i="79"/>
  <c r="BJ99" i="79"/>
  <c r="BI99" i="79"/>
  <c r="BG99" i="79"/>
  <c r="BD99" i="79"/>
  <c r="BA99" i="79"/>
  <c r="AK99" i="79"/>
  <c r="H99" i="79"/>
  <c r="BJ98" i="79"/>
  <c r="BI98" i="79"/>
  <c r="BG98" i="79"/>
  <c r="BD98" i="79"/>
  <c r="BA98" i="79"/>
  <c r="AK98" i="79"/>
  <c r="H98" i="79"/>
  <c r="BJ97" i="79"/>
  <c r="BI97" i="79"/>
  <c r="BG97" i="79"/>
  <c r="BD97" i="79"/>
  <c r="BA97" i="79"/>
  <c r="AK97" i="79"/>
  <c r="H97" i="79"/>
  <c r="BJ96" i="79"/>
  <c r="BI96" i="79"/>
  <c r="BG96" i="79"/>
  <c r="BD96" i="79"/>
  <c r="BA96" i="79"/>
  <c r="AK96" i="79"/>
  <c r="H96" i="79"/>
  <c r="BJ95" i="79"/>
  <c r="BI95" i="79"/>
  <c r="BG95" i="79"/>
  <c r="BD95" i="79"/>
  <c r="BA95" i="79"/>
  <c r="AK95" i="79"/>
  <c r="H95" i="79"/>
  <c r="BJ94" i="79"/>
  <c r="BI94" i="79"/>
  <c r="BG94" i="79"/>
  <c r="BD94" i="79"/>
  <c r="BA94" i="79"/>
  <c r="AK94" i="79"/>
  <c r="H94" i="79"/>
  <c r="BJ93" i="79"/>
  <c r="BI93" i="79"/>
  <c r="BG93" i="79"/>
  <c r="BD93" i="79"/>
  <c r="BA93" i="79"/>
  <c r="AK93" i="79"/>
  <c r="H93" i="79"/>
  <c r="BJ92" i="79"/>
  <c r="BI92" i="79"/>
  <c r="BG92" i="79"/>
  <c r="BD92" i="79"/>
  <c r="BA92" i="79"/>
  <c r="AK92" i="79"/>
  <c r="H92" i="79"/>
  <c r="BJ91" i="79"/>
  <c r="BI91" i="79"/>
  <c r="BG91" i="79"/>
  <c r="BD91" i="79"/>
  <c r="BA91" i="79"/>
  <c r="AK91" i="79"/>
  <c r="H91" i="79"/>
  <c r="BJ90" i="79"/>
  <c r="BI90" i="79"/>
  <c r="BG90" i="79"/>
  <c r="BD90" i="79"/>
  <c r="BA90" i="79"/>
  <c r="AK90" i="79"/>
  <c r="H90" i="79"/>
  <c r="BJ89" i="79"/>
  <c r="BI89" i="79"/>
  <c r="BG89" i="79"/>
  <c r="BA89" i="79"/>
  <c r="AK89" i="79"/>
  <c r="H89" i="79"/>
  <c r="BJ88" i="79"/>
  <c r="BI88" i="79"/>
  <c r="BG88" i="79"/>
  <c r="BD88" i="79"/>
  <c r="BA88" i="79"/>
  <c r="AK88" i="79"/>
  <c r="H88" i="79"/>
  <c r="BJ87" i="79"/>
  <c r="BI87" i="79"/>
  <c r="BG87" i="79"/>
  <c r="BD87" i="79"/>
  <c r="BA87" i="79"/>
  <c r="AK87" i="79"/>
  <c r="H87" i="79"/>
  <c r="BJ86" i="79"/>
  <c r="BI86" i="79"/>
  <c r="BG86" i="79"/>
  <c r="BD86" i="79"/>
  <c r="BA86" i="79"/>
  <c r="AK86" i="79"/>
  <c r="H86" i="79"/>
  <c r="BJ85" i="79"/>
  <c r="BI85" i="79"/>
  <c r="BG85" i="79"/>
  <c r="BD85" i="79"/>
  <c r="BA85" i="79"/>
  <c r="AK85" i="79"/>
  <c r="H85" i="79"/>
  <c r="BJ84" i="79"/>
  <c r="BI84" i="79"/>
  <c r="BG84" i="79"/>
  <c r="BD84" i="79"/>
  <c r="BA84" i="79"/>
  <c r="AK84" i="79"/>
  <c r="H84" i="79"/>
  <c r="BJ83" i="79"/>
  <c r="BI83" i="79"/>
  <c r="BG83" i="79"/>
  <c r="BD83" i="79"/>
  <c r="BA83" i="79"/>
  <c r="AK83" i="79"/>
  <c r="H83" i="79"/>
  <c r="BJ82" i="79"/>
  <c r="BI82" i="79"/>
  <c r="BG82" i="79"/>
  <c r="BD82" i="79"/>
  <c r="BA82" i="79"/>
  <c r="AK82" i="79"/>
  <c r="H82" i="79"/>
  <c r="BJ81" i="79"/>
  <c r="BI81" i="79"/>
  <c r="BG81" i="79"/>
  <c r="BD81" i="79"/>
  <c r="BA81" i="79"/>
  <c r="AK81" i="79"/>
  <c r="H81" i="79"/>
  <c r="BJ80" i="79"/>
  <c r="BI80" i="79"/>
  <c r="BG80" i="79"/>
  <c r="BD80" i="79"/>
  <c r="BA80" i="79"/>
  <c r="AK80" i="79"/>
  <c r="H80" i="79"/>
  <c r="BJ79" i="79"/>
  <c r="BI79" i="79"/>
  <c r="BG79" i="79"/>
  <c r="BD79" i="79"/>
  <c r="BA79" i="79"/>
  <c r="AK79" i="79"/>
  <c r="H79" i="79"/>
  <c r="BJ78" i="79"/>
  <c r="BI78" i="79"/>
  <c r="BG78" i="79"/>
  <c r="BD78" i="79"/>
  <c r="BA78" i="79"/>
  <c r="AK78" i="79"/>
  <c r="H78" i="79"/>
  <c r="BJ77" i="79"/>
  <c r="BI77" i="79"/>
  <c r="BG77" i="79"/>
  <c r="BD77" i="79"/>
  <c r="BA77" i="79"/>
  <c r="AK77" i="79"/>
  <c r="H77" i="79"/>
  <c r="BJ76" i="79"/>
  <c r="BI76" i="79"/>
  <c r="BG76" i="79"/>
  <c r="BD76" i="79"/>
  <c r="BA76" i="79"/>
  <c r="AK76" i="79"/>
  <c r="H76" i="79"/>
  <c r="BJ75" i="79"/>
  <c r="BI75" i="79"/>
  <c r="BG75" i="79"/>
  <c r="BD75" i="79"/>
  <c r="BA75" i="79"/>
  <c r="AK75" i="79"/>
  <c r="H75" i="79"/>
  <c r="BJ74" i="79"/>
  <c r="BI74" i="79"/>
  <c r="BG74" i="79"/>
  <c r="BD74" i="79"/>
  <c r="BA74" i="79"/>
  <c r="AK74" i="79"/>
  <c r="H74" i="79"/>
  <c r="BJ73" i="79"/>
  <c r="BI73" i="79"/>
  <c r="BG73" i="79"/>
  <c r="BD73" i="79"/>
  <c r="BA73" i="79"/>
  <c r="AK73" i="79"/>
  <c r="H73" i="79"/>
  <c r="BJ72" i="79"/>
  <c r="BI72" i="79"/>
  <c r="BG72" i="79"/>
  <c r="BD72" i="79"/>
  <c r="BA72" i="79"/>
  <c r="AK72" i="79"/>
  <c r="H72" i="79"/>
  <c r="BJ71" i="79"/>
  <c r="BI71" i="79"/>
  <c r="BG71" i="79"/>
  <c r="BD71" i="79"/>
  <c r="BA71" i="79"/>
  <c r="AK71" i="79"/>
  <c r="H71" i="79"/>
  <c r="BJ70" i="79"/>
  <c r="BI70" i="79"/>
  <c r="BG70" i="79"/>
  <c r="BD70" i="79"/>
  <c r="BA70" i="79"/>
  <c r="AK70" i="79"/>
  <c r="H70" i="79"/>
  <c r="BJ69" i="79"/>
  <c r="BI69" i="79"/>
  <c r="BG69" i="79"/>
  <c r="BD69" i="79"/>
  <c r="BA69" i="79"/>
  <c r="AK69" i="79"/>
  <c r="H69" i="79"/>
  <c r="BJ68" i="79"/>
  <c r="BI68" i="79"/>
  <c r="BG68" i="79"/>
  <c r="BD68" i="79"/>
  <c r="BA68" i="79"/>
  <c r="AK68" i="79"/>
  <c r="H68" i="79"/>
  <c r="BJ67" i="79"/>
  <c r="BI67" i="79"/>
  <c r="BG67" i="79"/>
  <c r="BD67" i="79"/>
  <c r="BA67" i="79"/>
  <c r="AK67" i="79"/>
  <c r="H67" i="79"/>
  <c r="BJ66" i="79"/>
  <c r="BI66" i="79"/>
  <c r="BG66" i="79"/>
  <c r="BD66" i="79"/>
  <c r="BA66" i="79"/>
  <c r="AK66" i="79"/>
  <c r="H66" i="79"/>
  <c r="BJ65" i="79"/>
  <c r="BI65" i="79"/>
  <c r="BG65" i="79"/>
  <c r="BD65" i="79"/>
  <c r="BA65" i="79"/>
  <c r="AK65" i="79"/>
  <c r="H65" i="79"/>
  <c r="BJ64" i="79"/>
  <c r="BI64" i="79"/>
  <c r="BG64" i="79"/>
  <c r="BD64" i="79"/>
  <c r="BA64" i="79"/>
  <c r="AK64" i="79"/>
  <c r="H64" i="79"/>
  <c r="BJ63" i="79"/>
  <c r="BI63" i="79"/>
  <c r="BG63" i="79"/>
  <c r="BA63" i="79"/>
  <c r="AK63" i="79"/>
  <c r="H63" i="79"/>
  <c r="BJ62" i="79"/>
  <c r="BI62" i="79"/>
  <c r="BG62" i="79"/>
  <c r="BD62" i="79"/>
  <c r="BA62" i="79"/>
  <c r="AK62" i="79"/>
  <c r="H62" i="79"/>
  <c r="BJ61" i="79"/>
  <c r="BI61" i="79"/>
  <c r="BG61" i="79"/>
  <c r="BD61" i="79"/>
  <c r="BA61" i="79"/>
  <c r="AK61" i="79"/>
  <c r="H61" i="79"/>
  <c r="BJ60" i="79"/>
  <c r="BI60" i="79"/>
  <c r="BG60" i="79"/>
  <c r="BD60" i="79"/>
  <c r="BA60" i="79"/>
  <c r="AK60" i="79"/>
  <c r="H60" i="79"/>
  <c r="BJ59" i="79"/>
  <c r="BI59" i="79"/>
  <c r="BG59" i="79"/>
  <c r="BD59" i="79"/>
  <c r="BA59" i="79"/>
  <c r="AK59" i="79"/>
  <c r="H59" i="79"/>
  <c r="BJ58" i="79"/>
  <c r="BI58" i="79"/>
  <c r="BG58" i="79"/>
  <c r="BD58" i="79"/>
  <c r="BA58" i="79"/>
  <c r="AK58" i="79"/>
  <c r="H58" i="79"/>
  <c r="BJ57" i="79"/>
  <c r="BI57" i="79"/>
  <c r="BG57" i="79"/>
  <c r="BD57" i="79"/>
  <c r="BA57" i="79"/>
  <c r="AK57" i="79"/>
  <c r="H57" i="79"/>
  <c r="BJ56" i="79"/>
  <c r="BI56" i="79"/>
  <c r="BG56" i="79"/>
  <c r="BD56" i="79"/>
  <c r="BA56" i="79"/>
  <c r="AK56" i="79"/>
  <c r="H56" i="79"/>
  <c r="BJ55" i="79"/>
  <c r="BI55" i="79"/>
  <c r="BG55" i="79"/>
  <c r="BD55" i="79"/>
  <c r="BA55" i="79"/>
  <c r="AK55" i="79"/>
  <c r="H55" i="79"/>
  <c r="BJ54" i="79"/>
  <c r="BI54" i="79"/>
  <c r="BG54" i="79"/>
  <c r="BD54" i="79"/>
  <c r="BA54" i="79"/>
  <c r="AK54" i="79"/>
  <c r="H54" i="79"/>
  <c r="BJ53" i="79"/>
  <c r="BI53" i="79"/>
  <c r="BG53" i="79"/>
  <c r="BD53" i="79"/>
  <c r="BA53" i="79"/>
  <c r="AK53" i="79"/>
  <c r="H53" i="79"/>
  <c r="BJ52" i="79"/>
  <c r="BI52" i="79"/>
  <c r="BG52" i="79"/>
  <c r="BA52" i="79"/>
  <c r="AK52" i="79"/>
  <c r="H52" i="79"/>
  <c r="BJ51" i="79"/>
  <c r="BI51" i="79"/>
  <c r="BG51" i="79"/>
  <c r="BD51" i="79"/>
  <c r="BA51" i="79"/>
  <c r="AK51" i="79"/>
  <c r="H51" i="79"/>
  <c r="BJ50" i="79"/>
  <c r="BI50" i="79"/>
  <c r="BG50" i="79"/>
  <c r="BD50" i="79"/>
  <c r="BA50" i="79"/>
  <c r="AK50" i="79"/>
  <c r="H50" i="79"/>
  <c r="BJ49" i="79"/>
  <c r="BI49" i="79"/>
  <c r="BG49" i="79"/>
  <c r="BD49" i="79"/>
  <c r="BA49" i="79"/>
  <c r="AK49" i="79"/>
  <c r="H49" i="79"/>
  <c r="BJ48" i="79"/>
  <c r="BI48" i="79"/>
  <c r="BG48" i="79"/>
  <c r="BD48" i="79"/>
  <c r="BA48" i="79"/>
  <c r="AK48" i="79"/>
  <c r="H48" i="79"/>
  <c r="BJ47" i="79"/>
  <c r="BI47" i="79"/>
  <c r="BG47" i="79"/>
  <c r="BD47" i="79"/>
  <c r="BA47" i="79"/>
  <c r="AK47" i="79"/>
  <c r="H47" i="79"/>
  <c r="BJ46" i="79"/>
  <c r="BI46" i="79"/>
  <c r="BG46" i="79"/>
  <c r="BD46" i="79"/>
  <c r="BA46" i="79"/>
  <c r="AK46" i="79"/>
  <c r="H46" i="79"/>
  <c r="BJ45" i="79"/>
  <c r="BI45" i="79"/>
  <c r="BG45" i="79"/>
  <c r="BD45" i="79"/>
  <c r="BA45" i="79"/>
  <c r="AK45" i="79"/>
  <c r="H45" i="79"/>
  <c r="BJ44" i="79"/>
  <c r="BI44" i="79"/>
  <c r="BG44" i="79"/>
  <c r="BD44" i="79"/>
  <c r="BA44" i="79"/>
  <c r="AK44" i="79"/>
  <c r="H44" i="79"/>
  <c r="BJ43" i="79"/>
  <c r="BI43" i="79"/>
  <c r="BG43" i="79"/>
  <c r="BD43" i="79"/>
  <c r="BA43" i="79"/>
  <c r="AK43" i="79"/>
  <c r="H43" i="79"/>
  <c r="BJ42" i="79"/>
  <c r="BI42" i="79"/>
  <c r="BG42" i="79"/>
  <c r="BD42" i="79"/>
  <c r="BA42" i="79"/>
  <c r="AK42" i="79"/>
  <c r="H42" i="79"/>
  <c r="BJ41" i="79"/>
  <c r="BI41" i="79"/>
  <c r="BG41" i="79"/>
  <c r="BD41" i="79"/>
  <c r="BA41" i="79"/>
  <c r="AK41" i="79"/>
  <c r="H41" i="79"/>
  <c r="BJ40" i="79"/>
  <c r="BI40" i="79"/>
  <c r="BG40" i="79"/>
  <c r="BD40" i="79"/>
  <c r="BA40" i="79"/>
  <c r="AK40" i="79"/>
  <c r="H40" i="79"/>
  <c r="BJ39" i="79"/>
  <c r="BI39" i="79"/>
  <c r="BG39" i="79"/>
  <c r="BD39" i="79"/>
  <c r="BA39" i="79"/>
  <c r="AK39" i="79"/>
  <c r="H39" i="79"/>
  <c r="BJ38" i="79"/>
  <c r="BI38" i="79"/>
  <c r="BG38" i="79"/>
  <c r="BD38" i="79"/>
  <c r="BA38" i="79"/>
  <c r="AK38" i="79"/>
  <c r="H38" i="79"/>
  <c r="BJ37" i="79"/>
  <c r="BI37" i="79"/>
  <c r="BG37" i="79"/>
  <c r="BD37" i="79"/>
  <c r="BA37" i="79"/>
  <c r="AK37" i="79"/>
  <c r="H37" i="79"/>
  <c r="BJ36" i="79"/>
  <c r="BI36" i="79"/>
  <c r="BG36" i="79"/>
  <c r="BD36" i="79"/>
  <c r="BA36" i="79"/>
  <c r="AK36" i="79"/>
  <c r="H36" i="79"/>
  <c r="BJ35" i="79"/>
  <c r="BI35" i="79"/>
  <c r="BG35" i="79"/>
  <c r="BD35" i="79"/>
  <c r="BA35" i="79"/>
  <c r="AK35" i="79"/>
  <c r="H35" i="79"/>
  <c r="BJ34" i="79"/>
  <c r="BI34" i="79"/>
  <c r="BG34" i="79"/>
  <c r="BD34" i="79"/>
  <c r="BA34" i="79"/>
  <c r="AK34" i="79"/>
  <c r="H34" i="79"/>
  <c r="BJ33" i="79"/>
  <c r="BI33" i="79"/>
  <c r="BG33" i="79"/>
  <c r="BD33" i="79"/>
  <c r="BA33" i="79"/>
  <c r="AK33" i="79"/>
  <c r="H33" i="79"/>
  <c r="BJ32" i="79"/>
  <c r="BI32" i="79"/>
  <c r="BG32" i="79"/>
  <c r="BD32" i="79"/>
  <c r="BA32" i="79"/>
  <c r="AK32" i="79"/>
  <c r="H32" i="79"/>
  <c r="BJ31" i="79"/>
  <c r="BI31" i="79"/>
  <c r="BG31" i="79"/>
  <c r="BD31" i="79"/>
  <c r="BA31" i="79"/>
  <c r="AK31" i="79"/>
  <c r="H31" i="79"/>
  <c r="BJ30" i="79"/>
  <c r="BI30" i="79"/>
  <c r="BG30" i="79"/>
  <c r="BD30" i="79"/>
  <c r="BA30" i="79"/>
  <c r="AK30" i="79"/>
  <c r="H30" i="79"/>
  <c r="BJ29" i="79"/>
  <c r="BI29" i="79"/>
  <c r="BG29" i="79"/>
  <c r="BD29" i="79"/>
  <c r="BA29" i="79"/>
  <c r="AK29" i="79"/>
  <c r="H29" i="79"/>
  <c r="BJ28" i="79"/>
  <c r="BI28" i="79"/>
  <c r="BG28" i="79"/>
  <c r="BD28" i="79"/>
  <c r="BA28" i="79"/>
  <c r="AK28" i="79"/>
  <c r="H28" i="79"/>
  <c r="BJ27" i="79"/>
  <c r="BI27" i="79"/>
  <c r="BG27" i="79"/>
  <c r="BA27" i="79"/>
  <c r="AK27" i="79"/>
  <c r="H27" i="79"/>
  <c r="BJ26" i="79"/>
  <c r="BI26" i="79"/>
  <c r="BG26" i="79"/>
  <c r="BD26" i="79"/>
  <c r="BA26" i="79"/>
  <c r="AK26" i="79"/>
  <c r="H26" i="79"/>
  <c r="BJ25" i="79"/>
  <c r="BI25" i="79"/>
  <c r="BG25" i="79"/>
  <c r="BD25" i="79"/>
  <c r="BA25" i="79"/>
  <c r="AK25" i="79"/>
  <c r="H25" i="79"/>
  <c r="BJ24" i="79"/>
  <c r="BI24" i="79"/>
  <c r="BG24" i="79"/>
  <c r="BD24" i="79"/>
  <c r="BA24" i="79"/>
  <c r="AK24" i="79"/>
  <c r="H24" i="79"/>
  <c r="BJ23" i="79"/>
  <c r="BI23" i="79"/>
  <c r="BG23" i="79"/>
  <c r="BA23" i="79"/>
  <c r="AK23" i="79"/>
  <c r="H23" i="79"/>
  <c r="BJ22" i="79"/>
  <c r="BI22" i="79"/>
  <c r="BG22" i="79"/>
  <c r="BD22" i="79"/>
  <c r="BA22" i="79"/>
  <c r="AK22" i="79"/>
  <c r="H22" i="79"/>
  <c r="BJ21" i="79"/>
  <c r="BI21" i="79"/>
  <c r="BG21" i="79"/>
  <c r="BD21" i="79"/>
  <c r="BA21" i="79"/>
  <c r="AK21" i="79"/>
  <c r="H21" i="79"/>
  <c r="BJ20" i="79"/>
  <c r="BI20" i="79"/>
  <c r="BG20" i="79"/>
  <c r="BD20" i="79"/>
  <c r="BA20" i="79"/>
  <c r="AK20" i="79"/>
  <c r="H20" i="79"/>
  <c r="BJ19" i="79"/>
  <c r="BI19" i="79"/>
  <c r="BG19" i="79"/>
  <c r="BD19" i="79"/>
  <c r="BA19" i="79"/>
  <c r="AK19" i="79"/>
  <c r="H19" i="79"/>
  <c r="BJ18" i="79"/>
  <c r="BI18" i="79"/>
  <c r="BG18" i="79"/>
  <c r="BD18" i="79"/>
  <c r="BA18" i="79"/>
  <c r="AK18" i="79"/>
  <c r="H18" i="79"/>
  <c r="BJ17" i="79"/>
  <c r="BI17" i="79"/>
  <c r="BG17" i="79"/>
  <c r="BD17" i="79"/>
  <c r="BA17" i="79"/>
  <c r="AK17" i="79"/>
  <c r="H17" i="79"/>
  <c r="BJ16" i="79"/>
  <c r="BI16" i="79"/>
  <c r="BG16" i="79"/>
  <c r="BD16" i="79"/>
  <c r="BA16" i="79"/>
  <c r="AK16" i="79"/>
  <c r="H16" i="79"/>
  <c r="BJ15" i="79"/>
  <c r="BI15" i="79"/>
  <c r="BG15" i="79"/>
  <c r="BD15" i="79"/>
  <c r="BA15" i="79"/>
  <c r="AK15" i="79"/>
  <c r="H15" i="79"/>
  <c r="BJ14" i="79"/>
  <c r="BI14" i="79"/>
  <c r="BG14" i="79"/>
  <c r="BD14" i="79"/>
  <c r="BA14" i="79"/>
  <c r="AK14" i="79"/>
  <c r="H14" i="79"/>
  <c r="BJ13" i="79"/>
  <c r="BI13" i="79"/>
  <c r="BG13" i="79"/>
  <c r="BD13" i="79"/>
  <c r="BA13" i="79"/>
  <c r="AK13" i="79"/>
  <c r="H13" i="79"/>
  <c r="BJ12" i="79"/>
  <c r="BI12" i="79"/>
  <c r="BG12" i="79"/>
  <c r="BD12" i="79"/>
  <c r="BA12" i="79"/>
  <c r="AK12" i="79"/>
  <c r="H12" i="79"/>
  <c r="BJ11" i="79"/>
  <c r="BI11" i="79"/>
  <c r="BG11" i="79"/>
  <c r="BD11" i="79"/>
  <c r="BA11" i="79"/>
  <c r="AK11" i="79"/>
  <c r="H11" i="79"/>
  <c r="BJ10" i="79"/>
  <c r="BI10" i="79"/>
  <c r="BG10" i="79"/>
  <c r="BD10" i="79"/>
  <c r="BA10" i="79"/>
  <c r="AK10" i="79"/>
  <c r="H10" i="79"/>
  <c r="BJ9" i="79"/>
  <c r="BI9" i="79"/>
  <c r="BG9" i="79"/>
  <c r="BD9" i="79"/>
  <c r="BA9" i="79"/>
  <c r="AK9" i="79"/>
  <c r="H9" i="79"/>
  <c r="BJ8" i="79"/>
  <c r="BI8" i="79"/>
  <c r="BG8" i="79"/>
  <c r="BD8" i="79"/>
  <c r="BA8" i="79"/>
  <c r="AK8" i="79"/>
  <c r="H8" i="79"/>
  <c r="BJ7" i="79"/>
  <c r="BI7" i="79"/>
  <c r="BG7" i="79"/>
  <c r="BD7" i="79"/>
  <c r="BA7" i="79"/>
  <c r="AK7" i="79"/>
  <c r="H7" i="79"/>
  <c r="BJ6" i="79"/>
  <c r="BI6" i="79"/>
  <c r="BG6" i="79"/>
  <c r="BD6" i="79"/>
  <c r="BA6" i="79"/>
  <c r="AK6" i="79"/>
  <c r="H6" i="79"/>
  <c r="BJ5" i="79"/>
  <c r="BI5" i="79"/>
  <c r="BG5" i="79"/>
  <c r="BD5" i="79"/>
  <c r="BA5" i="79"/>
  <c r="AK5" i="79"/>
  <c r="H5" i="79"/>
  <c r="BJ4" i="79"/>
  <c r="BI4" i="79"/>
  <c r="BG4" i="79"/>
  <c r="BD4" i="79"/>
  <c r="BA4" i="79"/>
  <c r="AK4" i="79"/>
  <c r="H4" i="79"/>
  <c r="BJ3" i="79"/>
  <c r="BI3" i="79"/>
  <c r="BG3" i="79"/>
  <c r="BD3" i="79"/>
  <c r="BA3" i="79"/>
  <c r="AK3" i="79"/>
  <c r="H3" i="79"/>
  <c r="L22" i="78"/>
  <c r="G22" i="78"/>
  <c r="M22" i="78"/>
  <c r="L97" i="77"/>
  <c r="G97" i="77"/>
  <c r="M97" i="77"/>
  <c r="L410" i="76"/>
  <c r="G410" i="76"/>
  <c r="M410" i="76"/>
  <c r="L14" i="1"/>
  <c r="L11" i="1"/>
  <c r="W21" i="1"/>
  <c r="W20" i="1"/>
  <c r="F34" i="6"/>
  <c r="I40" i="39"/>
  <c r="G40" i="39"/>
  <c r="E40" i="39"/>
  <c r="I9" i="39"/>
  <c r="I7" i="39"/>
  <c r="G9" i="39"/>
  <c r="G7" i="39"/>
  <c r="E9" i="39"/>
  <c r="E7" i="39"/>
  <c r="Q73" i="73"/>
  <c r="Q60" i="73"/>
  <c r="D60" i="73"/>
  <c r="Q59" i="73"/>
  <c r="K59" i="73"/>
  <c r="P75" i="73"/>
  <c r="F58" i="73"/>
  <c r="Q52" i="73"/>
  <c r="J50" i="73"/>
  <c r="J51" i="73"/>
  <c r="M47" i="73"/>
  <c r="F33" i="73"/>
  <c r="F60" i="73"/>
  <c r="F31" i="73"/>
  <c r="F23" i="73"/>
  <c r="D23" i="73"/>
  <c r="F21" i="73"/>
  <c r="F20" i="73"/>
  <c r="M19" i="73"/>
  <c r="F18" i="73"/>
  <c r="M17" i="73"/>
  <c r="F17" i="73"/>
  <c r="F15" i="73"/>
  <c r="Q73" i="72"/>
  <c r="Q60" i="72"/>
  <c r="D60" i="72"/>
  <c r="Q59" i="72"/>
  <c r="K59" i="72"/>
  <c r="P75" i="72"/>
  <c r="F58" i="72"/>
  <c r="Q52" i="72"/>
  <c r="J51" i="72"/>
  <c r="J50" i="72"/>
  <c r="M47" i="72"/>
  <c r="F33" i="72"/>
  <c r="F60" i="72"/>
  <c r="F31" i="72"/>
  <c r="F23" i="72"/>
  <c r="D24" i="72"/>
  <c r="D23" i="72"/>
  <c r="D22" i="72"/>
  <c r="F21" i="72"/>
  <c r="F20" i="72"/>
  <c r="M19" i="72"/>
  <c r="F18" i="72"/>
  <c r="M17" i="72"/>
  <c r="F17" i="72"/>
  <c r="F15" i="72"/>
  <c r="P62" i="72"/>
  <c r="D24" i="73"/>
  <c r="P62" i="73"/>
  <c r="D22" i="73"/>
  <c r="D73" i="39"/>
  <c r="E73" i="39"/>
  <c r="F73" i="39"/>
  <c r="G73" i="39"/>
  <c r="H73" i="39"/>
  <c r="I73" i="39"/>
  <c r="J73" i="39"/>
  <c r="K73" i="39"/>
  <c r="L73" i="39"/>
  <c r="M73" i="39"/>
  <c r="N73" i="39"/>
  <c r="D5" i="69"/>
  <c r="D4" i="69"/>
  <c r="N12" i="1"/>
  <c r="J12" i="1"/>
  <c r="I12" i="1"/>
  <c r="H12" i="1"/>
  <c r="Q8" i="1"/>
  <c r="Q7" i="1"/>
  <c r="N14" i="1"/>
  <c r="N11" i="1"/>
  <c r="N10" i="1"/>
  <c r="N9" i="1"/>
  <c r="N8" i="1"/>
  <c r="N7" i="1"/>
  <c r="L8" i="1"/>
  <c r="L7" i="1"/>
  <c r="J10" i="1"/>
  <c r="I10" i="1"/>
  <c r="H10" i="1"/>
  <c r="J8" i="1"/>
  <c r="I8" i="1"/>
  <c r="H8" i="1"/>
  <c r="J7" i="1"/>
  <c r="I7" i="1"/>
  <c r="H7" i="1"/>
  <c r="G24" i="6"/>
  <c r="AN13" i="3"/>
  <c r="F25" i="6"/>
  <c r="F23" i="6"/>
  <c r="F22" i="6"/>
  <c r="H56" i="68"/>
  <c r="F56" i="68"/>
  <c r="M13" i="3"/>
  <c r="J56" i="68"/>
  <c r="I56" i="68"/>
  <c r="G56" i="68"/>
  <c r="E56" i="68"/>
  <c r="K13" i="3"/>
  <c r="D56" i="68"/>
  <c r="A3" i="3"/>
  <c r="C40" i="39"/>
  <c r="B25" i="31"/>
  <c r="I13" i="3"/>
  <c r="F20" i="6"/>
  <c r="B26" i="31"/>
  <c r="F21" i="6"/>
  <c r="I7" i="6"/>
  <c r="AH5" i="59"/>
  <c r="AG5" i="59"/>
  <c r="AE5" i="59"/>
  <c r="AF5" i="59"/>
  <c r="AD5" i="59"/>
  <c r="Q5" i="59"/>
  <c r="P5" i="59"/>
  <c r="O5" i="59"/>
  <c r="N5" i="59"/>
  <c r="B24" i="31"/>
  <c r="F19" i="6"/>
  <c r="A21" i="31"/>
  <c r="C109" i="9"/>
  <c r="AH6" i="59"/>
  <c r="AG6" i="59"/>
  <c r="AE6" i="59"/>
  <c r="AF6" i="59"/>
  <c r="AD6" i="59"/>
  <c r="Q6" i="59"/>
  <c r="P6" i="59"/>
  <c r="O6" i="59"/>
  <c r="N6" i="59"/>
  <c r="Q8" i="59"/>
  <c r="P8" i="59"/>
  <c r="O8" i="59"/>
  <c r="N8" i="59"/>
  <c r="AH7" i="59"/>
  <c r="AG7" i="59"/>
  <c r="AE7" i="59"/>
  <c r="AF7" i="59"/>
  <c r="AD7" i="59"/>
  <c r="Q7" i="59"/>
  <c r="P7" i="59"/>
  <c r="O7" i="59"/>
  <c r="N7" i="59"/>
  <c r="AH8" i="59"/>
  <c r="AG8" i="59"/>
  <c r="AE8" i="59"/>
  <c r="AF8" i="59"/>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E11" i="59"/>
  <c r="AF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c r="A10" i="55"/>
  <c r="B61" i="63"/>
  <c r="A9" i="55"/>
  <c r="B60" i="63"/>
  <c r="A8" i="55"/>
  <c r="A6" i="54"/>
  <c r="A8" i="54"/>
  <c r="A7" i="54"/>
  <c r="A27" i="51"/>
  <c r="B20" i="63"/>
  <c r="Q17" i="59"/>
  <c r="O17" i="59"/>
  <c r="N18" i="59"/>
  <c r="O18" i="59"/>
  <c r="P18" i="59"/>
  <c r="Q18" i="59"/>
  <c r="N17" i="59"/>
  <c r="P17" i="59"/>
  <c r="K75" i="9"/>
  <c r="K6" i="4"/>
  <c r="L76" i="9"/>
  <c r="B22" i="31"/>
  <c r="E15" i="66"/>
  <c r="F15" i="66"/>
  <c r="E16" i="66"/>
  <c r="F16" i="66"/>
  <c r="E17" i="66"/>
  <c r="F17" i="66"/>
  <c r="E18" i="66"/>
  <c r="F18" i="66"/>
  <c r="E19" i="66"/>
  <c r="F19" i="66"/>
  <c r="E20" i="66"/>
  <c r="F20" i="66"/>
  <c r="E21" i="66"/>
  <c r="F21" i="66"/>
  <c r="E22" i="66"/>
  <c r="F22" i="66"/>
  <c r="E23" i="66"/>
  <c r="F23" i="66"/>
  <c r="B3" i="66"/>
  <c r="E15" i="59"/>
  <c r="E14" i="59"/>
  <c r="E13" i="59"/>
  <c r="E12" i="59"/>
  <c r="E11" i="59"/>
  <c r="E10" i="59"/>
  <c r="E9" i="59"/>
  <c r="E8" i="59"/>
  <c r="F15" i="59"/>
  <c r="V15" i="59"/>
  <c r="U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G10" i="46"/>
  <c r="AH9" i="46"/>
  <c r="AH10" i="46"/>
  <c r="AI9" i="46"/>
  <c r="AJ9" i="46"/>
  <c r="AJ10" i="46"/>
  <c r="Z9" i="46"/>
  <c r="Z10" i="46"/>
  <c r="AI10" i="46"/>
  <c r="AE10" i="46"/>
  <c r="AC10" i="46"/>
  <c r="AA10" i="46"/>
  <c r="Y10" i="46"/>
  <c r="Z12" i="46"/>
  <c r="AI12" i="46"/>
  <c r="AG12" i="46"/>
  <c r="AE12" i="46"/>
  <c r="AC12" i="46"/>
  <c r="AA12" i="46"/>
  <c r="B73" i="63"/>
  <c r="A21" i="64"/>
  <c r="B75" i="63"/>
  <c r="A27" i="64"/>
  <c r="A15" i="64"/>
  <c r="A14" i="64"/>
  <c r="A11" i="64"/>
  <c r="A3" i="64"/>
  <c r="A45" i="9"/>
  <c r="A44" i="9"/>
  <c r="C57" i="10"/>
  <c r="A28" i="51"/>
  <c r="C56" i="10"/>
  <c r="C55" i="10"/>
  <c r="C54" i="10"/>
  <c r="A26" i="51"/>
  <c r="B19" i="63"/>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9" i="59"/>
  <c r="P19" i="59"/>
  <c r="E19" i="59"/>
  <c r="U19" i="59"/>
  <c r="O19" i="59"/>
  <c r="N19" i="59"/>
  <c r="B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E59" i="59"/>
  <c r="E58" i="59"/>
  <c r="P58" i="59"/>
  <c r="C59" i="59"/>
  <c r="B59" i="59"/>
  <c r="D56" i="59"/>
  <c r="Q55" i="59"/>
  <c r="P55" i="59"/>
  <c r="O55" i="59"/>
  <c r="N55" i="59"/>
  <c r="Q54" i="59"/>
  <c r="P54" i="59"/>
  <c r="O54" i="59"/>
  <c r="N54" i="59"/>
  <c r="Q53" i="59"/>
  <c r="P53" i="59"/>
  <c r="O53" i="59"/>
  <c r="N53" i="59"/>
  <c r="Q52" i="59"/>
  <c r="F53" i="59"/>
  <c r="P52" i="59"/>
  <c r="E53" i="59"/>
  <c r="E54" i="59"/>
  <c r="E55" i="59"/>
  <c r="U55" i="59"/>
  <c r="O52" i="59"/>
  <c r="C53" i="59"/>
  <c r="C54" i="59"/>
  <c r="D54"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C46" i="59"/>
  <c r="D46"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C42" i="59"/>
  <c r="D42" i="59"/>
  <c r="N40" i="59"/>
  <c r="B41" i="59"/>
  <c r="B42" i="59"/>
  <c r="B43" i="59"/>
  <c r="S43"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D33" i="59"/>
  <c r="N32" i="59"/>
  <c r="B33" i="59"/>
  <c r="B34" i="59"/>
  <c r="B35" i="59"/>
  <c r="S35" i="59"/>
  <c r="D32" i="59"/>
  <c r="Q31" i="59"/>
  <c r="P31" i="59"/>
  <c r="O31" i="59"/>
  <c r="N31" i="59"/>
  <c r="Q30" i="59"/>
  <c r="AB30" i="59"/>
  <c r="P30" i="59"/>
  <c r="O30" i="59"/>
  <c r="Y30" i="59"/>
  <c r="Z30" i="59"/>
  <c r="N30" i="59"/>
  <c r="X30" i="59"/>
  <c r="Q29" i="59"/>
  <c r="AB29" i="59"/>
  <c r="P29" i="59"/>
  <c r="AA29" i="59"/>
  <c r="O29" i="59"/>
  <c r="N29" i="59"/>
  <c r="X29" i="59"/>
  <c r="Q28" i="59"/>
  <c r="AB28" i="59"/>
  <c r="F29" i="59"/>
  <c r="F30" i="59"/>
  <c r="F31" i="59"/>
  <c r="P28" i="59"/>
  <c r="E29" i="59"/>
  <c r="E30" i="59"/>
  <c r="E31" i="59"/>
  <c r="U31" i="59"/>
  <c r="O28" i="59"/>
  <c r="N28" i="59"/>
  <c r="D28" i="59"/>
  <c r="Q27" i="59"/>
  <c r="AB27" i="59"/>
  <c r="P27" i="59"/>
  <c r="O27" i="59"/>
  <c r="N27" i="59"/>
  <c r="Q26" i="59"/>
  <c r="AB26" i="59"/>
  <c r="P26" i="59"/>
  <c r="O26" i="59"/>
  <c r="N26" i="59"/>
  <c r="Q25" i="59"/>
  <c r="AB25" i="59"/>
  <c r="P25" i="59"/>
  <c r="O25" i="59"/>
  <c r="N25" i="59"/>
  <c r="Q24" i="59"/>
  <c r="P24" i="59"/>
  <c r="O24" i="59"/>
  <c r="C25" i="59"/>
  <c r="N24" i="59"/>
  <c r="B25" i="59"/>
  <c r="B26" i="59"/>
  <c r="B27" i="59"/>
  <c r="S27" i="59"/>
  <c r="D24" i="59"/>
  <c r="Q23" i="59"/>
  <c r="P23" i="59"/>
  <c r="AA23" i="59"/>
  <c r="O23" i="59"/>
  <c r="N23" i="59"/>
  <c r="X23" i="59"/>
  <c r="Q22" i="59"/>
  <c r="P22" i="59"/>
  <c r="AA22" i="59"/>
  <c r="O22" i="59"/>
  <c r="N22" i="59"/>
  <c r="X22" i="59"/>
  <c r="Q21" i="59"/>
  <c r="P21" i="59"/>
  <c r="O21" i="59"/>
  <c r="N21" i="59"/>
  <c r="Q20" i="59"/>
  <c r="F21" i="59"/>
  <c r="P20" i="59"/>
  <c r="O20" i="59"/>
  <c r="N20" i="59"/>
  <c r="D20" i="59"/>
  <c r="AA17" i="59"/>
  <c r="E21" i="59"/>
  <c r="AA30" i="59"/>
  <c r="F22" i="59"/>
  <c r="F23" i="59"/>
  <c r="V23" i="59"/>
  <c r="V31" i="59"/>
  <c r="F38" i="59"/>
  <c r="F39" i="59"/>
  <c r="V39" i="59"/>
  <c r="F46" i="59"/>
  <c r="F47" i="59"/>
  <c r="V47" i="59"/>
  <c r="F50" i="59"/>
  <c r="F51" i="59"/>
  <c r="V51" i="59"/>
  <c r="F54" i="59"/>
  <c r="F55" i="59"/>
  <c r="V55" i="59"/>
  <c r="C34" i="59"/>
  <c r="D34" i="59"/>
  <c r="C38" i="59"/>
  <c r="D38" i="59"/>
  <c r="D37" i="59"/>
  <c r="D41" i="59"/>
  <c r="D45" i="59"/>
  <c r="E57" i="59"/>
  <c r="T59" i="59"/>
  <c r="O59" i="59"/>
  <c r="D59" i="59"/>
  <c r="C58" i="59"/>
  <c r="P59" i="59"/>
  <c r="U59" i="59"/>
  <c r="C62" i="59"/>
  <c r="C61" i="59"/>
  <c r="E62" i="59"/>
  <c r="E61" i="59"/>
  <c r="D63" i="59"/>
  <c r="C66" i="59"/>
  <c r="D66" i="59"/>
  <c r="E66" i="59"/>
  <c r="E65" i="59"/>
  <c r="C70" i="59"/>
  <c r="E70" i="59"/>
  <c r="E69" i="59"/>
  <c r="D71" i="59"/>
  <c r="C74" i="59"/>
  <c r="C78" i="59"/>
  <c r="U16" i="4"/>
  <c r="S16" i="4"/>
  <c r="Q16" i="4"/>
  <c r="O16" i="4"/>
  <c r="M16" i="4"/>
  <c r="K16" i="4"/>
  <c r="P56" i="59"/>
  <c r="P57" i="59"/>
  <c r="D78" i="59"/>
  <c r="C77" i="59"/>
  <c r="D77" i="59"/>
  <c r="D62" i="59"/>
  <c r="D61" i="59"/>
  <c r="O58" i="59"/>
  <c r="C65" i="59"/>
  <c r="D65" i="59"/>
  <c r="C55" i="59"/>
  <c r="C43" i="59"/>
  <c r="D43" i="59"/>
  <c r="T43" i="59"/>
  <c r="O27" i="6"/>
  <c r="N27" i="6"/>
  <c r="P26" i="6"/>
  <c r="L26" i="6"/>
  <c r="P25" i="6"/>
  <c r="L25" i="6"/>
  <c r="P24" i="6"/>
  <c r="L24" i="6"/>
  <c r="P23" i="6"/>
  <c r="L23" i="6"/>
  <c r="P22" i="6"/>
  <c r="L22" i="6"/>
  <c r="P21" i="6"/>
  <c r="L21" i="6"/>
  <c r="P20" i="6"/>
  <c r="P19" i="6"/>
  <c r="P27" i="6"/>
  <c r="Z18" i="36"/>
  <c r="Q18" i="36"/>
  <c r="C18" i="36"/>
  <c r="D66" i="36"/>
  <c r="F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Q27" i="40"/>
  <c r="Z27" i="40"/>
  <c r="D96" i="40"/>
  <c r="E96" i="40"/>
  <c r="F96" i="40"/>
  <c r="F27" i="40"/>
  <c r="AA27" i="40"/>
  <c r="Q31" i="39"/>
  <c r="Z31" i="39"/>
  <c r="D105" i="39"/>
  <c r="E105" i="39"/>
  <c r="F105" i="39"/>
  <c r="G105" i="39"/>
  <c r="F31" i="39"/>
  <c r="AA31" i="39"/>
  <c r="G20" i="20"/>
  <c r="B85" i="46"/>
  <c r="C22" i="20"/>
  <c r="B65" i="46"/>
  <c r="S18" i="35"/>
  <c r="S21" i="37"/>
  <c r="S21" i="34"/>
  <c r="S27" i="40"/>
  <c r="C27" i="40"/>
  <c r="C31" i="39"/>
  <c r="B54" i="46"/>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E26" i="57"/>
  <c r="I23" i="57"/>
  <c r="D20" i="57"/>
  <c r="I19" i="57"/>
  <c r="I18" i="57"/>
  <c r="I17" i="57"/>
  <c r="I20"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AP13" i="1"/>
  <c r="D11" i="1"/>
  <c r="D12" i="1"/>
  <c r="D13" i="1"/>
  <c r="D6" i="1"/>
  <c r="D7" i="1"/>
  <c r="D8" i="1"/>
  <c r="D9" i="1"/>
  <c r="D10"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AZ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AZ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AZ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AZ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AZ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AZ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AZ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AZ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AZ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Z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AZ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AZ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AZ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AZ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AZ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7" i="31"/>
  <c r="R28" i="31"/>
  <c r="S28" i="31"/>
  <c r="R29" i="31"/>
  <c r="S29" i="31"/>
  <c r="R30" i="31"/>
  <c r="S30" i="31"/>
  <c r="R31" i="31"/>
  <c r="R32" i="31"/>
  <c r="S32" i="31"/>
  <c r="R33" i="31"/>
  <c r="S33" i="31"/>
  <c r="R34" i="31"/>
  <c r="S34" i="31"/>
  <c r="R35" i="31"/>
  <c r="R36" i="31"/>
  <c r="S36" i="31"/>
  <c r="R37" i="31"/>
  <c r="S37" i="31"/>
  <c r="R38" i="31"/>
  <c r="S38" i="31"/>
  <c r="R39" i="31"/>
  <c r="R40" i="31"/>
  <c r="S40" i="31"/>
  <c r="R41" i="31"/>
  <c r="S41" i="31"/>
  <c r="R42" i="31"/>
  <c r="S42" i="31"/>
  <c r="R43" i="31"/>
  <c r="R44" i="31"/>
  <c r="S44" i="31"/>
  <c r="R45" i="31"/>
  <c r="S45" i="31"/>
  <c r="R46" i="31"/>
  <c r="S46" i="31"/>
  <c r="R47" i="31"/>
  <c r="R48" i="31"/>
  <c r="S48" i="31"/>
  <c r="R49" i="31"/>
  <c r="S49" i="31"/>
  <c r="R50" i="31"/>
  <c r="S50" i="31"/>
  <c r="R51" i="31"/>
  <c r="S51" i="31"/>
  <c r="R52" i="31"/>
  <c r="S52" i="31"/>
  <c r="R53" i="31"/>
  <c r="S53" i="31"/>
  <c r="R54" i="31"/>
  <c r="S54" i="31"/>
  <c r="R55" i="31"/>
  <c r="S55" i="31"/>
  <c r="R56" i="31"/>
  <c r="S56" i="31"/>
  <c r="R57" i="31"/>
  <c r="S57" i="31"/>
  <c r="R58" i="31"/>
  <c r="S58" i="31"/>
  <c r="R59" i="31"/>
  <c r="R60" i="31"/>
  <c r="S60" i="31"/>
  <c r="R61" i="31"/>
  <c r="S61" i="31"/>
  <c r="R62" i="31"/>
  <c r="S62" i="31"/>
  <c r="R63" i="31"/>
  <c r="R64" i="31"/>
  <c r="S64" i="31"/>
  <c r="R65" i="31"/>
  <c r="S65" i="31"/>
  <c r="R66" i="31"/>
  <c r="S66" i="31"/>
  <c r="R67" i="31"/>
  <c r="S67" i="31"/>
  <c r="R68" i="31"/>
  <c r="S68" i="31"/>
  <c r="R69" i="31"/>
  <c r="S69" i="31"/>
  <c r="R70" i="31"/>
  <c r="S70" i="31"/>
  <c r="R71" i="31"/>
  <c r="R72" i="31"/>
  <c r="S72" i="31"/>
  <c r="R73" i="31"/>
  <c r="S73" i="31"/>
  <c r="R74" i="31"/>
  <c r="S74" i="31"/>
  <c r="R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R92" i="31"/>
  <c r="S92" i="31"/>
  <c r="R93" i="31"/>
  <c r="S93" i="31"/>
  <c r="R94" i="31"/>
  <c r="S94" i="31"/>
  <c r="R95" i="31"/>
  <c r="R96" i="31"/>
  <c r="S96" i="31"/>
  <c r="R97" i="31"/>
  <c r="S97" i="31"/>
  <c r="R98" i="31"/>
  <c r="S98" i="31"/>
  <c r="R99" i="31"/>
  <c r="S99" i="31"/>
  <c r="R100" i="31"/>
  <c r="S100" i="31"/>
  <c r="R101" i="31"/>
  <c r="S101" i="31"/>
  <c r="R102" i="31"/>
  <c r="S102" i="31"/>
  <c r="R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R156" i="31"/>
  <c r="S156" i="31"/>
  <c r="R157" i="31"/>
  <c r="S157" i="31"/>
  <c r="R158" i="31"/>
  <c r="S158" i="31"/>
  <c r="R159" i="31"/>
  <c r="S159" i="31"/>
  <c r="R160" i="31"/>
  <c r="S160" i="31"/>
  <c r="R161" i="31"/>
  <c r="S161" i="31"/>
  <c r="R162" i="31"/>
  <c r="S162" i="31"/>
  <c r="R163" i="31"/>
  <c r="R164" i="31"/>
  <c r="S164" i="31"/>
  <c r="R165" i="31"/>
  <c r="S165" i="31"/>
  <c r="R166" i="31"/>
  <c r="S166" i="31"/>
  <c r="R167" i="31"/>
  <c r="R168" i="31"/>
  <c r="S168" i="31"/>
  <c r="R169" i="31"/>
  <c r="S169" i="31"/>
  <c r="R170" i="31"/>
  <c r="S170" i="31"/>
  <c r="R171" i="31"/>
  <c r="R172" i="31"/>
  <c r="S172" i="31"/>
  <c r="R173" i="31"/>
  <c r="S173" i="31"/>
  <c r="R174" i="31"/>
  <c r="S174" i="31"/>
  <c r="R175" i="31"/>
  <c r="R176" i="31"/>
  <c r="S176" i="31"/>
  <c r="R177" i="31"/>
  <c r="S177" i="31"/>
  <c r="R178" i="31"/>
  <c r="S178" i="31"/>
  <c r="R179" i="31"/>
  <c r="S179" i="31"/>
  <c r="R180" i="31"/>
  <c r="S180" i="31"/>
  <c r="R181" i="31"/>
  <c r="S181" i="31"/>
  <c r="R182" i="31"/>
  <c r="S182" i="31"/>
  <c r="R183" i="31"/>
  <c r="R184" i="31"/>
  <c r="S184" i="31"/>
  <c r="R185" i="31"/>
  <c r="S185" i="31"/>
  <c r="R186" i="31"/>
  <c r="S186" i="31"/>
  <c r="R187" i="31"/>
  <c r="R188" i="31"/>
  <c r="S188" i="31"/>
  <c r="R189" i="31"/>
  <c r="S189" i="31"/>
  <c r="R190" i="31"/>
  <c r="S190" i="31"/>
  <c r="R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R252" i="31"/>
  <c r="S252" i="31"/>
  <c r="R253" i="31"/>
  <c r="S253" i="31"/>
  <c r="R254" i="31"/>
  <c r="S254" i="31"/>
  <c r="R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R300" i="31"/>
  <c r="S300" i="31"/>
  <c r="R301" i="31"/>
  <c r="S301" i="31"/>
  <c r="R302" i="31"/>
  <c r="S302" i="31"/>
  <c r="R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R316" i="31"/>
  <c r="S316" i="31"/>
  <c r="R317" i="31"/>
  <c r="S317" i="31"/>
  <c r="R318" i="31"/>
  <c r="S318" i="31"/>
  <c r="R319" i="31"/>
  <c r="R320" i="31"/>
  <c r="S320" i="31"/>
  <c r="R321" i="31"/>
  <c r="S321" i="31"/>
  <c r="R322" i="31"/>
  <c r="S322" i="31"/>
  <c r="R323" i="31"/>
  <c r="R324" i="31"/>
  <c r="S324" i="31"/>
  <c r="R325" i="31"/>
  <c r="S325" i="31"/>
  <c r="R326" i="31"/>
  <c r="S326" i="31"/>
  <c r="R327" i="31"/>
  <c r="S327" i="31"/>
  <c r="R328" i="31"/>
  <c r="S328" i="31"/>
  <c r="R329" i="31"/>
  <c r="S329" i="31"/>
  <c r="R330" i="31"/>
  <c r="S330" i="31"/>
  <c r="R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R348" i="31"/>
  <c r="S348" i="31"/>
  <c r="R349" i="31"/>
  <c r="S349" i="31"/>
  <c r="R350" i="31"/>
  <c r="S350" i="31"/>
  <c r="R351" i="31"/>
  <c r="S351" i="31"/>
  <c r="R352" i="31"/>
  <c r="S352" i="31"/>
  <c r="R353" i="31"/>
  <c r="S353" i="31"/>
  <c r="R354" i="31"/>
  <c r="S354" i="31"/>
  <c r="R355" i="31"/>
  <c r="R356" i="31"/>
  <c r="S356" i="31"/>
  <c r="R357" i="31"/>
  <c r="S357" i="31"/>
  <c r="R358" i="31"/>
  <c r="S358" i="31"/>
  <c r="R359" i="31"/>
  <c r="S359" i="31"/>
  <c r="R360" i="31"/>
  <c r="S360" i="31"/>
  <c r="R361" i="31"/>
  <c r="S361" i="31"/>
  <c r="R362" i="31"/>
  <c r="S362" i="31"/>
  <c r="R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R412" i="31"/>
  <c r="S412" i="31"/>
  <c r="R413" i="31"/>
  <c r="S413" i="31"/>
  <c r="R414" i="31"/>
  <c r="S414" i="31"/>
  <c r="R415" i="31"/>
  <c r="S415" i="31"/>
  <c r="R416" i="31"/>
  <c r="S416" i="31"/>
  <c r="R417" i="31"/>
  <c r="S417" i="31"/>
  <c r="R418" i="31"/>
  <c r="S418" i="31"/>
  <c r="R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R432" i="31"/>
  <c r="S432" i="31"/>
  <c r="R433" i="31"/>
  <c r="S433" i="31"/>
  <c r="R434" i="31"/>
  <c r="S434" i="31"/>
  <c r="R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R504" i="31"/>
  <c r="S504" i="31"/>
  <c r="R505" i="31"/>
  <c r="S505" i="31"/>
  <c r="R506" i="31"/>
  <c r="S506" i="31"/>
  <c r="R507" i="31"/>
  <c r="S507" i="31"/>
  <c r="R508" i="31"/>
  <c r="S508" i="31"/>
  <c r="R509" i="31"/>
  <c r="S509" i="31"/>
  <c r="R510" i="31"/>
  <c r="S510" i="31"/>
  <c r="R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L5" i="54"/>
  <c r="B39" i="63"/>
  <c r="F23" i="4"/>
  <c r="D19" i="4"/>
  <c r="C12" i="39"/>
  <c r="I19" i="4"/>
  <c r="H19" i="4"/>
  <c r="G19" i="4"/>
  <c r="F11" i="1"/>
  <c r="AP11" i="1"/>
  <c r="F19" i="4"/>
  <c r="F10" i="1"/>
  <c r="E19" i="4"/>
  <c r="F9" i="1"/>
  <c r="G9" i="1"/>
  <c r="F7" i="1"/>
  <c r="G7" i="1"/>
  <c r="B2" i="52"/>
  <c r="E14" i="52"/>
  <c r="I2" i="46"/>
  <c r="N12" i="46"/>
  <c r="A7" i="46"/>
  <c r="F41" i="4"/>
  <c r="J52" i="40"/>
  <c r="H61" i="49"/>
  <c r="H39" i="46"/>
  <c r="H38" i="46"/>
  <c r="H37" i="46"/>
  <c r="H36" i="46"/>
  <c r="H35" i="46"/>
  <c r="H34" i="46"/>
  <c r="H33" i="46"/>
  <c r="J20" i="46"/>
  <c r="C18" i="46"/>
  <c r="F15" i="46"/>
  <c r="E15" i="46"/>
  <c r="D15" i="46"/>
  <c r="C15" i="46"/>
  <c r="C10" i="46"/>
  <c r="C11" i="46"/>
  <c r="E10" i="46"/>
  <c r="C9" i="46"/>
  <c r="E19" i="6"/>
  <c r="E32" i="6"/>
  <c r="E20" i="6"/>
  <c r="E21" i="6"/>
  <c r="K8" i="1"/>
  <c r="M8" i="1"/>
  <c r="O8" i="1"/>
  <c r="P8" i="1"/>
  <c r="E22" i="6"/>
  <c r="E23" i="6"/>
  <c r="E24" i="6"/>
  <c r="H9" i="12"/>
  <c r="E25" i="6"/>
  <c r="K12" i="1"/>
  <c r="M12" i="1"/>
  <c r="E26" i="6"/>
  <c r="D38" i="4"/>
  <c r="C39" i="4"/>
  <c r="C35" i="4"/>
  <c r="E16" i="12"/>
  <c r="F14" i="12"/>
  <c r="F15" i="12"/>
  <c r="F17" i="12"/>
  <c r="E19" i="12"/>
  <c r="E21" i="12"/>
  <c r="E22" i="12"/>
  <c r="F23" i="12"/>
  <c r="F24" i="12"/>
  <c r="C43" i="9"/>
  <c r="K47" i="9"/>
  <c r="A14" i="55"/>
  <c r="B65" i="63"/>
  <c r="I73" i="9"/>
  <c r="F73" i="9"/>
  <c r="P73" i="9"/>
  <c r="D107" i="9"/>
  <c r="C107" i="9"/>
  <c r="C105" i="9"/>
  <c r="C110" i="9"/>
  <c r="C17" i="9"/>
  <c r="C18"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9" i="31"/>
  <c r="S411" i="31"/>
  <c r="S395" i="31"/>
  <c r="S379" i="31"/>
  <c r="S363" i="31"/>
  <c r="S355" i="31"/>
  <c r="S347" i="31"/>
  <c r="S331" i="31"/>
  <c r="S323" i="31"/>
  <c r="S319" i="31"/>
  <c r="S315" i="31"/>
  <c r="S303" i="31"/>
  <c r="S299" i="31"/>
  <c r="S283" i="31"/>
  <c r="S271" i="31"/>
  <c r="S255" i="31"/>
  <c r="S251" i="31"/>
  <c r="S239" i="31"/>
  <c r="S235" i="31"/>
  <c r="S223" i="31"/>
  <c r="S203" i="31"/>
  <c r="S191" i="31"/>
  <c r="S187" i="31"/>
  <c r="S183" i="31"/>
  <c r="S175" i="31"/>
  <c r="S171" i="31"/>
  <c r="S167" i="31"/>
  <c r="S163" i="31"/>
  <c r="S155" i="31"/>
  <c r="S135" i="31"/>
  <c r="S123" i="31"/>
  <c r="S435" i="31"/>
  <c r="S431" i="31"/>
  <c r="S467" i="31"/>
  <c r="S47" i="31"/>
  <c r="S43" i="31"/>
  <c r="S39" i="31"/>
  <c r="S35" i="31"/>
  <c r="S75" i="31"/>
  <c r="S71" i="31"/>
  <c r="S63" i="31"/>
  <c r="S59" i="31"/>
  <c r="S95" i="31"/>
  <c r="S91" i="31"/>
  <c r="S31" i="31"/>
  <c r="S103" i="31"/>
  <c r="S511"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I9" i="12"/>
  <c r="I10"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83" i="39"/>
  <c r="E83" i="39"/>
  <c r="F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F98" i="40"/>
  <c r="G98" i="40"/>
  <c r="H98" i="40"/>
  <c r="I98" i="40"/>
  <c r="J98" i="40"/>
  <c r="K98" i="40"/>
  <c r="L98" i="40"/>
  <c r="M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H33" i="39"/>
  <c r="U33" i="39"/>
  <c r="D99" i="39"/>
  <c r="E99" i="39"/>
  <c r="F99" i="39"/>
  <c r="G99" i="39"/>
  <c r="D97" i="39"/>
  <c r="E97" i="39"/>
  <c r="D95" i="39"/>
  <c r="E95" i="39"/>
  <c r="F95" i="39"/>
  <c r="G95" i="39"/>
  <c r="D93" i="39"/>
  <c r="E93" i="39"/>
  <c r="F93" i="39"/>
  <c r="G93" i="39"/>
  <c r="D91" i="39"/>
  <c r="E91" i="39"/>
  <c r="F91" i="39"/>
  <c r="G91" i="39"/>
  <c r="B88"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U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J34" i="35"/>
  <c r="B77" i="35"/>
  <c r="B75" i="35"/>
  <c r="J24" i="35"/>
  <c r="B73" i="35"/>
  <c r="B57" i="35"/>
  <c r="H11" i="35"/>
  <c r="B61" i="35"/>
  <c r="B59" i="35"/>
  <c r="H12" i="35"/>
  <c r="B131" i="34"/>
  <c r="H47" i="34"/>
  <c r="B129" i="34"/>
  <c r="B127" i="34"/>
  <c r="H45" i="34"/>
  <c r="B99" i="34"/>
  <c r="B97" i="34"/>
  <c r="J31" i="34"/>
  <c r="B95" i="34"/>
  <c r="B93" i="34"/>
  <c r="J29" i="34"/>
  <c r="B75" i="34"/>
  <c r="B73" i="34"/>
  <c r="H13" i="34"/>
  <c r="B71" i="34"/>
  <c r="B130" i="33"/>
  <c r="J46" i="33"/>
  <c r="B128" i="33"/>
  <c r="H45" i="33"/>
  <c r="U45" i="33"/>
  <c r="B126" i="33"/>
  <c r="H44" i="33"/>
  <c r="B98" i="33"/>
  <c r="F31" i="33"/>
  <c r="AA31" i="33"/>
  <c r="B96" i="33"/>
  <c r="B94" i="33"/>
  <c r="B74" i="33"/>
  <c r="B72" i="33"/>
  <c r="B70" i="33"/>
  <c r="J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W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C7" i="33"/>
  <c r="C58" i="33"/>
  <c r="D58" i="33"/>
  <c r="E58" i="33"/>
  <c r="M102" i="21"/>
  <c r="D102" i="21"/>
  <c r="E102" i="21"/>
  <c r="F102" i="21"/>
  <c r="G102" i="21"/>
  <c r="H102" i="21"/>
  <c r="I102" i="21"/>
  <c r="J102" i="21"/>
  <c r="K102" i="21"/>
  <c r="L102" i="21"/>
  <c r="C102" i="21"/>
  <c r="C63" i="21"/>
  <c r="F9" i="21"/>
  <c r="AA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F77" i="21"/>
  <c r="G77" i="21"/>
  <c r="B130" i="21"/>
  <c r="H46" i="21"/>
  <c r="B128" i="21"/>
  <c r="B126" i="21"/>
  <c r="J44" i="21"/>
  <c r="B98" i="21"/>
  <c r="B96" i="21"/>
  <c r="B94" i="21"/>
  <c r="B92" i="21"/>
  <c r="H28" i="21"/>
  <c r="B90" i="21"/>
  <c r="B74" i="21"/>
  <c r="F1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c r="E13" i="11"/>
  <c r="E12" i="11"/>
  <c r="C9" i="12"/>
  <c r="BB12" i="3"/>
  <c r="F9" i="12"/>
  <c r="D9" i="12"/>
  <c r="E9" i="12"/>
  <c r="G9" i="12"/>
  <c r="K5" i="3"/>
  <c r="I4" i="6"/>
  <c r="J5" i="3"/>
  <c r="BE10" i="3"/>
  <c r="BD13" i="3"/>
  <c r="BE13" i="3"/>
  <c r="BE5" i="3"/>
  <c r="BF13" i="3"/>
  <c r="BG13" i="3"/>
  <c r="BH13" i="3"/>
  <c r="BI13" i="3"/>
  <c r="BJ13" i="3"/>
  <c r="BJ5" i="3"/>
  <c r="BK13" i="3"/>
  <c r="BM13" i="3"/>
  <c r="BN13" i="3"/>
  <c r="BO13" i="3"/>
  <c r="BO5" i="3"/>
  <c r="BP13" i="3"/>
  <c r="BS13" i="3"/>
  <c r="BS5" i="3"/>
  <c r="F28" i="6"/>
  <c r="BT13" i="3"/>
  <c r="BT5" i="3"/>
  <c r="BB570" i="3"/>
  <c r="BC570" i="3"/>
  <c r="BA570" i="3"/>
  <c r="AZ570" i="3"/>
  <c r="BD570" i="3"/>
  <c r="BD5" i="3"/>
  <c r="BE570" i="3"/>
  <c r="BF570" i="3"/>
  <c r="BF5" i="3"/>
  <c r="BG570" i="3"/>
  <c r="BH570" i="3"/>
  <c r="BI570" i="3"/>
  <c r="BJ570" i="3"/>
  <c r="BK570" i="3"/>
  <c r="BM570" i="3"/>
  <c r="BL570" i="3"/>
  <c r="BN570" i="3"/>
  <c r="BO570" i="3"/>
  <c r="BP570" i="3"/>
  <c r="BQ570" i="3"/>
  <c r="BR570" i="3"/>
  <c r="BS570" i="3"/>
  <c r="BT570" i="3"/>
  <c r="BB571" i="3"/>
  <c r="BA571" i="3"/>
  <c r="AZ571" i="3"/>
  <c r="BC571" i="3"/>
  <c r="BD571" i="3"/>
  <c r="BE571" i="3"/>
  <c r="BF571" i="3"/>
  <c r="BG571" i="3"/>
  <c r="BH571" i="3"/>
  <c r="BI571" i="3"/>
  <c r="BJ571" i="3"/>
  <c r="BK571" i="3"/>
  <c r="BM571" i="3"/>
  <c r="BN571" i="3"/>
  <c r="BO571" i="3"/>
  <c r="BP571" i="3"/>
  <c r="BQ571" i="3"/>
  <c r="BR571" i="3"/>
  <c r="BS571" i="3"/>
  <c r="BT571" i="3"/>
  <c r="BB572" i="3"/>
  <c r="BA572" i="3"/>
  <c r="AZ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U8" i="21"/>
  <c r="H10" i="21"/>
  <c r="U10" i="21"/>
  <c r="H39" i="21"/>
  <c r="AB39" i="21"/>
  <c r="J34" i="21"/>
  <c r="W34" i="21"/>
  <c r="H36" i="21"/>
  <c r="AB36" i="21"/>
  <c r="U36" i="21"/>
  <c r="F35" i="21"/>
  <c r="AA35" i="21"/>
  <c r="J10" i="21"/>
  <c r="AC10" i="21"/>
  <c r="H26" i="21"/>
  <c r="U26" i="21"/>
  <c r="J12" i="21"/>
  <c r="AC12" i="21"/>
  <c r="J26" i="21"/>
  <c r="W26" i="21"/>
  <c r="F26" i="21"/>
  <c r="AA26" i="21"/>
  <c r="AB41" i="21"/>
  <c r="S41" i="21"/>
  <c r="AA41" i="21"/>
  <c r="W41" i="21"/>
  <c r="S10" i="39"/>
  <c r="U30" i="37"/>
  <c r="E103" i="37"/>
  <c r="F103" i="37"/>
  <c r="G103" i="37"/>
  <c r="H103" i="37"/>
  <c r="I103" i="37"/>
  <c r="J103" i="37"/>
  <c r="K103" i="37"/>
  <c r="L103" i="37"/>
  <c r="M103" i="37"/>
  <c r="F29" i="36"/>
  <c r="AA29" i="36"/>
  <c r="F16" i="36"/>
  <c r="AA16" i="36"/>
  <c r="U22" i="36"/>
  <c r="W23" i="36"/>
  <c r="W22" i="36"/>
  <c r="U26" i="36"/>
  <c r="AC31" i="36"/>
  <c r="J33" i="36"/>
  <c r="W33" i="36"/>
  <c r="U31" i="35"/>
  <c r="S31" i="35"/>
  <c r="W31" i="35"/>
  <c r="F36" i="34"/>
  <c r="S36" i="34"/>
  <c r="W9" i="34"/>
  <c r="S34" i="34"/>
  <c r="H39" i="33"/>
  <c r="AB39" i="33"/>
  <c r="F26" i="33"/>
  <c r="AA26" i="33"/>
  <c r="U33" i="33"/>
  <c r="W38" i="33"/>
  <c r="S40" i="33"/>
  <c r="S33" i="33"/>
  <c r="W33" i="33"/>
  <c r="U38" i="33"/>
  <c r="H39" i="37"/>
  <c r="AB39" i="37"/>
  <c r="AB27" i="35"/>
  <c r="S10" i="40"/>
  <c r="W10" i="40"/>
  <c r="S11" i="40"/>
  <c r="U11" i="40"/>
  <c r="S36" i="40"/>
  <c r="U36" i="40"/>
  <c r="S40" i="39"/>
  <c r="S36" i="39"/>
  <c r="AC40" i="21"/>
  <c r="AC35" i="21"/>
  <c r="C29" i="39"/>
  <c r="C23" i="39"/>
  <c r="U36" i="39"/>
  <c r="S42" i="39"/>
  <c r="H32" i="33"/>
  <c r="AB32" i="33"/>
  <c r="J11" i="21"/>
  <c r="W11" i="21"/>
  <c r="F100" i="40"/>
  <c r="F86" i="40"/>
  <c r="G86" i="40"/>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F35" i="37"/>
  <c r="AA35" i="37"/>
  <c r="E101" i="37"/>
  <c r="F101" i="37"/>
  <c r="G101" i="37"/>
  <c r="H101" i="37"/>
  <c r="I101" i="37"/>
  <c r="J101" i="37"/>
  <c r="K101" i="37"/>
  <c r="L101" i="37"/>
  <c r="M101" i="37"/>
  <c r="J34" i="37"/>
  <c r="W34"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W40" i="33"/>
  <c r="AB30" i="36"/>
  <c r="S22" i="35"/>
  <c r="H29" i="35"/>
  <c r="U34" i="37"/>
  <c r="S34" i="37"/>
  <c r="AA34" i="37"/>
  <c r="AC43" i="34"/>
  <c r="AB42" i="34"/>
  <c r="W36" i="34"/>
  <c r="J19" i="34"/>
  <c r="AC19" i="34"/>
  <c r="H37" i="33"/>
  <c r="AB37" i="33"/>
  <c r="S37" i="33"/>
  <c r="W43" i="34"/>
  <c r="AC42" i="34"/>
  <c r="W42" i="34"/>
  <c r="AA42" i="34"/>
  <c r="S42" i="34"/>
  <c r="AC38" i="34"/>
  <c r="W38" i="34"/>
  <c r="AA38" i="34"/>
  <c r="S38" i="34"/>
  <c r="J37" i="33"/>
  <c r="W37" i="33"/>
  <c r="J44" i="34"/>
  <c r="AC44" i="34"/>
  <c r="F44" i="34"/>
  <c r="S44" i="34"/>
  <c r="J10" i="35"/>
  <c r="W10" i="35"/>
  <c r="AL5" i="3"/>
  <c r="BQ13" i="3"/>
  <c r="BL572" i="3"/>
  <c r="J14" i="21"/>
  <c r="W14" i="21"/>
  <c r="J28" i="21"/>
  <c r="AC28" i="21"/>
  <c r="H30" i="21"/>
  <c r="U30" i="21"/>
  <c r="F30" i="21"/>
  <c r="S30" i="21"/>
  <c r="J30" i="21"/>
  <c r="AC30" i="21"/>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W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AB30" i="33"/>
  <c r="F30" i="33"/>
  <c r="S30" i="33"/>
  <c r="J30" i="33"/>
  <c r="W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AB13" i="35"/>
  <c r="AB40" i="37"/>
  <c r="J36" i="37"/>
  <c r="AC36" i="37"/>
  <c r="AB28" i="36"/>
  <c r="AB31" i="21"/>
  <c r="AB13" i="21"/>
  <c r="W30" i="21"/>
  <c r="AC14" i="21"/>
  <c r="U36" i="37"/>
  <c r="AC13" i="36"/>
  <c r="AB31" i="33"/>
  <c r="AA27" i="33"/>
  <c r="AB27"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AZ565" i="3"/>
  <c r="BA561" i="3"/>
  <c r="AZ561" i="3"/>
  <c r="BA559" i="3"/>
  <c r="BA557" i="3"/>
  <c r="AZ557" i="3"/>
  <c r="BA555" i="3"/>
  <c r="AZ555" i="3"/>
  <c r="BA551" i="3"/>
  <c r="AZ551" i="3"/>
  <c r="BA545" i="3"/>
  <c r="AZ545" i="3"/>
  <c r="BA543" i="3"/>
  <c r="BA541" i="3"/>
  <c r="AZ541" i="3"/>
  <c r="BA531" i="3"/>
  <c r="BA521" i="3"/>
  <c r="BA509" i="3"/>
  <c r="AZ509" i="3"/>
  <c r="BA505" i="3"/>
  <c r="BA501" i="3"/>
  <c r="BA493" i="3"/>
  <c r="AZ493" i="3"/>
  <c r="BA487" i="3"/>
  <c r="BA19" i="3"/>
  <c r="BA566" i="3"/>
  <c r="AZ566" i="3"/>
  <c r="BA562" i="3"/>
  <c r="BA560" i="3"/>
  <c r="BA558" i="3"/>
  <c r="BA556" i="3"/>
  <c r="AZ556" i="3"/>
  <c r="BA554" i="3"/>
  <c r="BA550" i="3"/>
  <c r="AZ550" i="3"/>
  <c r="BA546" i="3"/>
  <c r="BA544" i="3"/>
  <c r="BA540" i="3"/>
  <c r="AZ540" i="3"/>
  <c r="BA536" i="3"/>
  <c r="BA532" i="3"/>
  <c r="BA528" i="3"/>
  <c r="BA524" i="3"/>
  <c r="BA520" i="3"/>
  <c r="BA516" i="3"/>
  <c r="BA512" i="3"/>
  <c r="AZ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AZ534" i="3"/>
  <c r="BQ532" i="3"/>
  <c r="BL532" i="3"/>
  <c r="BQ530" i="3"/>
  <c r="BL530" i="3"/>
  <c r="BQ528" i="3"/>
  <c r="BQ526" i="3"/>
  <c r="BL526" i="3"/>
  <c r="AZ526" i="3"/>
  <c r="BQ524" i="3"/>
  <c r="BL524" i="3"/>
  <c r="AZ524" i="3"/>
  <c r="BQ522" i="3"/>
  <c r="BQ520" i="3"/>
  <c r="BL520" i="3"/>
  <c r="AZ520" i="3"/>
  <c r="BQ518" i="3"/>
  <c r="BQ516" i="3"/>
  <c r="BL516" i="3"/>
  <c r="AZ516" i="3"/>
  <c r="BQ514" i="3"/>
  <c r="BL514" i="3"/>
  <c r="AZ514" i="3"/>
  <c r="BQ512" i="3"/>
  <c r="BQ510" i="3"/>
  <c r="BL510" i="3"/>
  <c r="BQ508" i="3"/>
  <c r="BL508" i="3"/>
  <c r="AC506" i="3"/>
  <c r="G506" i="3"/>
  <c r="BQ506" i="3"/>
  <c r="G502" i="3"/>
  <c r="G498" i="3"/>
  <c r="BQ504" i="3"/>
  <c r="BQ502" i="3"/>
  <c r="BL502" i="3"/>
  <c r="BQ500" i="3"/>
  <c r="BL500" i="3"/>
  <c r="BQ498" i="3"/>
  <c r="BQ496" i="3"/>
  <c r="BL496" i="3"/>
  <c r="AC494" i="3"/>
  <c r="BQ494" i="3"/>
  <c r="BL493" i="3"/>
  <c r="G492" i="3"/>
  <c r="G488" i="3"/>
  <c r="G484" i="3"/>
  <c r="G20" i="3"/>
  <c r="BQ492" i="3"/>
  <c r="BL492" i="3"/>
  <c r="AZ492" i="3"/>
  <c r="BQ490" i="3"/>
  <c r="BQ488" i="3"/>
  <c r="BL488" i="3"/>
  <c r="AZ488" i="3"/>
  <c r="BQ486" i="3"/>
  <c r="BQ484" i="3"/>
  <c r="BL484" i="3"/>
  <c r="BQ482" i="3"/>
  <c r="BL482" i="3"/>
  <c r="BQ20" i="3"/>
  <c r="BL20" i="3"/>
  <c r="AZ20" i="3"/>
  <c r="BQ18" i="3"/>
  <c r="AZ501" i="3"/>
  <c r="S503" i="31"/>
  <c r="O27" i="31"/>
  <c r="O28" i="31"/>
  <c r="O26" i="31"/>
  <c r="M27" i="31"/>
  <c r="M28" i="31"/>
  <c r="M26" i="31"/>
  <c r="I26" i="31"/>
  <c r="I25" i="31"/>
  <c r="Q26" i="31"/>
  <c r="K26" i="31"/>
  <c r="I27" i="31"/>
  <c r="Q27" i="31"/>
  <c r="K27" i="31"/>
  <c r="I28" i="31"/>
  <c r="Q28" i="31"/>
  <c r="K28" i="31"/>
  <c r="AC28" i="34"/>
  <c r="H25" i="21"/>
  <c r="U25" i="21"/>
  <c r="F25" i="21"/>
  <c r="S25" i="21"/>
  <c r="J25" i="21"/>
  <c r="AC25" i="21"/>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W23" i="37"/>
  <c r="F17" i="37"/>
  <c r="AA17" i="37"/>
  <c r="AB43" i="33"/>
  <c r="D3" i="21"/>
  <c r="AC33" i="36"/>
  <c r="W23" i="35"/>
  <c r="S27" i="37"/>
  <c r="AC8" i="37"/>
  <c r="AC36" i="34"/>
  <c r="AB8" i="34"/>
  <c r="AC37" i="33"/>
  <c r="AA13" i="33"/>
  <c r="AC45" i="33"/>
  <c r="F43" i="33"/>
  <c r="AA43" i="33"/>
  <c r="AA23" i="37"/>
  <c r="S10" i="35"/>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6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G298" i="3"/>
  <c r="BA300" i="3"/>
  <c r="BL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21" i="3"/>
  <c r="AZ225" i="3"/>
  <c r="AZ229" i="3"/>
  <c r="AZ237" i="3"/>
  <c r="AZ241" i="3"/>
  <c r="AZ245" i="3"/>
  <c r="AZ309" i="3"/>
  <c r="AZ317" i="3"/>
  <c r="AZ321" i="3"/>
  <c r="AZ325" i="3"/>
  <c r="AZ333" i="3"/>
  <c r="AZ337"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53" i="3"/>
  <c r="AZ257" i="3"/>
  <c r="AZ261" i="3"/>
  <c r="AZ375" i="3"/>
  <c r="AZ383" i="3"/>
  <c r="AZ270" i="3"/>
  <c r="AZ278" i="3"/>
  <c r="AZ282" i="3"/>
  <c r="AZ286" i="3"/>
  <c r="AZ295" i="3"/>
  <c r="AZ311" i="3"/>
  <c r="AZ313" i="3"/>
  <c r="AZ315" i="3"/>
  <c r="AZ331" i="3"/>
  <c r="AZ335" i="3"/>
  <c r="AZ339" i="3"/>
  <c r="AZ351" i="3"/>
  <c r="AZ369" i="3"/>
  <c r="AZ390" i="3"/>
  <c r="AZ394" i="3"/>
  <c r="AZ398" i="3"/>
  <c r="AZ410" i="3"/>
  <c r="AZ414" i="3"/>
  <c r="AZ418" i="3"/>
  <c r="AZ422" i="3"/>
  <c r="AZ426" i="3"/>
  <c r="AZ430" i="3"/>
  <c r="AZ438" i="3"/>
  <c r="AZ442" i="3"/>
  <c r="AZ446" i="3"/>
  <c r="AZ455" i="3"/>
  <c r="AZ463" i="3"/>
  <c r="AZ467" i="3"/>
  <c r="AZ471" i="3"/>
  <c r="AZ479" i="3"/>
  <c r="H7" i="48"/>
  <c r="F33" i="46"/>
  <c r="H16" i="48"/>
  <c r="H9" i="48"/>
  <c r="H8" i="48"/>
  <c r="C12" i="46"/>
  <c r="AB15" i="37"/>
  <c r="AA43" i="21"/>
  <c r="U43" i="21"/>
  <c r="AA13" i="40"/>
  <c r="E78" i="40"/>
  <c r="F78" i="40"/>
  <c r="G78" i="40"/>
  <c r="H78" i="40"/>
  <c r="I78" i="40"/>
  <c r="J78" i="40"/>
  <c r="K78" i="40"/>
  <c r="L78" i="40"/>
  <c r="M78" i="40"/>
  <c r="R16" i="4"/>
  <c r="D3" i="35"/>
  <c r="G4" i="4"/>
  <c r="S37" i="34"/>
  <c r="J16" i="35"/>
  <c r="W16" i="35"/>
  <c r="AC26" i="36"/>
  <c r="W25" i="35"/>
  <c r="AZ354" i="3"/>
  <c r="AA36" i="35"/>
  <c r="H11" i="37"/>
  <c r="AB11" i="37"/>
  <c r="W37" i="37"/>
  <c r="AA30" i="33"/>
  <c r="AA36" i="37"/>
  <c r="S42" i="33"/>
  <c r="U32" i="33"/>
  <c r="AB17" i="37"/>
  <c r="AZ508" i="3"/>
  <c r="AC29" i="33"/>
  <c r="AA45" i="33"/>
  <c r="AC11" i="36"/>
  <c r="AC10" i="36"/>
  <c r="AB35" i="35"/>
  <c r="S25" i="35"/>
  <c r="AC30" i="33"/>
  <c r="AC29" i="37"/>
  <c r="AC32" i="36"/>
  <c r="J33" i="34"/>
  <c r="AC33" i="34"/>
  <c r="J40" i="34"/>
  <c r="W40" i="34"/>
  <c r="F16" i="35"/>
  <c r="AA16" i="35"/>
  <c r="S24" i="36"/>
  <c r="J35" i="34"/>
  <c r="W35" i="34"/>
  <c r="F107" i="34"/>
  <c r="G107" i="34"/>
  <c r="H107" i="34"/>
  <c r="I107" i="34"/>
  <c r="J107" i="34"/>
  <c r="K107" i="34"/>
  <c r="L107" i="34"/>
  <c r="M107" i="34"/>
  <c r="S30" i="36"/>
  <c r="H16" i="36"/>
  <c r="AB16" i="36"/>
  <c r="H35" i="37"/>
  <c r="AB35" i="37"/>
  <c r="S26" i="21"/>
  <c r="H32" i="21"/>
  <c r="U32" i="21"/>
  <c r="AB26" i="21"/>
  <c r="J32" i="21"/>
  <c r="AC32" i="21"/>
  <c r="F17" i="21"/>
  <c r="S17" i="21"/>
  <c r="J17" i="21"/>
  <c r="W17" i="21"/>
  <c r="F40" i="21"/>
  <c r="S40" i="21"/>
  <c r="H40" i="21"/>
  <c r="AB40" i="21"/>
  <c r="E119" i="21"/>
  <c r="F119" i="21"/>
  <c r="G119" i="21"/>
  <c r="H119" i="21"/>
  <c r="I119" i="21"/>
  <c r="J119" i="21"/>
  <c r="K119" i="21"/>
  <c r="L119" i="21"/>
  <c r="M119" i="21"/>
  <c r="S8" i="33"/>
  <c r="AC8" i="33"/>
  <c r="H66" i="33"/>
  <c r="F10" i="33"/>
  <c r="AA10" i="33"/>
  <c r="F11" i="33"/>
  <c r="S11" i="33"/>
  <c r="J15" i="33"/>
  <c r="W15" i="33"/>
  <c r="H19" i="33"/>
  <c r="AB19" i="33"/>
  <c r="F32" i="33"/>
  <c r="AA32" i="33"/>
  <c r="J32" i="33"/>
  <c r="AC32" i="33"/>
  <c r="F35" i="33"/>
  <c r="AA35" i="33"/>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c r="F96" i="37"/>
  <c r="H32" i="37"/>
  <c r="AB32" i="37"/>
  <c r="H19" i="39"/>
  <c r="AB19" i="39"/>
  <c r="F43" i="39"/>
  <c r="AA43" i="39"/>
  <c r="F99" i="37"/>
  <c r="AC27" i="37"/>
  <c r="U25" i="35"/>
  <c r="AC40" i="37"/>
  <c r="W40" i="37"/>
  <c r="W27" i="33"/>
  <c r="AC45" i="21"/>
  <c r="S28" i="33"/>
  <c r="AA44" i="34"/>
  <c r="AB29" i="35"/>
  <c r="U29" i="35"/>
  <c r="AC19" i="33"/>
  <c r="W19" i="33"/>
  <c r="U43" i="34"/>
  <c r="AB43" i="34"/>
  <c r="S35" i="37"/>
  <c r="AB10" i="35"/>
  <c r="AA32" i="21"/>
  <c r="S32" i="21"/>
  <c r="U38" i="21"/>
  <c r="BL571" i="3"/>
  <c r="F42" i="21"/>
  <c r="AA42" i="21"/>
  <c r="AB40" i="33"/>
  <c r="U40" i="33"/>
  <c r="AA35" i="34"/>
  <c r="S35" i="34"/>
  <c r="E90" i="34"/>
  <c r="H27" i="34"/>
  <c r="AB27" i="34"/>
  <c r="AB8" i="35"/>
  <c r="U8" i="35"/>
  <c r="S9" i="35"/>
  <c r="J14" i="35"/>
  <c r="AC14" i="35"/>
  <c r="F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AB34" i="36"/>
  <c r="H33" i="36"/>
  <c r="U33" i="36"/>
  <c r="F33" i="36"/>
  <c r="AA33" i="36"/>
  <c r="H27" i="36"/>
  <c r="AB27" i="36"/>
  <c r="AC25" i="37"/>
  <c r="W26" i="37"/>
  <c r="AB29" i="37"/>
  <c r="AA30" i="37"/>
  <c r="S30" i="37"/>
  <c r="AC30" i="37"/>
  <c r="AC31" i="37"/>
  <c r="W31" i="37"/>
  <c r="F17" i="39"/>
  <c r="AA17" i="39"/>
  <c r="H17" i="39"/>
  <c r="U17" i="39"/>
  <c r="J17" i="39"/>
  <c r="W17" i="39"/>
  <c r="F21" i="39"/>
  <c r="S21" i="39"/>
  <c r="H21" i="39"/>
  <c r="AB21" i="39"/>
  <c r="J21" i="39"/>
  <c r="W21" i="39"/>
  <c r="F33" i="39"/>
  <c r="AA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AZ563" i="3"/>
  <c r="BL554" i="3"/>
  <c r="AZ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BA533" i="3"/>
  <c r="AZ533" i="3"/>
  <c r="BL531" i="3"/>
  <c r="AZ531" i="3"/>
  <c r="BA530" i="3"/>
  <c r="AZ530"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AZ515" i="3"/>
  <c r="BA514" i="3"/>
  <c r="BL513" i="3"/>
  <c r="BA513" i="3"/>
  <c r="AZ513" i="3"/>
  <c r="BL512" i="3"/>
  <c r="BA511" i="3"/>
  <c r="AZ511" i="3"/>
  <c r="BA510" i="3"/>
  <c r="AZ510" i="3"/>
  <c r="BL509" i="3"/>
  <c r="BL507" i="3"/>
  <c r="BA507" i="3"/>
  <c r="AZ507" i="3"/>
  <c r="BL506" i="3"/>
  <c r="BA506" i="3"/>
  <c r="AZ506" i="3"/>
  <c r="BL505" i="3"/>
  <c r="AZ505" i="3"/>
  <c r="BL504" i="3"/>
  <c r="BA504" i="3"/>
  <c r="BA503" i="3"/>
  <c r="AZ503" i="3"/>
  <c r="BA500" i="3"/>
  <c r="AZ500" i="3"/>
  <c r="BL499" i="3"/>
  <c r="BA499" i="3"/>
  <c r="AZ499" i="3"/>
  <c r="BL498" i="3"/>
  <c r="AZ498" i="3"/>
  <c r="BL497" i="3"/>
  <c r="BA497" i="3"/>
  <c r="AZ497"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S35" i="21"/>
  <c r="S34" i="21"/>
  <c r="AB8" i="33"/>
  <c r="U8" i="33"/>
  <c r="H34" i="33"/>
  <c r="U34" i="33"/>
  <c r="F34" i="33"/>
  <c r="S34" i="33"/>
  <c r="E121" i="33"/>
  <c r="F121" i="33"/>
  <c r="G121" i="33"/>
  <c r="H121" i="33"/>
  <c r="I121" i="33"/>
  <c r="J121" i="33"/>
  <c r="K121" i="33"/>
  <c r="L121" i="33"/>
  <c r="M121" i="33"/>
  <c r="F41" i="33"/>
  <c r="S41" i="33"/>
  <c r="AC34" i="34"/>
  <c r="W34" i="34"/>
  <c r="S39" i="34"/>
  <c r="E78" i="34"/>
  <c r="F15" i="34"/>
  <c r="AC28" i="35"/>
  <c r="J20" i="35"/>
  <c r="AC20" i="35"/>
  <c r="E72" i="35"/>
  <c r="F72" i="35"/>
  <c r="G72" i="35"/>
  <c r="H22" i="35"/>
  <c r="AB22" i="35"/>
  <c r="H23" i="35"/>
  <c r="F23" i="35"/>
  <c r="AA23" i="35"/>
  <c r="AB36" i="35"/>
  <c r="W12" i="36"/>
  <c r="AC12" i="36"/>
  <c r="U31" i="36"/>
  <c r="AA8" i="37"/>
  <c r="H14" i="39"/>
  <c r="AB14" i="39"/>
  <c r="F16" i="39"/>
  <c r="AA16" i="39"/>
  <c r="H16" i="39"/>
  <c r="U16" i="39"/>
  <c r="J16" i="39"/>
  <c r="AC16" i="39"/>
  <c r="F27" i="39"/>
  <c r="AA27" i="39"/>
  <c r="J27" i="39"/>
  <c r="AC27" i="39"/>
  <c r="F15" i="40"/>
  <c r="AA15" i="40"/>
  <c r="J15" i="40"/>
  <c r="H15" i="40"/>
  <c r="AB15" i="40"/>
  <c r="E92" i="40"/>
  <c r="F92" i="40"/>
  <c r="G92" i="40"/>
  <c r="H23" i="40"/>
  <c r="U23" i="40"/>
  <c r="H41" i="40"/>
  <c r="AB41" i="40"/>
  <c r="F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391" i="3"/>
  <c r="AZ399" i="3"/>
  <c r="AZ407" i="3"/>
  <c r="AZ423" i="3"/>
  <c r="AZ439" i="3"/>
  <c r="B41" i="1"/>
  <c r="J42" i="40"/>
  <c r="AC42" i="40"/>
  <c r="J40" i="40"/>
  <c r="AC40" i="40"/>
  <c r="J34" i="40"/>
  <c r="AC34" i="40"/>
  <c r="H16" i="40"/>
  <c r="AB16" i="40"/>
  <c r="H14" i="40"/>
  <c r="U14" i="40"/>
  <c r="F32" i="40"/>
  <c r="AA32" i="40"/>
  <c r="AZ428" i="3"/>
  <c r="AZ436" i="3"/>
  <c r="AZ444" i="3"/>
  <c r="AZ449" i="3"/>
  <c r="AZ452" i="3"/>
  <c r="M1" i="46"/>
  <c r="M6" i="46"/>
  <c r="M10" i="46"/>
  <c r="N2" i="46"/>
  <c r="N5" i="46"/>
  <c r="F58" i="46"/>
  <c r="H61" i="46"/>
  <c r="N7" i="46"/>
  <c r="AZ458" i="3"/>
  <c r="AZ466" i="3"/>
  <c r="AZ469" i="3"/>
  <c r="AZ474" i="3"/>
  <c r="AZ388" i="3"/>
  <c r="AZ207" i="3"/>
  <c r="AZ212" i="3"/>
  <c r="AZ220" i="3"/>
  <c r="AZ223" i="3"/>
  <c r="AZ228" i="3"/>
  <c r="AZ236" i="3"/>
  <c r="AZ239" i="3"/>
  <c r="AZ244" i="3"/>
  <c r="AZ252" i="3"/>
  <c r="AZ255" i="3"/>
  <c r="AZ260" i="3"/>
  <c r="AZ268" i="3"/>
  <c r="AZ273" i="3"/>
  <c r="AZ276" i="3"/>
  <c r="AZ284" i="3"/>
  <c r="AZ289" i="3"/>
  <c r="AZ292"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C47" i="39"/>
  <c r="U37" i="34"/>
  <c r="AB37" i="34"/>
  <c r="AC41" i="40"/>
  <c r="U41" i="40"/>
  <c r="J23" i="40"/>
  <c r="AC23" i="40"/>
  <c r="F23" i="40"/>
  <c r="S23" i="40"/>
  <c r="AC15" i="40"/>
  <c r="W15" i="40"/>
  <c r="AB16" i="39"/>
  <c r="U23" i="35"/>
  <c r="AB23" i="35"/>
  <c r="H20" i="35"/>
  <c r="F20" i="35"/>
  <c r="S20" i="35"/>
  <c r="H15" i="34"/>
  <c r="AB15" i="34"/>
  <c r="F78" i="34"/>
  <c r="G78" i="34"/>
  <c r="J15" i="34"/>
  <c r="W15" i="34"/>
  <c r="H41" i="33"/>
  <c r="U41" i="33"/>
  <c r="F30" i="40"/>
  <c r="AA30" i="40"/>
  <c r="H100" i="40"/>
  <c r="I100" i="40"/>
  <c r="J100" i="40"/>
  <c r="K100" i="40"/>
  <c r="L100" i="40"/>
  <c r="M100" i="40"/>
  <c r="AB38" i="34"/>
  <c r="AZ486" i="3"/>
  <c r="AZ504" i="3"/>
  <c r="AZ529" i="3"/>
  <c r="AZ537" i="3"/>
  <c r="AZ548" i="3"/>
  <c r="AB37" i="39"/>
  <c r="U39" i="39"/>
  <c r="J29" i="39"/>
  <c r="AC29" i="39"/>
  <c r="AB33" i="36"/>
  <c r="AA14" i="35"/>
  <c r="S14" i="35"/>
  <c r="G99" i="37"/>
  <c r="F33" i="37"/>
  <c r="U46" i="34"/>
  <c r="AC30" i="34"/>
  <c r="AA14" i="34"/>
  <c r="W12" i="34"/>
  <c r="U29" i="33"/>
  <c r="AC13" i="33"/>
  <c r="U17" i="34"/>
  <c r="W32" i="33"/>
  <c r="H15" i="33"/>
  <c r="U15" i="33"/>
  <c r="AA11" i="33"/>
  <c r="AA40" i="21"/>
  <c r="U16" i="40"/>
  <c r="W34" i="40"/>
  <c r="AB34" i="40"/>
  <c r="AB42" i="40"/>
  <c r="AC16" i="40"/>
  <c r="H25" i="40"/>
  <c r="AB25" i="40"/>
  <c r="F94" i="40"/>
  <c r="G94" i="40"/>
  <c r="U47" i="39"/>
  <c r="J37" i="34"/>
  <c r="AC37" i="34"/>
  <c r="J36" i="33"/>
  <c r="W36" i="33"/>
  <c r="AB23" i="40"/>
  <c r="S16" i="39"/>
  <c r="S15" i="34"/>
  <c r="AA15" i="34"/>
  <c r="AA41" i="33"/>
  <c r="AA34" i="33"/>
  <c r="J34" i="33"/>
  <c r="AC34" i="33"/>
  <c r="U30" i="40"/>
  <c r="AA37" i="39"/>
  <c r="AC39" i="39"/>
  <c r="W39" i="39"/>
  <c r="AA39" i="39"/>
  <c r="AB46" i="39"/>
  <c r="U11" i="36"/>
  <c r="W14"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AC13" i="40"/>
  <c r="J11" i="34"/>
  <c r="W11" i="34"/>
  <c r="AC36" i="33"/>
  <c r="F25" i="40"/>
  <c r="AA25" i="40"/>
  <c r="J11" i="33"/>
  <c r="W11" i="33"/>
  <c r="H33" i="37"/>
  <c r="AB33" i="37"/>
  <c r="AC15" i="34"/>
  <c r="U20" i="35"/>
  <c r="AB20" i="35"/>
  <c r="W23" i="40"/>
  <c r="D73" i="9"/>
  <c r="N73" i="9"/>
  <c r="B11" i="1"/>
  <c r="E11" i="1"/>
  <c r="B9" i="1"/>
  <c r="E9" i="1"/>
  <c r="K9" i="1"/>
  <c r="B7" i="1"/>
  <c r="E7" i="1"/>
  <c r="K7" i="1"/>
  <c r="M7" i="1"/>
  <c r="C20" i="43"/>
  <c r="M22" i="44"/>
  <c r="F29" i="12"/>
  <c r="D86" i="9"/>
  <c r="F31" i="43"/>
  <c r="C31" i="43"/>
  <c r="AC25" i="36"/>
  <c r="S23" i="36"/>
  <c r="S8" i="36"/>
  <c r="AA26" i="36"/>
  <c r="AA28" i="36"/>
  <c r="U25" i="36"/>
  <c r="H20" i="36"/>
  <c r="U20" i="36"/>
  <c r="F68" i="36"/>
  <c r="G68" i="36"/>
  <c r="J20" i="36"/>
  <c r="AC20" i="36"/>
  <c r="F20" i="36"/>
  <c r="S20" i="36"/>
  <c r="F62" i="36"/>
  <c r="G62" i="36"/>
  <c r="J14" i="36"/>
  <c r="W14" i="36"/>
  <c r="H14" i="36"/>
  <c r="F14" i="36"/>
  <c r="AA14" i="36"/>
  <c r="W20" i="36"/>
  <c r="U27" i="36"/>
  <c r="U32" i="36"/>
  <c r="AB12" i="36"/>
  <c r="S33" i="36"/>
  <c r="AA27" i="36"/>
  <c r="S29" i="36"/>
  <c r="U22" i="35"/>
  <c r="AA13" i="35"/>
  <c r="AC9" i="35"/>
  <c r="U33" i="35"/>
  <c r="W20" i="35"/>
  <c r="S16" i="35"/>
  <c r="AC10" i="35"/>
  <c r="W13" i="35"/>
  <c r="AC18" i="35"/>
  <c r="W18" i="35"/>
  <c r="U18" i="35"/>
  <c r="AB18" i="35"/>
  <c r="AA35" i="35"/>
  <c r="AB30" i="35"/>
  <c r="S27" i="35"/>
  <c r="J26" i="35"/>
  <c r="AC26" i="35"/>
  <c r="F26" i="35"/>
  <c r="H26" i="35"/>
  <c r="AB26" i="35"/>
  <c r="W12" i="37"/>
  <c r="S17" i="37"/>
  <c r="W28" i="37"/>
  <c r="AB37" i="37"/>
  <c r="AA31" i="37"/>
  <c r="S33" i="37"/>
  <c r="AA33" i="37"/>
  <c r="U32" i="37"/>
  <c r="AA32" i="37"/>
  <c r="J33" i="37"/>
  <c r="W33" i="37"/>
  <c r="H99" i="37"/>
  <c r="I99" i="37"/>
  <c r="J99" i="37"/>
  <c r="K99" i="37"/>
  <c r="L99" i="37"/>
  <c r="M99" i="37"/>
  <c r="S29" i="37"/>
  <c r="J19" i="37"/>
  <c r="AC19" i="37"/>
  <c r="F19" i="37"/>
  <c r="AA19" i="37"/>
  <c r="H19" i="37"/>
  <c r="U19" i="37"/>
  <c r="J17" i="37"/>
  <c r="S15" i="37"/>
  <c r="AC21" i="37"/>
  <c r="W21" i="37"/>
  <c r="AC11" i="37"/>
  <c r="W32" i="37"/>
  <c r="U8" i="37"/>
  <c r="AB25" i="37"/>
  <c r="AB21" i="37"/>
  <c r="U21" i="37"/>
  <c r="S37" i="37"/>
  <c r="AA11" i="37"/>
  <c r="W46" i="34"/>
  <c r="AA40" i="34"/>
  <c r="W33" i="34"/>
  <c r="U30" i="34"/>
  <c r="S32" i="34"/>
  <c r="AB33" i="34"/>
  <c r="AA12" i="34"/>
  <c r="AC35" i="34"/>
  <c r="AA30" i="34"/>
  <c r="AC32" i="34"/>
  <c r="U44" i="34"/>
  <c r="U28" i="34"/>
  <c r="J25" i="34"/>
  <c r="AC25" i="34"/>
  <c r="H25" i="34"/>
  <c r="F25" i="34"/>
  <c r="S25" i="34"/>
  <c r="J23" i="34"/>
  <c r="F23" i="34"/>
  <c r="S23" i="34"/>
  <c r="H23" i="34"/>
  <c r="W17" i="34"/>
  <c r="AC11" i="34"/>
  <c r="U11" i="34"/>
  <c r="W10" i="34"/>
  <c r="U10" i="34"/>
  <c r="W37" i="34"/>
  <c r="AC40" i="34"/>
  <c r="W19" i="34"/>
  <c r="AC21" i="34"/>
  <c r="W21" i="34"/>
  <c r="U15" i="34"/>
  <c r="AB21" i="34"/>
  <c r="U21" i="34"/>
  <c r="U19" i="34"/>
  <c r="AB41" i="34"/>
  <c r="AA41" i="34"/>
  <c r="S9" i="34"/>
  <c r="S10" i="34"/>
  <c r="U39" i="33"/>
  <c r="U37" i="33"/>
  <c r="S35" i="33"/>
  <c r="W34" i="33"/>
  <c r="AB41" i="33"/>
  <c r="U36" i="33"/>
  <c r="AC35" i="33"/>
  <c r="S29" i="33"/>
  <c r="W31" i="33"/>
  <c r="W43" i="33"/>
  <c r="W39" i="33"/>
  <c r="U35" i="33"/>
  <c r="H25" i="33"/>
  <c r="AB25" i="33"/>
  <c r="J25" i="33"/>
  <c r="W25" i="33"/>
  <c r="F25" i="33"/>
  <c r="S25" i="33"/>
  <c r="J23" i="33"/>
  <c r="F23" i="33"/>
  <c r="AA23" i="33"/>
  <c r="H23" i="33"/>
  <c r="U19" i="33"/>
  <c r="F17" i="33"/>
  <c r="H17" i="33"/>
  <c r="AB17" i="33"/>
  <c r="J17" i="33"/>
  <c r="AB15" i="33"/>
  <c r="AC11" i="33"/>
  <c r="S10" i="33"/>
  <c r="W10" i="33"/>
  <c r="AC21" i="33"/>
  <c r="W21" i="33"/>
  <c r="AB10" i="33"/>
  <c r="AB21" i="33"/>
  <c r="U21" i="33"/>
  <c r="AA21" i="33"/>
  <c r="S21" i="33"/>
  <c r="AA36" i="33"/>
  <c r="U35" i="21"/>
  <c r="W43" i="21"/>
  <c r="W28" i="21"/>
  <c r="AC26" i="21"/>
  <c r="F15" i="21"/>
  <c r="S15" i="21"/>
  <c r="J15" i="21"/>
  <c r="W15" i="21"/>
  <c r="H15" i="21"/>
  <c r="U15" i="21"/>
  <c r="W13" i="21"/>
  <c r="AC21" i="21"/>
  <c r="W21" i="21"/>
  <c r="AB21" i="21"/>
  <c r="U21" i="21"/>
  <c r="AB29" i="21"/>
  <c r="AA31" i="21"/>
  <c r="U33" i="40"/>
  <c r="U15" i="40"/>
  <c r="S14" i="40"/>
  <c r="S15" i="40"/>
  <c r="AB13" i="40"/>
  <c r="S16" i="40"/>
  <c r="W11" i="40"/>
  <c r="AA21" i="40"/>
  <c r="U21" i="40"/>
  <c r="W25" i="40"/>
  <c r="W42" i="40"/>
  <c r="F37" i="40"/>
  <c r="S37" i="40"/>
  <c r="J37" i="40"/>
  <c r="AC37" i="40"/>
  <c r="H37" i="40"/>
  <c r="G113" i="40"/>
  <c r="H113" i="40"/>
  <c r="I113" i="40"/>
  <c r="J113" i="40"/>
  <c r="K113" i="40"/>
  <c r="L113" i="40"/>
  <c r="M113" i="40"/>
  <c r="F39" i="40"/>
  <c r="S38" i="40"/>
  <c r="H39" i="40"/>
  <c r="J39" i="40"/>
  <c r="W39" i="40"/>
  <c r="W38" i="40"/>
  <c r="F29" i="40"/>
  <c r="S29" i="40"/>
  <c r="H29" i="40"/>
  <c r="J29" i="40"/>
  <c r="W29" i="40"/>
  <c r="S30" i="40"/>
  <c r="S25" i="40"/>
  <c r="F88" i="40"/>
  <c r="G88" i="40"/>
  <c r="F19" i="40"/>
  <c r="S19" i="40"/>
  <c r="H19" i="40"/>
  <c r="J19" i="40"/>
  <c r="AC19" i="40"/>
  <c r="W17" i="40"/>
  <c r="AC17" i="40"/>
  <c r="F17" i="40"/>
  <c r="AA17" i="40"/>
  <c r="H17" i="40"/>
  <c r="AB17" i="40"/>
  <c r="AB40" i="40"/>
  <c r="U10" i="40"/>
  <c r="U27" i="40"/>
  <c r="AB27" i="40"/>
  <c r="S11" i="39"/>
  <c r="AC38" i="39"/>
  <c r="U11" i="39"/>
  <c r="AB38" i="39"/>
  <c r="U31" i="39"/>
  <c r="AB31" i="39"/>
  <c r="S38" i="39"/>
  <c r="M20" i="15"/>
  <c r="D96" i="9"/>
  <c r="F28" i="15"/>
  <c r="BA16" i="3"/>
  <c r="BA17" i="3"/>
  <c r="AZ17" i="3"/>
  <c r="F3" i="35"/>
  <c r="K1" i="43"/>
  <c r="K1" i="12"/>
  <c r="G1" i="44"/>
  <c r="G3" i="46"/>
  <c r="H101" i="46"/>
  <c r="H102" i="46"/>
  <c r="AZ15" i="3"/>
  <c r="BK5" i="3"/>
  <c r="BP5" i="3"/>
  <c r="G29" i="6"/>
  <c r="BN5" i="3"/>
  <c r="BL18" i="3"/>
  <c r="AZ18" i="3"/>
  <c r="BC5" i="3"/>
  <c r="BR5" i="3"/>
  <c r="G28" i="6"/>
  <c r="BQ5" i="3"/>
  <c r="BL16" i="3"/>
  <c r="BM5" i="3"/>
  <c r="F29" i="6"/>
  <c r="E29" i="6"/>
  <c r="K15" i="1"/>
  <c r="G28" i="12"/>
  <c r="G22" i="43"/>
  <c r="G26" i="12"/>
  <c r="D24" i="44"/>
  <c r="D26" i="44"/>
  <c r="G27" i="12"/>
  <c r="G23" i="43"/>
  <c r="G21" i="43"/>
  <c r="N8" i="46"/>
  <c r="N4" i="46"/>
  <c r="N1" i="46"/>
  <c r="F47" i="46"/>
  <c r="H53"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W11" i="35"/>
  <c r="U13" i="37"/>
  <c r="S13" i="21"/>
  <c r="C24" i="9"/>
  <c r="C25" i="9"/>
  <c r="I20" i="46"/>
  <c r="B6" i="63"/>
  <c r="B46" i="50"/>
  <c r="B4" i="63"/>
  <c r="C46" i="36"/>
  <c r="C48" i="35"/>
  <c r="D48" i="35"/>
  <c r="E48" i="35"/>
  <c r="F48" i="35"/>
  <c r="G48" i="35"/>
  <c r="H48" i="35"/>
  <c r="I48" i="35"/>
  <c r="J48" i="35"/>
  <c r="C52" i="37"/>
  <c r="D52" i="37"/>
  <c r="E52" i="37"/>
  <c r="F52" i="37"/>
  <c r="G52" i="37"/>
  <c r="H52" i="37"/>
  <c r="I52" i="37"/>
  <c r="J52" i="37"/>
  <c r="K52" i="37"/>
  <c r="O19" i="46"/>
  <c r="H86" i="46"/>
  <c r="H82" i="46"/>
  <c r="H10" i="48"/>
  <c r="H87" i="46"/>
  <c r="H85" i="46"/>
  <c r="H83" i="46"/>
  <c r="K10" i="1"/>
  <c r="S13" i="1"/>
  <c r="R13" i="1"/>
  <c r="B6" i="1"/>
  <c r="E6" i="1"/>
  <c r="B10" i="1"/>
  <c r="E10" i="1"/>
  <c r="B8" i="1"/>
  <c r="E8" i="1"/>
  <c r="B12" i="1"/>
  <c r="E12" i="1"/>
  <c r="K6" i="1"/>
  <c r="M6" i="1"/>
  <c r="C15" i="43"/>
  <c r="G1" i="15"/>
  <c r="F66" i="36"/>
  <c r="G66" i="36"/>
  <c r="H18" i="36"/>
  <c r="U16" i="36"/>
  <c r="S25" i="36"/>
  <c r="AA34" i="36"/>
  <c r="U23" i="36"/>
  <c r="AC27" i="36"/>
  <c r="W28" i="36"/>
  <c r="AA32" i="36"/>
  <c r="U13" i="36"/>
  <c r="AA22" i="36"/>
  <c r="U10" i="36"/>
  <c r="AA13" i="36"/>
  <c r="W8" i="36"/>
  <c r="U32" i="35"/>
  <c r="W22" i="35"/>
  <c r="S32" i="35"/>
  <c r="W35" i="37"/>
  <c r="U33" i="37"/>
  <c r="AC15" i="37"/>
  <c r="AA13" i="37"/>
  <c r="W38" i="37"/>
  <c r="W36" i="37"/>
  <c r="U26" i="37"/>
  <c r="AB28" i="37"/>
  <c r="S28" i="37"/>
  <c r="W13" i="37"/>
  <c r="U38" i="37"/>
  <c r="AB35" i="34"/>
  <c r="S19" i="34"/>
  <c r="S8" i="34"/>
  <c r="AA19" i="33"/>
  <c r="AC25" i="33"/>
  <c r="AB42" i="33"/>
  <c r="S26" i="33"/>
  <c r="S15" i="33"/>
  <c r="AB25" i="21"/>
  <c r="AB45" i="21"/>
  <c r="W25" i="21"/>
  <c r="AA25" i="21"/>
  <c r="AA29" i="21"/>
  <c r="U27" i="21"/>
  <c r="W31" i="21"/>
  <c r="S27" i="21"/>
  <c r="AC27" i="21"/>
  <c r="W29" i="21"/>
  <c r="G96" i="40"/>
  <c r="J27" i="40"/>
  <c r="W27" i="40"/>
  <c r="W37" i="40"/>
  <c r="S17" i="40"/>
  <c r="S34" i="40"/>
  <c r="U17" i="40"/>
  <c r="U38" i="40"/>
  <c r="S42" i="40"/>
  <c r="J31" i="39"/>
  <c r="AC31" i="39"/>
  <c r="S45" i="39"/>
  <c r="S34" i="39"/>
  <c r="W42" i="39"/>
  <c r="W36" i="39"/>
  <c r="W16" i="39"/>
  <c r="AA46" i="39"/>
  <c r="W10" i="39"/>
  <c r="W11" i="39"/>
  <c r="U42" i="39"/>
  <c r="S32" i="40"/>
  <c r="C27" i="39"/>
  <c r="C17" i="40"/>
  <c r="C19" i="40"/>
  <c r="C17" i="39"/>
  <c r="C19" i="39"/>
  <c r="C21" i="39"/>
  <c r="B48" i="46"/>
  <c r="B51" i="46"/>
  <c r="B55" i="46"/>
  <c r="B59" i="46"/>
  <c r="B62" i="46"/>
  <c r="B66" i="46"/>
  <c r="B53" i="46"/>
  <c r="B64"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AT6" i="3"/>
  <c r="AZ16" i="3"/>
  <c r="A9" i="64"/>
  <c r="A9" i="51"/>
  <c r="B9" i="63"/>
  <c r="E4" i="4"/>
  <c r="C4" i="4"/>
  <c r="B20" i="55"/>
  <c r="B70" i="63"/>
  <c r="J18" i="36"/>
  <c r="AC18" i="36"/>
  <c r="AE8" i="1"/>
  <c r="AE7" i="1"/>
  <c r="AE6" i="1"/>
  <c r="W18" i="36"/>
  <c r="AG6" i="1"/>
  <c r="L20" i="6"/>
  <c r="L19" i="6"/>
  <c r="B21" i="55"/>
  <c r="B72" i="63"/>
  <c r="C45" i="9"/>
  <c r="H14" i="66"/>
  <c r="B7" i="66"/>
  <c r="O40" i="9"/>
  <c r="K31" i="9"/>
  <c r="K32" i="9"/>
  <c r="R7" i="54"/>
  <c r="B52" i="63"/>
  <c r="N76" i="9"/>
  <c r="C46" i="9"/>
  <c r="K33" i="9"/>
  <c r="O41" i="9"/>
  <c r="R8" i="54"/>
  <c r="B54" i="63"/>
  <c r="D58" i="21"/>
  <c r="D70" i="39"/>
  <c r="C72" i="39"/>
  <c r="C67" i="40"/>
  <c r="D65" i="40"/>
  <c r="E65" i="40"/>
  <c r="E67" i="40"/>
  <c r="J17" i="46"/>
  <c r="C17" i="46"/>
  <c r="F34" i="46"/>
  <c r="F38" i="46"/>
  <c r="F37" i="46"/>
  <c r="H113" i="46"/>
  <c r="H49" i="46"/>
  <c r="D14" i="59"/>
  <c r="C13" i="59"/>
  <c r="D13" i="59"/>
  <c r="U11" i="59"/>
  <c r="F14" i="59"/>
  <c r="F13" i="59"/>
  <c r="F12" i="59"/>
  <c r="F11" i="59"/>
  <c r="Y13" i="59"/>
  <c r="Z13" i="59"/>
  <c r="AA13" i="59"/>
  <c r="AB13" i="59"/>
  <c r="Y12" i="59"/>
  <c r="Z12" i="59"/>
  <c r="Y11" i="59"/>
  <c r="Z11" i="59"/>
  <c r="Y10" i="59"/>
  <c r="Z10" i="59"/>
  <c r="AB12" i="59"/>
  <c r="AB11" i="59"/>
  <c r="AB10" i="59"/>
  <c r="AA15" i="59"/>
  <c r="X13" i="59"/>
  <c r="X11" i="59"/>
  <c r="X10" i="59"/>
  <c r="AA11" i="59"/>
  <c r="AA10" i="59"/>
  <c r="C25" i="12"/>
  <c r="C27" i="43"/>
  <c r="C28" i="15"/>
  <c r="H1" i="65"/>
  <c r="H51" i="46"/>
  <c r="X7" i="46"/>
  <c r="E17" i="46"/>
  <c r="N17" i="46"/>
  <c r="O17" i="46"/>
  <c r="M17" i="46"/>
  <c r="L17" i="46"/>
  <c r="G22" i="46"/>
  <c r="D46" i="36"/>
  <c r="H70" i="46"/>
  <c r="H73" i="46"/>
  <c r="H50" i="46"/>
  <c r="F35" i="46"/>
  <c r="I17" i="46"/>
  <c r="H63" i="46"/>
  <c r="AC11" i="46"/>
  <c r="AC13" i="46"/>
  <c r="H64" i="46"/>
  <c r="D100" i="46"/>
  <c r="AF12" i="46"/>
  <c r="K100" i="46"/>
  <c r="AB12" i="46"/>
  <c r="AJ12" i="46"/>
  <c r="B113" i="46"/>
  <c r="I116" i="46"/>
  <c r="J116" i="46"/>
  <c r="K116" i="46"/>
  <c r="L116" i="46"/>
  <c r="M116" i="46"/>
  <c r="E101" i="46"/>
  <c r="E104" i="46"/>
  <c r="AG11" i="46"/>
  <c r="AG13" i="46"/>
  <c r="AI11" i="46"/>
  <c r="AI13" i="46"/>
  <c r="H60" i="46"/>
  <c r="H74" i="46"/>
  <c r="H75" i="46"/>
  <c r="E9" i="46"/>
  <c r="E8" i="46"/>
  <c r="H72" i="46"/>
  <c r="H69" i="46"/>
  <c r="H77" i="46"/>
  <c r="H76" i="46"/>
  <c r="H54" i="46"/>
  <c r="H47" i="46"/>
  <c r="AD12" i="46"/>
  <c r="AH12" i="46"/>
  <c r="C12" i="59"/>
  <c r="C11" i="59"/>
  <c r="C10" i="59"/>
  <c r="C9" i="59"/>
  <c r="C8" i="59"/>
  <c r="D12" i="59"/>
  <c r="D67" i="40"/>
  <c r="E70" i="39"/>
  <c r="F70" i="39"/>
  <c r="G70" i="39"/>
  <c r="H70" i="39"/>
  <c r="D72" i="39"/>
  <c r="D11" i="59"/>
  <c r="E46" i="36"/>
  <c r="F46" i="36"/>
  <c r="G46" i="36"/>
  <c r="E72" i="39"/>
  <c r="D10" i="59"/>
  <c r="G20" i="46"/>
  <c r="E41" i="46"/>
  <c r="C41" i="46"/>
  <c r="S3" i="46"/>
  <c r="F72" i="39"/>
  <c r="G72" i="39"/>
  <c r="I70" i="39"/>
  <c r="H72" i="39"/>
  <c r="J70" i="39"/>
  <c r="I72" i="39"/>
  <c r="J72" i="39"/>
  <c r="K70" i="39"/>
  <c r="L70" i="39"/>
  <c r="K72" i="39"/>
  <c r="E8" i="67"/>
  <c r="E11" i="67"/>
  <c r="F8" i="15"/>
  <c r="F26" i="15"/>
  <c r="F14" i="67"/>
  <c r="F11" i="67"/>
  <c r="F42" i="15"/>
  <c r="E9" i="67"/>
  <c r="F40" i="15"/>
  <c r="F6" i="15"/>
  <c r="I3" i="65"/>
  <c r="E13" i="67"/>
  <c r="F12" i="67"/>
  <c r="F13" i="67"/>
  <c r="M8" i="15"/>
  <c r="B8" i="67"/>
  <c r="M9" i="15"/>
  <c r="F38" i="15"/>
  <c r="F10" i="67"/>
  <c r="F36" i="15"/>
  <c r="E10" i="67"/>
  <c r="N7" i="65"/>
  <c r="J3" i="65"/>
  <c r="M27" i="15"/>
  <c r="L48" i="15"/>
  <c r="N3" i="65"/>
  <c r="N5" i="65"/>
  <c r="F16" i="15"/>
  <c r="B11" i="67"/>
  <c r="B9" i="67"/>
  <c r="E14" i="67"/>
  <c r="F11" i="44"/>
  <c r="F39" i="44"/>
  <c r="J6" i="65"/>
  <c r="F9" i="44"/>
  <c r="F9" i="67"/>
  <c r="J15" i="15"/>
  <c r="F7" i="15"/>
  <c r="M29" i="44"/>
  <c r="I7" i="65"/>
  <c r="M23" i="15"/>
  <c r="C19" i="44"/>
  <c r="I6" i="65"/>
  <c r="J36" i="15"/>
  <c r="M26" i="15"/>
  <c r="M28" i="44"/>
  <c r="I5" i="65"/>
  <c r="N6" i="65"/>
  <c r="L47" i="15"/>
  <c r="F38" i="44"/>
  <c r="M22" i="15"/>
  <c r="B13" i="67"/>
  <c r="M25" i="44"/>
  <c r="E12" i="67"/>
  <c r="M23" i="44"/>
  <c r="F9" i="15"/>
  <c r="J5" i="65"/>
  <c r="N4" i="65"/>
  <c r="M10" i="44"/>
  <c r="F13" i="15"/>
  <c r="I4" i="65"/>
  <c r="B10" i="67"/>
  <c r="F40" i="44"/>
  <c r="B14" i="67"/>
  <c r="M24" i="15"/>
  <c r="F37" i="15"/>
  <c r="J4" i="65"/>
  <c r="J7" i="65"/>
  <c r="L49" i="44"/>
  <c r="F8" i="44"/>
  <c r="M6" i="15"/>
  <c r="F8" i="67"/>
  <c r="M8" i="44"/>
  <c r="B12" i="67"/>
  <c r="M28" i="15"/>
  <c r="M31" i="44"/>
  <c r="L72" i="39"/>
  <c r="M70" i="39"/>
  <c r="F10" i="59"/>
  <c r="F9" i="59"/>
  <c r="F8" i="59"/>
  <c r="F7" i="59"/>
  <c r="V11" i="59"/>
  <c r="AZ484" i="3"/>
  <c r="AA12" i="21"/>
  <c r="S12" i="21"/>
  <c r="S14" i="21"/>
  <c r="AA14" i="21"/>
  <c r="U28" i="21"/>
  <c r="AB28" i="21"/>
  <c r="AC44" i="21"/>
  <c r="W44" i="21"/>
  <c r="AB46" i="21"/>
  <c r="U46" i="21"/>
  <c r="H113" i="21"/>
  <c r="H37" i="21"/>
  <c r="U37" i="21"/>
  <c r="F37" i="21"/>
  <c r="J37" i="21"/>
  <c r="AC9" i="33"/>
  <c r="W9" i="33"/>
  <c r="U9" i="35"/>
  <c r="AB9" i="35"/>
  <c r="U44" i="33"/>
  <c r="AB44" i="33"/>
  <c r="AB12" i="35"/>
  <c r="U12" i="35"/>
  <c r="U11" i="35"/>
  <c r="AB11" i="35"/>
  <c r="W24" i="35"/>
  <c r="AC24" i="35"/>
  <c r="AC34" i="35"/>
  <c r="W34" i="35"/>
  <c r="H23" i="39"/>
  <c r="AB23" i="39"/>
  <c r="F97" i="39"/>
  <c r="G97" i="39"/>
  <c r="F23" i="39"/>
  <c r="AA23" i="39"/>
  <c r="J23" i="39"/>
  <c r="AC23" i="39"/>
  <c r="AZ532" i="3"/>
  <c r="U28" i="33"/>
  <c r="AB28" i="33"/>
  <c r="AC26" i="33"/>
  <c r="W26" i="33"/>
  <c r="W27" i="34"/>
  <c r="AC27" i="34"/>
  <c r="W12" i="33"/>
  <c r="AC12" i="33"/>
  <c r="AC46" i="33"/>
  <c r="W46" i="33"/>
  <c r="AB13" i="34"/>
  <c r="U13" i="34"/>
  <c r="W29" i="34"/>
  <c r="AC29" i="34"/>
  <c r="W31" i="34"/>
  <c r="AC31" i="34"/>
  <c r="AB45" i="34"/>
  <c r="U45" i="34"/>
  <c r="U47" i="34"/>
  <c r="AB47" i="34"/>
  <c r="C7" i="59"/>
  <c r="D8" i="59"/>
  <c r="A18" i="51"/>
  <c r="B14" i="63"/>
  <c r="C53" i="10"/>
  <c r="A18" i="64"/>
  <c r="B74" i="63"/>
  <c r="F32" i="73"/>
  <c r="F59" i="73"/>
  <c r="F28" i="73"/>
  <c r="C28" i="73"/>
  <c r="M18" i="73"/>
  <c r="F32" i="72"/>
  <c r="F59" i="72"/>
  <c r="F28" i="72"/>
  <c r="C28" i="72"/>
  <c r="M18" i="72"/>
  <c r="BH5" i="3"/>
  <c r="E5" i="6"/>
  <c r="D21" i="12"/>
  <c r="C21" i="12"/>
  <c r="J9" i="36"/>
  <c r="H9" i="36"/>
  <c r="F9" i="36"/>
  <c r="J24" i="36"/>
  <c r="H24" i="36"/>
  <c r="S6" i="46"/>
  <c r="S5" i="46"/>
  <c r="D9" i="59"/>
  <c r="F65" i="40"/>
  <c r="T11" i="59"/>
  <c r="H52" i="46"/>
  <c r="H55" i="46"/>
  <c r="E11" i="46"/>
  <c r="C7" i="46"/>
  <c r="H65" i="46"/>
  <c r="H59" i="46"/>
  <c r="AE11" i="46"/>
  <c r="AE13" i="46"/>
  <c r="AH11" i="46"/>
  <c r="AH13" i="46"/>
  <c r="K101" i="46"/>
  <c r="K107" i="46"/>
  <c r="L101" i="46"/>
  <c r="L102" i="46"/>
  <c r="G101" i="46"/>
  <c r="G106" i="46"/>
  <c r="H62" i="46"/>
  <c r="H66" i="46"/>
  <c r="AJ11" i="46"/>
  <c r="AJ13" i="46"/>
  <c r="M101" i="46"/>
  <c r="M107" i="46"/>
  <c r="H48" i="46"/>
  <c r="F101" i="46"/>
  <c r="Y11" i="46"/>
  <c r="Y13" i="46"/>
  <c r="H58" i="46"/>
  <c r="K34" i="9"/>
  <c r="AA20" i="36"/>
  <c r="S14" i="36"/>
  <c r="C23" i="40"/>
  <c r="W45" i="39"/>
  <c r="AC37" i="39"/>
  <c r="AC46" i="39"/>
  <c r="S40" i="40"/>
  <c r="W30" i="40"/>
  <c r="AB14" i="33"/>
  <c r="S43" i="33"/>
  <c r="S12" i="37"/>
  <c r="AC33" i="37"/>
  <c r="AA33" i="35"/>
  <c r="W32" i="35"/>
  <c r="AC30" i="35"/>
  <c r="W29" i="36"/>
  <c r="T41" i="4"/>
  <c r="A17" i="51"/>
  <c r="B13" i="63"/>
  <c r="K5" i="54"/>
  <c r="C20" i="46"/>
  <c r="AA11" i="35"/>
  <c r="AA12" i="36"/>
  <c r="M18" i="15"/>
  <c r="AB45" i="39"/>
  <c r="W21" i="40"/>
  <c r="AA23" i="40"/>
  <c r="U35" i="40"/>
  <c r="U25" i="40"/>
  <c r="S35" i="40"/>
  <c r="W33" i="40"/>
  <c r="AA30" i="21"/>
  <c r="AC38" i="21"/>
  <c r="AB32" i="21"/>
  <c r="W32" i="21"/>
  <c r="U25" i="33"/>
  <c r="W14" i="33"/>
  <c r="S14" i="33"/>
  <c r="AB34" i="33"/>
  <c r="AB11" i="33"/>
  <c r="U27" i="34"/>
  <c r="W44" i="34"/>
  <c r="AA27" i="34"/>
  <c r="U34" i="34"/>
  <c r="AA33" i="34"/>
  <c r="S10" i="37"/>
  <c r="S40" i="37"/>
  <c r="U35" i="37"/>
  <c r="AC9" i="37"/>
  <c r="AC10" i="37"/>
  <c r="AA9" i="37"/>
  <c r="AB9" i="37"/>
  <c r="S28" i="35"/>
  <c r="S30" i="35"/>
  <c r="AB14" i="35"/>
  <c r="S23" i="35"/>
  <c r="AA20" i="35"/>
  <c r="S8" i="35"/>
  <c r="AC33" i="35"/>
  <c r="S16" i="36"/>
  <c r="F30" i="44"/>
  <c r="C30" i="44"/>
  <c r="M20" i="44"/>
  <c r="F70" i="9"/>
  <c r="F32" i="15"/>
  <c r="F59" i="15"/>
  <c r="S17" i="34"/>
  <c r="U40" i="21"/>
  <c r="AB44" i="39"/>
  <c r="W29" i="35"/>
  <c r="S41" i="40"/>
  <c r="W32" i="40"/>
  <c r="AA11" i="34"/>
  <c r="AA11" i="36"/>
  <c r="AA29" i="35"/>
  <c r="S47" i="39"/>
  <c r="AB32" i="40"/>
  <c r="W35" i="40"/>
  <c r="F72" i="9"/>
  <c r="F66" i="9"/>
  <c r="P72" i="9"/>
  <c r="F34" i="44"/>
  <c r="H41" i="39"/>
  <c r="AB41" i="39"/>
  <c r="H27" i="39"/>
  <c r="AB27" i="39"/>
  <c r="J14" i="39"/>
  <c r="AC14" i="39"/>
  <c r="S43" i="34"/>
  <c r="AB14" i="37"/>
  <c r="AA31" i="36"/>
  <c r="AC34" i="37"/>
  <c r="J19" i="39"/>
  <c r="W19" i="39"/>
  <c r="F19" i="39"/>
  <c r="S19" i="39"/>
  <c r="AB39" i="34"/>
  <c r="H17" i="21"/>
  <c r="AB17" i="21"/>
  <c r="W42" i="33"/>
  <c r="AB36" i="34"/>
  <c r="AB16" i="35"/>
  <c r="U12" i="37"/>
  <c r="S39" i="33"/>
  <c r="S25" i="37"/>
  <c r="U39" i="37"/>
  <c r="AC23" i="37"/>
  <c r="AC12" i="35"/>
  <c r="H24" i="35"/>
  <c r="F24" i="35"/>
  <c r="AB45" i="33"/>
  <c r="AB30" i="21"/>
  <c r="U30" i="33"/>
  <c r="J14" i="37"/>
  <c r="F14" i="37"/>
  <c r="J47" i="34"/>
  <c r="F47" i="34"/>
  <c r="F45" i="34"/>
  <c r="J45" i="34"/>
  <c r="F31" i="34"/>
  <c r="H31" i="34"/>
  <c r="H29" i="34"/>
  <c r="F29" i="34"/>
  <c r="F13" i="34"/>
  <c r="J13" i="34"/>
  <c r="H46" i="33"/>
  <c r="F46" i="33"/>
  <c r="F44" i="33"/>
  <c r="J44" i="33"/>
  <c r="S31" i="33"/>
  <c r="H26" i="33"/>
  <c r="F46" i="21"/>
  <c r="J46" i="21"/>
  <c r="F44" i="21"/>
  <c r="H44" i="21"/>
  <c r="F28" i="21"/>
  <c r="H14" i="21"/>
  <c r="J42" i="21"/>
  <c r="W42" i="21"/>
  <c r="AB40" i="34"/>
  <c r="AC34" i="36"/>
  <c r="H11" i="21"/>
  <c r="U11" i="21"/>
  <c r="AA38" i="21"/>
  <c r="F11" i="21"/>
  <c r="W8" i="21"/>
  <c r="W39" i="34"/>
  <c r="AC27" i="35"/>
  <c r="W39" i="37"/>
  <c r="F39" i="37"/>
  <c r="H12" i="21"/>
  <c r="J19" i="21"/>
  <c r="W19" i="21"/>
  <c r="H9" i="21"/>
  <c r="AB9" i="21"/>
  <c r="J9" i="21"/>
  <c r="AC9" i="21"/>
  <c r="H5" i="3"/>
  <c r="BI5" i="3"/>
  <c r="BG5" i="3"/>
  <c r="G7" i="21"/>
  <c r="I7" i="21"/>
  <c r="E7" i="21"/>
  <c r="H42" i="21"/>
  <c r="U42" i="21"/>
  <c r="F9" i="33"/>
  <c r="H9" i="33"/>
  <c r="F12" i="33"/>
  <c r="H12" i="33"/>
  <c r="F34" i="35"/>
  <c r="H34" i="35"/>
  <c r="J36" i="35"/>
  <c r="F26" i="37"/>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F34" i="15"/>
  <c r="F61" i="15"/>
  <c r="M20" i="73"/>
  <c r="F34" i="73"/>
  <c r="F61" i="73"/>
  <c r="F34" i="72"/>
  <c r="F61" i="72"/>
  <c r="M20" i="72"/>
  <c r="D55" i="59"/>
  <c r="T55" i="59"/>
  <c r="Y20" i="59"/>
  <c r="Z20" i="59"/>
  <c r="C21" i="59"/>
  <c r="X21" i="59"/>
  <c r="X16" i="59"/>
  <c r="AA21" i="59"/>
  <c r="AA16" i="59"/>
  <c r="AA18" i="59"/>
  <c r="AA3" i="59"/>
  <c r="AA19" i="59"/>
  <c r="E22" i="59"/>
  <c r="E23" i="59"/>
  <c r="U23" i="59"/>
  <c r="AA24" i="59"/>
  <c r="E25" i="59"/>
  <c r="E26" i="59"/>
  <c r="E27" i="59"/>
  <c r="U27" i="59"/>
  <c r="C50" i="59"/>
  <c r="D49" i="59"/>
  <c r="C19" i="59"/>
  <c r="Y16" i="59"/>
  <c r="Z16" i="59"/>
  <c r="Y17" i="59"/>
  <c r="Z17" i="59"/>
  <c r="Y18" i="59"/>
  <c r="Z18" i="59"/>
  <c r="Y19" i="59"/>
  <c r="Z19" i="59"/>
  <c r="F19" i="59"/>
  <c r="AB19" i="59"/>
  <c r="AB16" i="59"/>
  <c r="AB18" i="59"/>
  <c r="AB17" i="59"/>
  <c r="AA14" i="59"/>
  <c r="AA9" i="59"/>
  <c r="AA5" i="59"/>
  <c r="BL13" i="3"/>
  <c r="BL5" i="3"/>
  <c r="AZ128" i="3"/>
  <c r="AZ141" i="3"/>
  <c r="AZ144" i="3"/>
  <c r="AZ155" i="3"/>
  <c r="AZ168" i="3"/>
  <c r="AZ171" i="3"/>
  <c r="AZ186" i="3"/>
  <c r="AZ194" i="3"/>
  <c r="AZ204" i="3"/>
  <c r="AZ22" i="3"/>
  <c r="AZ26" i="3"/>
  <c r="AZ45" i="3"/>
  <c r="AZ49" i="3"/>
  <c r="AZ52" i="3"/>
  <c r="AZ54" i="3"/>
  <c r="AZ58" i="3"/>
  <c r="AZ76" i="3"/>
  <c r="AZ80" i="3"/>
  <c r="AZ83" i="3"/>
  <c r="AZ96" i="3"/>
  <c r="AZ100" i="3"/>
  <c r="AZ103" i="3"/>
  <c r="AZ105" i="3"/>
  <c r="AZ109" i="3"/>
  <c r="C35" i="59"/>
  <c r="C47" i="59"/>
  <c r="C73" i="59"/>
  <c r="D73" i="59"/>
  <c r="D74" i="59"/>
  <c r="D70" i="59"/>
  <c r="C69" i="59"/>
  <c r="D69" i="59"/>
  <c r="C57" i="59"/>
  <c r="D58" i="59"/>
  <c r="D53" i="59"/>
  <c r="AB3" i="59"/>
  <c r="X18" i="59"/>
  <c r="C26" i="59"/>
  <c r="D25" i="59"/>
  <c r="Y28" i="59"/>
  <c r="Z28" i="59"/>
  <c r="C29" i="59"/>
  <c r="G1" i="73"/>
  <c r="G1" i="72"/>
  <c r="D1" i="57"/>
  <c r="E10" i="57"/>
  <c r="AA18" i="36"/>
  <c r="S18" i="36"/>
  <c r="X20" i="59"/>
  <c r="B21" i="59"/>
  <c r="B22" i="59"/>
  <c r="B23" i="59"/>
  <c r="S23" i="59"/>
  <c r="X3" i="59"/>
  <c r="X17" i="59"/>
  <c r="X19" i="59"/>
  <c r="AB24" i="59"/>
  <c r="F25" i="59"/>
  <c r="F26" i="59"/>
  <c r="F27" i="59"/>
  <c r="V27" i="59"/>
  <c r="Y25" i="59"/>
  <c r="Z25" i="59"/>
  <c r="Y26" i="59"/>
  <c r="Z26" i="59"/>
  <c r="Y27" i="59"/>
  <c r="Z27" i="59"/>
  <c r="X28" i="59"/>
  <c r="B29" i="59"/>
  <c r="B30" i="59"/>
  <c r="B31" i="59"/>
  <c r="S31" i="59"/>
  <c r="N59" i="59"/>
  <c r="B58" i="59"/>
  <c r="S59" i="59"/>
  <c r="V59" i="59"/>
  <c r="F58" i="59"/>
  <c r="Q59" i="59"/>
  <c r="T67" i="59"/>
  <c r="D67" i="59"/>
  <c r="P16" i="4"/>
  <c r="AA20" i="59"/>
  <c r="AB20" i="59"/>
  <c r="Y21" i="59"/>
  <c r="Z21" i="59"/>
  <c r="AB21" i="59"/>
  <c r="Y22" i="59"/>
  <c r="Z22" i="59"/>
  <c r="AB22" i="59"/>
  <c r="Y23" i="59"/>
  <c r="Z23" i="59"/>
  <c r="AB23" i="59"/>
  <c r="X24" i="59"/>
  <c r="Y24" i="59"/>
  <c r="Z24" i="59"/>
  <c r="X25" i="59"/>
  <c r="AA25" i="59"/>
  <c r="X26" i="59"/>
  <c r="AA26" i="59"/>
  <c r="X27" i="59"/>
  <c r="AA27" i="59"/>
  <c r="AA28" i="59"/>
  <c r="Y29" i="59"/>
  <c r="Z29" i="59"/>
  <c r="B18" i="59"/>
  <c r="B17" i="59"/>
  <c r="S19" i="59"/>
  <c r="Y15" i="59"/>
  <c r="Z15" i="59"/>
  <c r="X14" i="59"/>
  <c r="B15" i="59"/>
  <c r="X12" i="59"/>
  <c r="Y9" i="59"/>
  <c r="Z9" i="59"/>
  <c r="AB9" i="59"/>
  <c r="X8" i="59"/>
  <c r="AA8" i="59"/>
  <c r="A28" i="64"/>
  <c r="E18" i="59"/>
  <c r="E17" i="59"/>
  <c r="O76" i="9"/>
  <c r="K76" i="9"/>
  <c r="K77" i="9"/>
  <c r="K79" i="9"/>
  <c r="K81" i="9"/>
  <c r="X15" i="59"/>
  <c r="AB15" i="59"/>
  <c r="Y14" i="59"/>
  <c r="Z14" i="59"/>
  <c r="AB14" i="59"/>
  <c r="AA12" i="59"/>
  <c r="X9" i="59"/>
  <c r="X5" i="59"/>
  <c r="AA6" i="59"/>
  <c r="X7" i="59"/>
  <c r="Y8" i="59"/>
  <c r="Z8" i="59"/>
  <c r="AB8" i="59"/>
  <c r="Y5" i="59"/>
  <c r="Z5" i="59"/>
  <c r="AB6" i="59"/>
  <c r="AB5" i="59"/>
  <c r="K105" i="46"/>
  <c r="S7" i="46"/>
  <c r="G103" i="46"/>
  <c r="AB11" i="46"/>
  <c r="AB13" i="46"/>
  <c r="AA11" i="46"/>
  <c r="AA13" i="46"/>
  <c r="E22" i="46"/>
  <c r="F22" i="46"/>
  <c r="J101" i="46"/>
  <c r="J107" i="46"/>
  <c r="N101" i="46"/>
  <c r="N105" i="46"/>
  <c r="J22" i="46"/>
  <c r="H22" i="46"/>
  <c r="K11" i="1"/>
  <c r="Q16" i="1"/>
  <c r="F33" i="12"/>
  <c r="C34" i="12"/>
  <c r="D33" i="12"/>
  <c r="B116" i="46"/>
  <c r="C116" i="46"/>
  <c r="BA13" i="3"/>
  <c r="M9" i="1"/>
  <c r="O9" i="1"/>
  <c r="P9" i="1"/>
  <c r="S4" i="46"/>
  <c r="S2" i="46"/>
  <c r="C23" i="46"/>
  <c r="C21" i="46"/>
  <c r="AF11" i="46"/>
  <c r="AF13" i="46"/>
  <c r="Z11" i="46"/>
  <c r="Z13" i="46"/>
  <c r="Z7" i="46"/>
  <c r="N104" i="45"/>
  <c r="C101" i="46"/>
  <c r="C109" i="46"/>
  <c r="AD11" i="46"/>
  <c r="AD13" i="46"/>
  <c r="I101" i="46"/>
  <c r="D101" i="46"/>
  <c r="D109" i="46"/>
  <c r="M10" i="1"/>
  <c r="G11" i="1"/>
  <c r="F6" i="1"/>
  <c r="AP6" i="1"/>
  <c r="F8" i="1"/>
  <c r="F12" i="1"/>
  <c r="AP7" i="1"/>
  <c r="AP10" i="1"/>
  <c r="AP9" i="1"/>
  <c r="G13" i="1"/>
  <c r="G10" i="1"/>
  <c r="J43" i="39"/>
  <c r="W43" i="39"/>
  <c r="S43" i="39"/>
  <c r="H43" i="39"/>
  <c r="AB33" i="39"/>
  <c r="S33" i="39"/>
  <c r="AC33" i="39"/>
  <c r="S31" i="39"/>
  <c r="S29" i="39"/>
  <c r="W29" i="39"/>
  <c r="AB29" i="39"/>
  <c r="S27" i="39"/>
  <c r="W27" i="39"/>
  <c r="W25" i="39"/>
  <c r="AB25" i="39"/>
  <c r="U23" i="39"/>
  <c r="AC21" i="39"/>
  <c r="AA21" i="39"/>
  <c r="U21" i="39"/>
  <c r="AC19" i="39"/>
  <c r="AA19" i="39"/>
  <c r="U19" i="39"/>
  <c r="W41" i="39"/>
  <c r="W40" i="39"/>
  <c r="M43" i="9"/>
  <c r="D18" i="9"/>
  <c r="M44" i="9"/>
  <c r="G17" i="46"/>
  <c r="C16" i="46"/>
  <c r="C5" i="46"/>
  <c r="AC34" i="21"/>
  <c r="AC36" i="21"/>
  <c r="AA36" i="21"/>
  <c r="W39" i="21"/>
  <c r="U39" i="21"/>
  <c r="S39" i="21"/>
  <c r="AB34" i="21"/>
  <c r="J23" i="21"/>
  <c r="W23" i="21"/>
  <c r="F23" i="21"/>
  <c r="S23" i="21"/>
  <c r="F85" i="21"/>
  <c r="G85" i="21"/>
  <c r="H23" i="21"/>
  <c r="AB23" i="21"/>
  <c r="AC23" i="21"/>
  <c r="S21" i="21"/>
  <c r="H19" i="21"/>
  <c r="AB19" i="21"/>
  <c r="F19" i="21"/>
  <c r="AA19" i="21"/>
  <c r="AC19" i="21"/>
  <c r="AA17" i="21"/>
  <c r="AC17" i="21"/>
  <c r="U17" i="21"/>
  <c r="S42" i="21"/>
  <c r="AB42" i="21"/>
  <c r="AC15" i="21"/>
  <c r="AA15" i="21"/>
  <c r="AB15" i="21"/>
  <c r="AB11" i="21"/>
  <c r="AC11" i="21"/>
  <c r="W10" i="21"/>
  <c r="AB10" i="21"/>
  <c r="S10" i="21"/>
  <c r="S9" i="21"/>
  <c r="U9" i="21"/>
  <c r="AB8" i="21"/>
  <c r="AA8" i="21"/>
  <c r="S41" i="39"/>
  <c r="W34" i="39"/>
  <c r="U34" i="39"/>
  <c r="W31" i="39"/>
  <c r="S25" i="39"/>
  <c r="S23" i="39"/>
  <c r="AC17" i="39"/>
  <c r="S17" i="39"/>
  <c r="AB17" i="39"/>
  <c r="S15" i="39"/>
  <c r="AB15" i="39"/>
  <c r="W15" i="39"/>
  <c r="W14" i="39"/>
  <c r="U14" i="39"/>
  <c r="S14" i="39"/>
  <c r="U41" i="39"/>
  <c r="AC43" i="39"/>
  <c r="AA44" i="39"/>
  <c r="AC44" i="39"/>
  <c r="G83" i="39"/>
  <c r="H13" i="39"/>
  <c r="A30" i="64"/>
  <c r="A30" i="51"/>
  <c r="B22" i="63"/>
  <c r="D23" i="15"/>
  <c r="H104" i="46"/>
  <c r="H105" i="46"/>
  <c r="H107" i="46"/>
  <c r="F103" i="46"/>
  <c r="L27" i="6"/>
  <c r="G105" i="46"/>
  <c r="I117" i="46"/>
  <c r="J117" i="46"/>
  <c r="K117" i="46"/>
  <c r="L117" i="46"/>
  <c r="M117" i="46"/>
  <c r="I115" i="46"/>
  <c r="J115" i="46"/>
  <c r="K115" i="46"/>
  <c r="L115" i="46"/>
  <c r="M115" i="46"/>
  <c r="L105" i="46"/>
  <c r="D104" i="46"/>
  <c r="H106" i="46"/>
  <c r="H109" i="46"/>
  <c r="H103" i="46"/>
  <c r="F30" i="6"/>
  <c r="F104" i="46"/>
  <c r="J109" i="46"/>
  <c r="M102" i="46"/>
  <c r="G30" i="6"/>
  <c r="G31" i="6"/>
  <c r="E28" i="6"/>
  <c r="E103" i="46"/>
  <c r="K103" i="46"/>
  <c r="I103" i="46"/>
  <c r="G109" i="46"/>
  <c r="B117" i="46"/>
  <c r="C117" i="46"/>
  <c r="D118" i="46"/>
  <c r="E118" i="46"/>
  <c r="F118" i="46"/>
  <c r="B115" i="46"/>
  <c r="C115" i="46"/>
  <c r="L103" i="46"/>
  <c r="L106" i="46"/>
  <c r="E107" i="46"/>
  <c r="E106" i="46"/>
  <c r="I107" i="46"/>
  <c r="E109" i="46"/>
  <c r="G107" i="46"/>
  <c r="B118" i="46"/>
  <c r="C118" i="46"/>
  <c r="G118" i="46"/>
  <c r="H118" i="46"/>
  <c r="D115" i="46"/>
  <c r="E115" i="46"/>
  <c r="F115" i="46"/>
  <c r="G115" i="46"/>
  <c r="H115" i="46"/>
  <c r="D117" i="46"/>
  <c r="E117" i="46"/>
  <c r="F117" i="46"/>
  <c r="G117" i="46"/>
  <c r="H117" i="46"/>
  <c r="D116" i="46"/>
  <c r="E116" i="46"/>
  <c r="F116" i="46"/>
  <c r="G116" i="46"/>
  <c r="H116" i="46"/>
  <c r="I118" i="46"/>
  <c r="J118" i="46"/>
  <c r="K118" i="46"/>
  <c r="L118" i="46"/>
  <c r="M118" i="46"/>
  <c r="L107" i="46"/>
  <c r="L109" i="46"/>
  <c r="L104" i="46"/>
  <c r="E102" i="46"/>
  <c r="E105" i="46"/>
  <c r="K102" i="46"/>
  <c r="I105" i="46"/>
  <c r="N103" i="46"/>
  <c r="E8" i="6"/>
  <c r="E53" i="40"/>
  <c r="C102" i="46"/>
  <c r="M106" i="46"/>
  <c r="G13" i="3"/>
  <c r="I109" i="46"/>
  <c r="H16" i="1"/>
  <c r="E12" i="6"/>
  <c r="E14" i="6"/>
  <c r="E10" i="6"/>
  <c r="M109" i="46"/>
  <c r="O13" i="1"/>
  <c r="P13" i="1"/>
  <c r="O6" i="1"/>
  <c r="P6" i="1"/>
  <c r="O7" i="1"/>
  <c r="P7" i="1"/>
  <c r="O12" i="1"/>
  <c r="P12" i="1"/>
  <c r="C103" i="46"/>
  <c r="G6" i="1"/>
  <c r="N16" i="4"/>
  <c r="L16" i="4"/>
  <c r="I14" i="66"/>
  <c r="B8" i="66"/>
  <c r="K48" i="35"/>
  <c r="L48" i="35"/>
  <c r="M48" i="35"/>
  <c r="N48" i="35"/>
  <c r="O48" i="35"/>
  <c r="H7" i="35"/>
  <c r="H46" i="36"/>
  <c r="I46" i="36"/>
  <c r="J46" i="36"/>
  <c r="K46" i="36"/>
  <c r="L46" i="36"/>
  <c r="M46" i="36"/>
  <c r="N46" i="36"/>
  <c r="O46" i="36"/>
  <c r="J7" i="36"/>
  <c r="L52" i="37"/>
  <c r="F7" i="35"/>
  <c r="F59" i="34"/>
  <c r="F58" i="33"/>
  <c r="E58" i="21"/>
  <c r="E7" i="59"/>
  <c r="X6" i="59"/>
  <c r="Y6" i="59"/>
  <c r="Z6" i="59"/>
  <c r="B4" i="52"/>
  <c r="B8" i="52"/>
  <c r="E22" i="52"/>
  <c r="E7" i="52"/>
  <c r="E13" i="52"/>
  <c r="E10" i="52"/>
  <c r="E8" i="52"/>
  <c r="B10" i="52"/>
  <c r="E4" i="52"/>
  <c r="E21" i="52"/>
  <c r="B9" i="52"/>
  <c r="E11" i="52"/>
  <c r="B11" i="52"/>
  <c r="B7" i="52"/>
  <c r="B6" i="52"/>
  <c r="B13" i="52"/>
  <c r="B14" i="52"/>
  <c r="E9" i="52"/>
  <c r="B22" i="52"/>
  <c r="E6" i="52"/>
  <c r="Y3" i="59"/>
  <c r="Z3" i="59"/>
  <c r="AB7" i="59"/>
  <c r="AA7" i="59"/>
  <c r="Y7" i="59"/>
  <c r="Z7" i="59"/>
  <c r="P22" i="46"/>
  <c r="P24" i="46"/>
  <c r="B68" i="40"/>
  <c r="P23" i="46"/>
  <c r="P25" i="46"/>
  <c r="B73" i="39"/>
  <c r="P21" i="46"/>
  <c r="E20" i="46"/>
  <c r="C6" i="15"/>
  <c r="F65" i="15"/>
  <c r="J1" i="65"/>
  <c r="F67" i="15"/>
  <c r="F50" i="15"/>
  <c r="C27" i="15"/>
  <c r="F64" i="15"/>
  <c r="I1" i="65"/>
  <c r="M9" i="44"/>
  <c r="L59" i="15"/>
  <c r="L58" i="15"/>
  <c r="J53" i="15"/>
  <c r="J57" i="15"/>
  <c r="J55" i="15"/>
  <c r="J58" i="15"/>
  <c r="Q51" i="15"/>
  <c r="I54" i="15"/>
  <c r="L56" i="15"/>
  <c r="F49" i="15"/>
  <c r="M7" i="15"/>
  <c r="I55" i="44"/>
  <c r="J54" i="44"/>
  <c r="L57" i="44"/>
  <c r="J58" i="44"/>
  <c r="J56" i="44"/>
  <c r="J59" i="44"/>
  <c r="Q52" i="44"/>
  <c r="J60" i="44"/>
  <c r="J61" i="44"/>
  <c r="Q50" i="44"/>
  <c r="Q72" i="15"/>
  <c r="J22" i="44"/>
  <c r="F63" i="15"/>
  <c r="C4" i="65"/>
  <c r="B39" i="1"/>
  <c r="F33" i="44"/>
  <c r="F31" i="15"/>
  <c r="F58" i="15"/>
  <c r="M19" i="44"/>
  <c r="M17" i="15"/>
  <c r="F37" i="44"/>
  <c r="M30" i="44"/>
  <c r="F45" i="44"/>
  <c r="F28" i="44"/>
  <c r="F46" i="44"/>
  <c r="M24" i="44"/>
  <c r="F10" i="44"/>
  <c r="M29" i="15"/>
  <c r="J17" i="44"/>
  <c r="L48" i="44"/>
  <c r="M11" i="44"/>
  <c r="M26" i="44"/>
  <c r="F15" i="44"/>
  <c r="F18" i="44"/>
  <c r="F43" i="44"/>
  <c r="F43" i="15"/>
  <c r="E3" i="65"/>
  <c r="E2" i="65"/>
  <c r="Q73" i="44"/>
  <c r="L59" i="44"/>
  <c r="Q75" i="44"/>
  <c r="L60" i="44"/>
  <c r="Q76" i="44"/>
  <c r="C8" i="44"/>
  <c r="C34" i="44"/>
  <c r="C29" i="44"/>
  <c r="C36" i="44"/>
  <c r="E6" i="59"/>
  <c r="E5" i="59"/>
  <c r="U7" i="59"/>
  <c r="S15" i="59"/>
  <c r="B14" i="59"/>
  <c r="B13" i="59"/>
  <c r="B12" i="59"/>
  <c r="B11" i="59"/>
  <c r="B57" i="59"/>
  <c r="N58" i="59"/>
  <c r="D26" i="59"/>
  <c r="C27" i="59"/>
  <c r="D47" i="59"/>
  <c r="T47" i="59"/>
  <c r="V19" i="59"/>
  <c r="F18" i="59"/>
  <c r="F17" i="59"/>
  <c r="D21" i="59"/>
  <c r="C22" i="59"/>
  <c r="AC36" i="35"/>
  <c r="W36" i="35"/>
  <c r="S34" i="35"/>
  <c r="AA34" i="35"/>
  <c r="AA12" i="33"/>
  <c r="S12" i="33"/>
  <c r="S9" i="33"/>
  <c r="AA9" i="33"/>
  <c r="S39" i="37"/>
  <c r="AA39" i="37"/>
  <c r="AA28" i="21"/>
  <c r="S28" i="21"/>
  <c r="AA44" i="21"/>
  <c r="S44" i="21"/>
  <c r="S46" i="21"/>
  <c r="AA46" i="21"/>
  <c r="S44" i="33"/>
  <c r="AA44" i="33"/>
  <c r="AB46" i="33"/>
  <c r="U46" i="33"/>
  <c r="AA13" i="34"/>
  <c r="S13" i="34"/>
  <c r="AB29" i="34"/>
  <c r="U29" i="34"/>
  <c r="S31" i="34"/>
  <c r="AA31" i="34"/>
  <c r="AA45" i="34"/>
  <c r="S45" i="34"/>
  <c r="AC47" i="34"/>
  <c r="W47" i="34"/>
  <c r="W14" i="37"/>
  <c r="AC14" i="37"/>
  <c r="AA24" i="35"/>
  <c r="S24" i="35"/>
  <c r="F106" i="46"/>
  <c r="F102" i="46"/>
  <c r="W24" i="36"/>
  <c r="AC24" i="36"/>
  <c r="AB9" i="36"/>
  <c r="U9" i="36"/>
  <c r="A25" i="64"/>
  <c r="A25" i="51"/>
  <c r="B18" i="63"/>
  <c r="A17" i="64"/>
  <c r="C6" i="59"/>
  <c r="T7" i="59"/>
  <c r="W37" i="21"/>
  <c r="AC37" i="21"/>
  <c r="F6" i="59"/>
  <c r="F5" i="59"/>
  <c r="V7" i="59"/>
  <c r="N70" i="39"/>
  <c r="N72" i="39"/>
  <c r="M72" i="39"/>
  <c r="J8" i="44"/>
  <c r="J20" i="44"/>
  <c r="D7" i="59"/>
  <c r="J7" i="35"/>
  <c r="AC7" i="35"/>
  <c r="V38" i="35"/>
  <c r="I38" i="35"/>
  <c r="M103" i="46"/>
  <c r="M104" i="46"/>
  <c r="E13" i="6"/>
  <c r="E11" i="6"/>
  <c r="E63" i="39"/>
  <c r="E15" i="6"/>
  <c r="D12" i="11"/>
  <c r="C12" i="11"/>
  <c r="N104" i="46"/>
  <c r="K104" i="46"/>
  <c r="G104" i="46"/>
  <c r="K109" i="46"/>
  <c r="N106" i="46"/>
  <c r="K106" i="46"/>
  <c r="G102" i="46"/>
  <c r="M105" i="46"/>
  <c r="F107" i="46"/>
  <c r="F105" i="46"/>
  <c r="W23" i="39"/>
  <c r="W9" i="21"/>
  <c r="AC42" i="21"/>
  <c r="AB37" i="21"/>
  <c r="U27" i="39"/>
  <c r="F109" i="46"/>
  <c r="F57" i="59"/>
  <c r="Q58" i="59"/>
  <c r="D29" i="59"/>
  <c r="C30" i="59"/>
  <c r="D57" i="59"/>
  <c r="O57" i="59"/>
  <c r="O56" i="59"/>
  <c r="D35" i="59"/>
  <c r="T35" i="59"/>
  <c r="T19" i="59"/>
  <c r="C18" i="59"/>
  <c r="D19" i="59"/>
  <c r="C51" i="59"/>
  <c r="D50" i="59"/>
  <c r="AA26" i="37"/>
  <c r="S26" i="37"/>
  <c r="AB34" i="35"/>
  <c r="U34" i="35"/>
  <c r="AB12" i="33"/>
  <c r="U12" i="33"/>
  <c r="AB9" i="33"/>
  <c r="U9" i="33"/>
  <c r="AB12" i="21"/>
  <c r="U12" i="21"/>
  <c r="S11" i="21"/>
  <c r="AA11" i="21"/>
  <c r="U14" i="21"/>
  <c r="AB14" i="21"/>
  <c r="U44" i="21"/>
  <c r="AB44" i="21"/>
  <c r="AC46" i="21"/>
  <c r="W46" i="21"/>
  <c r="AB26" i="33"/>
  <c r="U26" i="33"/>
  <c r="W44" i="33"/>
  <c r="AC44" i="33"/>
  <c r="AA46" i="33"/>
  <c r="S46" i="33"/>
  <c r="W13" i="34"/>
  <c r="AC13" i="34"/>
  <c r="S29" i="34"/>
  <c r="AA29" i="34"/>
  <c r="U31" i="34"/>
  <c r="AB31" i="34"/>
  <c r="AC45" i="34"/>
  <c r="W45" i="34"/>
  <c r="S47" i="34"/>
  <c r="AA47" i="34"/>
  <c r="AA14" i="37"/>
  <c r="S14" i="37"/>
  <c r="AB24" i="35"/>
  <c r="U24" i="35"/>
  <c r="A3" i="55"/>
  <c r="B56" i="63"/>
  <c r="B38" i="63"/>
  <c r="G65" i="40"/>
  <c r="F67" i="40"/>
  <c r="AB24" i="36"/>
  <c r="U24" i="36"/>
  <c r="S9" i="36"/>
  <c r="AA9" i="36"/>
  <c r="AC9" i="36"/>
  <c r="W9" i="36"/>
  <c r="S37" i="21"/>
  <c r="AA37" i="21"/>
  <c r="J102" i="46"/>
  <c r="C106" i="46"/>
  <c r="J104" i="46"/>
  <c r="E58" i="39"/>
  <c r="J106" i="46"/>
  <c r="C105" i="46"/>
  <c r="J103" i="46"/>
  <c r="C104" i="46"/>
  <c r="J105" i="46"/>
  <c r="C107" i="46"/>
  <c r="F70" i="15"/>
  <c r="D107" i="46"/>
  <c r="D105" i="46"/>
  <c r="O10" i="1"/>
  <c r="P10" i="1"/>
  <c r="M11" i="1"/>
  <c r="D106" i="46"/>
  <c r="D103" i="46"/>
  <c r="AZ13" i="3"/>
  <c r="AZ5" i="3"/>
  <c r="E3" i="6"/>
  <c r="BA5" i="3"/>
  <c r="N109" i="46"/>
  <c r="N107" i="46"/>
  <c r="D102" i="46"/>
  <c r="N102" i="46"/>
  <c r="I102" i="46"/>
  <c r="I106" i="46"/>
  <c r="I104" i="46"/>
  <c r="D22" i="46"/>
  <c r="AP12" i="1"/>
  <c r="G12" i="1"/>
  <c r="AP8" i="1"/>
  <c r="AP16" i="1"/>
  <c r="F22" i="11"/>
  <c r="G8" i="1"/>
  <c r="G16" i="1"/>
  <c r="J12" i="40"/>
  <c r="AC12" i="40"/>
  <c r="K17" i="4"/>
  <c r="A22" i="51"/>
  <c r="B16" i="63"/>
  <c r="U43" i="39"/>
  <c r="AB43" i="39"/>
  <c r="D5" i="46"/>
  <c r="M11" i="73"/>
  <c r="J10" i="73"/>
  <c r="F11" i="73"/>
  <c r="M11" i="72"/>
  <c r="J10" i="72"/>
  <c r="F11" i="72"/>
  <c r="U23" i="21"/>
  <c r="AA23" i="21"/>
  <c r="U19" i="21"/>
  <c r="S19" i="21"/>
  <c r="AB13" i="39"/>
  <c r="U13" i="39"/>
  <c r="F13" i="39"/>
  <c r="H83" i="39"/>
  <c r="I83" i="39"/>
  <c r="J83" i="39"/>
  <c r="K83" i="39"/>
  <c r="L83" i="39"/>
  <c r="M83" i="39"/>
  <c r="J13" i="39"/>
  <c r="C15" i="12"/>
  <c r="F18" i="11"/>
  <c r="C18" i="11"/>
  <c r="D113" i="46"/>
  <c r="F24" i="43"/>
  <c r="C26" i="43"/>
  <c r="D24" i="43"/>
  <c r="F27" i="6"/>
  <c r="F31" i="6"/>
  <c r="K14" i="1"/>
  <c r="E30" i="6"/>
  <c r="G5" i="3"/>
  <c r="B3" i="3"/>
  <c r="E60" i="40"/>
  <c r="E65" i="39"/>
  <c r="E58" i="40"/>
  <c r="E67" i="39"/>
  <c r="E62" i="40"/>
  <c r="E61" i="40"/>
  <c r="E66" i="39"/>
  <c r="E64" i="39"/>
  <c r="E59" i="40"/>
  <c r="G58" i="33"/>
  <c r="G59" i="34"/>
  <c r="M52" i="37"/>
  <c r="H7" i="36"/>
  <c r="F7" i="36"/>
  <c r="AB7" i="35"/>
  <c r="T38" i="35"/>
  <c r="G38" i="35"/>
  <c r="U7" i="35"/>
  <c r="F58" i="21"/>
  <c r="AA7" i="35"/>
  <c r="R38" i="35"/>
  <c r="S7" i="35"/>
  <c r="W7" i="36"/>
  <c r="AC7" i="36"/>
  <c r="V36" i="36"/>
  <c r="I36" i="36"/>
  <c r="W7" i="35"/>
  <c r="C19" i="46"/>
  <c r="B40" i="1"/>
  <c r="F17" i="11"/>
  <c r="C17" i="11"/>
  <c r="L47" i="44"/>
  <c r="Q62" i="15"/>
  <c r="Q75" i="15"/>
  <c r="M13" i="44"/>
  <c r="J12" i="44"/>
  <c r="F11" i="15"/>
  <c r="M11" i="15"/>
  <c r="J10" i="15"/>
  <c r="F13" i="44"/>
  <c r="C12" i="44"/>
  <c r="C7" i="44"/>
  <c r="C48" i="15"/>
  <c r="C32" i="15"/>
  <c r="M28" i="46"/>
  <c r="P28" i="46"/>
  <c r="O28" i="46"/>
  <c r="N28" i="46"/>
  <c r="F1" i="44"/>
  <c r="Q54" i="44"/>
  <c r="Q63" i="44"/>
  <c r="F1" i="15"/>
  <c r="Q53" i="15"/>
  <c r="Q61" i="15"/>
  <c r="Q74" i="15"/>
  <c r="J6" i="15"/>
  <c r="M26" i="73"/>
  <c r="M23" i="73"/>
  <c r="F38" i="73"/>
  <c r="M28" i="73"/>
  <c r="M6" i="73"/>
  <c r="M8" i="73"/>
  <c r="M9" i="73"/>
  <c r="F26" i="73"/>
  <c r="F37" i="73"/>
  <c r="F40" i="73"/>
  <c r="F6" i="73"/>
  <c r="M29" i="73"/>
  <c r="L47" i="73"/>
  <c r="F38" i="72"/>
  <c r="M23" i="72"/>
  <c r="M24" i="72"/>
  <c r="M28" i="72"/>
  <c r="F40" i="72"/>
  <c r="F26" i="72"/>
  <c r="F6" i="72"/>
  <c r="F36" i="72"/>
  <c r="F16" i="72"/>
  <c r="M8" i="72"/>
  <c r="M26" i="72"/>
  <c r="M29" i="72"/>
  <c r="L48" i="72"/>
  <c r="F7" i="72"/>
  <c r="AE11" i="1"/>
  <c r="C18" i="44"/>
  <c r="M24" i="73"/>
  <c r="F42" i="73"/>
  <c r="F13" i="73"/>
  <c r="F16" i="73"/>
  <c r="M27" i="73"/>
  <c r="F36" i="73"/>
  <c r="M22" i="73"/>
  <c r="J36" i="73"/>
  <c r="F8" i="73"/>
  <c r="J15" i="73"/>
  <c r="F9" i="73"/>
  <c r="F43" i="73"/>
  <c r="F7" i="73"/>
  <c r="L48" i="73"/>
  <c r="M27" i="72"/>
  <c r="M9" i="72"/>
  <c r="F42" i="72"/>
  <c r="F9" i="72"/>
  <c r="J36" i="72"/>
  <c r="J15" i="72"/>
  <c r="F8" i="72"/>
  <c r="M22" i="72"/>
  <c r="M6" i="72"/>
  <c r="F37" i="72"/>
  <c r="F13" i="72"/>
  <c r="L47" i="72"/>
  <c r="F43" i="72"/>
  <c r="C16" i="15"/>
  <c r="Q62" i="44"/>
  <c r="F70" i="72"/>
  <c r="L59" i="72"/>
  <c r="L58" i="72"/>
  <c r="F64" i="72"/>
  <c r="F50" i="72"/>
  <c r="Q72" i="72"/>
  <c r="L57" i="73"/>
  <c r="J60" i="73"/>
  <c r="Q49" i="73"/>
  <c r="J57" i="73"/>
  <c r="J55" i="73"/>
  <c r="J58" i="73"/>
  <c r="Q51" i="73"/>
  <c r="L56" i="73"/>
  <c r="J53" i="73"/>
  <c r="L60" i="73"/>
  <c r="I54" i="73"/>
  <c r="J59" i="73"/>
  <c r="M7" i="73"/>
  <c r="J6" i="73"/>
  <c r="J18" i="73"/>
  <c r="F49" i="73"/>
  <c r="F70" i="73"/>
  <c r="F50" i="73"/>
  <c r="Q72" i="73"/>
  <c r="F63" i="73"/>
  <c r="M7" i="72"/>
  <c r="J6" i="72"/>
  <c r="J18" i="72"/>
  <c r="F49" i="72"/>
  <c r="L60" i="72"/>
  <c r="L56" i="72"/>
  <c r="J53" i="72"/>
  <c r="L57" i="72"/>
  <c r="J60" i="72"/>
  <c r="Q49" i="72"/>
  <c r="J59" i="72"/>
  <c r="I54" i="72"/>
  <c r="J57" i="72"/>
  <c r="J55" i="72"/>
  <c r="J58" i="72"/>
  <c r="Q51" i="72"/>
  <c r="F63" i="72"/>
  <c r="C6" i="72"/>
  <c r="C10" i="72"/>
  <c r="C5" i="72"/>
  <c r="C27" i="72"/>
  <c r="F67" i="72"/>
  <c r="F65" i="72"/>
  <c r="L59" i="73"/>
  <c r="L58" i="73"/>
  <c r="C6" i="73"/>
  <c r="F67" i="73"/>
  <c r="F64" i="73"/>
  <c r="C27" i="73"/>
  <c r="F65" i="73"/>
  <c r="H65" i="40"/>
  <c r="G67" i="40"/>
  <c r="D51" i="59"/>
  <c r="T51" i="59"/>
  <c r="C17" i="59"/>
  <c r="D17" i="59"/>
  <c r="D18" i="59"/>
  <c r="C5" i="59"/>
  <c r="D5" i="59"/>
  <c r="D6" i="59"/>
  <c r="D22" i="59"/>
  <c r="C23" i="59"/>
  <c r="D27" i="59"/>
  <c r="T27" i="59"/>
  <c r="N57" i="59"/>
  <c r="N56" i="59"/>
  <c r="J7" i="44"/>
  <c r="J28" i="44"/>
  <c r="J31" i="44"/>
  <c r="C34" i="46"/>
  <c r="E16" i="6"/>
  <c r="J5" i="73"/>
  <c r="J24" i="73"/>
  <c r="D30" i="59"/>
  <c r="C31" i="59"/>
  <c r="Q56" i="59"/>
  <c r="Q57" i="59"/>
  <c r="F9" i="39"/>
  <c r="H9" i="39"/>
  <c r="J9" i="39"/>
  <c r="B10" i="59"/>
  <c r="B9" i="59"/>
  <c r="B8" i="59"/>
  <c r="B7" i="59"/>
  <c r="S11" i="59"/>
  <c r="E13" i="3"/>
  <c r="C33" i="21"/>
  <c r="D45" i="9"/>
  <c r="D16" i="43"/>
  <c r="C16" i="43"/>
  <c r="C21" i="4"/>
  <c r="O5" i="54"/>
  <c r="B45" i="63"/>
  <c r="D16" i="12"/>
  <c r="D10" i="11"/>
  <c r="L38" i="9"/>
  <c r="B14" i="66"/>
  <c r="B1" i="66"/>
  <c r="E6" i="6"/>
  <c r="D46" i="9"/>
  <c r="O11" i="1"/>
  <c r="P11" i="1"/>
  <c r="W12" i="40"/>
  <c r="F12" i="39"/>
  <c r="S12" i="39"/>
  <c r="H12" i="39"/>
  <c r="U12" i="39"/>
  <c r="F12" i="40"/>
  <c r="H12" i="40"/>
  <c r="AB12" i="40"/>
  <c r="J12" i="39"/>
  <c r="AC12" i="39"/>
  <c r="F24" i="72"/>
  <c r="C24" i="72"/>
  <c r="F24" i="73"/>
  <c r="C52" i="73"/>
  <c r="C10" i="73"/>
  <c r="C5" i="73"/>
  <c r="C52" i="72"/>
  <c r="AC13" i="39"/>
  <c r="W13" i="39"/>
  <c r="S13" i="39"/>
  <c r="AA13" i="39"/>
  <c r="C19" i="11"/>
  <c r="C20" i="11"/>
  <c r="C21" i="11"/>
  <c r="C22" i="11"/>
  <c r="C23" i="11"/>
  <c r="B2" i="11"/>
  <c r="E27" i="6"/>
  <c r="E31" i="6"/>
  <c r="K16" i="1"/>
  <c r="M14" i="1"/>
  <c r="E33"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141" i="3"/>
  <c r="E34" i="3"/>
  <c r="E550" i="3"/>
  <c r="E189" i="3"/>
  <c r="E507" i="3"/>
  <c r="E275" i="3"/>
  <c r="L6" i="3"/>
  <c r="E429" i="3"/>
  <c r="E116" i="3"/>
  <c r="E372" i="3"/>
  <c r="E465" i="3"/>
  <c r="E154" i="3"/>
  <c r="E243"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28" i="3"/>
  <c r="E168" i="3"/>
  <c r="E407" i="3"/>
  <c r="E533" i="3"/>
  <c r="E37" i="3"/>
  <c r="E303" i="3"/>
  <c r="E467" i="3"/>
  <c r="E67" i="3"/>
  <c r="E214" i="3"/>
  <c r="E486" i="3"/>
  <c r="E543" i="3"/>
  <c r="E264" i="3"/>
  <c r="E369"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7" i="3"/>
  <c r="E487" i="3"/>
  <c r="E329" i="3"/>
  <c r="AB6" i="3"/>
  <c r="E26" i="3"/>
  <c r="S6" i="3"/>
  <c r="E322" i="3"/>
  <c r="E511" i="3"/>
  <c r="E17" i="3"/>
  <c r="E377" i="3"/>
  <c r="E18"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36" i="3"/>
  <c r="E211" i="3"/>
  <c r="E248" i="3"/>
  <c r="E126" i="3"/>
  <c r="E365" i="3"/>
  <c r="E73" i="3"/>
  <c r="E527" i="3"/>
  <c r="E305" i="3"/>
  <c r="E291" i="3"/>
  <c r="U6" i="3"/>
  <c r="E556" i="3"/>
  <c r="E451" i="3"/>
  <c r="E445" i="3"/>
  <c r="E52" i="3"/>
  <c r="E139" i="3"/>
  <c r="E245" i="3"/>
  <c r="E332" i="3"/>
  <c r="E539" i="3"/>
  <c r="E85" i="3"/>
  <c r="E568" i="3"/>
  <c r="E136" i="3"/>
  <c r="E289" i="3"/>
  <c r="AE6" i="3"/>
  <c r="E97" i="3"/>
  <c r="E500" i="3"/>
  <c r="E119" i="3"/>
  <c r="Q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308" i="3"/>
  <c r="E370" i="3"/>
  <c r="E259" i="3"/>
  <c r="E276" i="3"/>
  <c r="E196" i="3"/>
  <c r="E43" i="3"/>
  <c r="E449" i="3"/>
  <c r="E479" i="3"/>
  <c r="E207" i="3"/>
  <c r="E258" i="3"/>
  <c r="E204" i="3"/>
  <c r="E25" i="3"/>
  <c r="O6" i="3"/>
  <c r="E102" i="3"/>
  <c r="E166" i="3"/>
  <c r="E272" i="3"/>
  <c r="E257" i="3"/>
  <c r="E401" i="3"/>
  <c r="E425" i="3"/>
  <c r="E79" i="3"/>
  <c r="E113" i="3"/>
  <c r="E363" i="3"/>
  <c r="E455" i="3"/>
  <c r="E438" i="3"/>
  <c r="E48" i="3"/>
  <c r="J6" i="3"/>
  <c r="E178" i="3"/>
  <c r="E7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AB12" i="39"/>
  <c r="AA12" i="39"/>
  <c r="I42" i="35"/>
  <c r="J42" i="35"/>
  <c r="I40" i="36"/>
  <c r="J40" i="36"/>
  <c r="G58" i="21"/>
  <c r="H58" i="21"/>
  <c r="I58" i="21"/>
  <c r="J58" i="21"/>
  <c r="K58" i="21"/>
  <c r="L58" i="21"/>
  <c r="M58" i="21"/>
  <c r="N58" i="21"/>
  <c r="O58" i="21"/>
  <c r="F7" i="21"/>
  <c r="E38" i="35"/>
  <c r="I43" i="35"/>
  <c r="J43" i="35"/>
  <c r="R39" i="35"/>
  <c r="H7" i="21"/>
  <c r="S7" i="36"/>
  <c r="AA7" i="36"/>
  <c r="R36" i="36"/>
  <c r="N52" i="37"/>
  <c r="H59" i="34"/>
  <c r="H58" i="33"/>
  <c r="G42" i="35"/>
  <c r="H42" i="35"/>
  <c r="G43" i="35"/>
  <c r="H43" i="35"/>
  <c r="U7" i="36"/>
  <c r="AB7" i="36"/>
  <c r="T36" i="36"/>
  <c r="G36" i="36"/>
  <c r="J7" i="21"/>
  <c r="T7" i="46"/>
  <c r="V7" i="46"/>
  <c r="T4" i="46"/>
  <c r="V4" i="46"/>
  <c r="T14" i="46"/>
  <c r="V14" i="46"/>
  <c r="C36" i="46"/>
  <c r="G36" i="46"/>
  <c r="I36" i="46"/>
  <c r="C29" i="46"/>
  <c r="E29" i="46"/>
  <c r="T3" i="46"/>
  <c r="V3" i="46"/>
  <c r="C38" i="46"/>
  <c r="E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G38" i="46"/>
  <c r="I38" i="46"/>
  <c r="E34" i="46"/>
  <c r="G34" i="46"/>
  <c r="I34" i="46"/>
  <c r="J18" i="15"/>
  <c r="J5" i="15"/>
  <c r="C40" i="44"/>
  <c r="C52" i="15"/>
  <c r="C47" i="15"/>
  <c r="C10" i="15"/>
  <c r="C5" i="15"/>
  <c r="F21" i="43"/>
  <c r="C23" i="43"/>
  <c r="D21" i="43"/>
  <c r="F24" i="15"/>
  <c r="C24" i="15"/>
  <c r="F26" i="12"/>
  <c r="F26" i="44"/>
  <c r="C26" i="44"/>
  <c r="C16" i="72"/>
  <c r="F41" i="15"/>
  <c r="C16" i="73"/>
  <c r="L46" i="72"/>
  <c r="J26" i="44"/>
  <c r="J26" i="73"/>
  <c r="C48" i="72"/>
  <c r="C47" i="72"/>
  <c r="B6" i="59"/>
  <c r="B5" i="59"/>
  <c r="S7" i="59"/>
  <c r="U9" i="39"/>
  <c r="AB9" i="39"/>
  <c r="T49" i="39"/>
  <c r="G49" i="39"/>
  <c r="G53" i="39"/>
  <c r="H53" i="39"/>
  <c r="D31" i="59"/>
  <c r="T31" i="59"/>
  <c r="H67" i="40"/>
  <c r="I65" i="40"/>
  <c r="Q74" i="73"/>
  <c r="Q61" i="73"/>
  <c r="F1" i="72"/>
  <c r="Q53" i="72"/>
  <c r="Q67" i="72"/>
  <c r="Q58" i="72"/>
  <c r="Q67" i="73"/>
  <c r="Q58" i="73"/>
  <c r="Q62" i="72"/>
  <c r="Q75" i="72"/>
  <c r="W12" i="39"/>
  <c r="W9" i="39"/>
  <c r="AC9" i="39"/>
  <c r="V49" i="39"/>
  <c r="I49" i="39"/>
  <c r="I53" i="39"/>
  <c r="J53" i="39"/>
  <c r="S9" i="39"/>
  <c r="AA9" i="39"/>
  <c r="R49" i="39"/>
  <c r="J5" i="72"/>
  <c r="D23" i="59"/>
  <c r="T23" i="59"/>
  <c r="C32" i="73"/>
  <c r="C33" i="73"/>
  <c r="Q62" i="73"/>
  <c r="Q75" i="73"/>
  <c r="C33" i="72"/>
  <c r="C32" i="72"/>
  <c r="C48" i="73"/>
  <c r="C47" i="73"/>
  <c r="L46" i="73"/>
  <c r="F1" i="73"/>
  <c r="Q53" i="73"/>
  <c r="Q61" i="72"/>
  <c r="Q74" i="72"/>
  <c r="D19" i="12"/>
  <c r="C19" i="12"/>
  <c r="C16" i="12"/>
  <c r="D22" i="12"/>
  <c r="C22" i="12"/>
  <c r="C20" i="12"/>
  <c r="D13" i="11"/>
  <c r="C13" i="11"/>
  <c r="J33" i="21"/>
  <c r="H33" i="21"/>
  <c r="F33" i="21"/>
  <c r="C7" i="66"/>
  <c r="C8" i="66"/>
  <c r="S12" i="40"/>
  <c r="AA12" i="40"/>
  <c r="U12" i="40"/>
  <c r="C24" i="73"/>
  <c r="C38" i="73"/>
  <c r="C38" i="72"/>
  <c r="F68" i="15"/>
  <c r="E37" i="46"/>
  <c r="G39" i="46"/>
  <c r="I39" i="46"/>
  <c r="G33" i="46"/>
  <c r="I33" i="46"/>
  <c r="E35" i="46"/>
  <c r="E36" i="46"/>
  <c r="K23" i="6"/>
  <c r="M23" i="6"/>
  <c r="I23" i="6"/>
  <c r="S23" i="6"/>
  <c r="K25" i="6"/>
  <c r="M25" i="6"/>
  <c r="I25" i="6"/>
  <c r="K20" i="6"/>
  <c r="S7" i="1"/>
  <c r="K26" i="6"/>
  <c r="M26" i="6"/>
  <c r="I26" i="6"/>
  <c r="K21" i="6"/>
  <c r="K24" i="6"/>
  <c r="K19" i="6"/>
  <c r="S6" i="1"/>
  <c r="K22" i="6"/>
  <c r="S12" i="1"/>
  <c r="O14" i="1"/>
  <c r="M16" i="1"/>
  <c r="N16" i="1"/>
  <c r="C29" i="43"/>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BI6" i="3"/>
  <c r="H26" i="6"/>
  <c r="S26" i="6"/>
  <c r="H6" i="3"/>
  <c r="C30" i="46"/>
  <c r="E30" i="46"/>
  <c r="AC7" i="21"/>
  <c r="W7" i="21"/>
  <c r="G41" i="36"/>
  <c r="H41" i="36"/>
  <c r="G40" i="36"/>
  <c r="H40" i="36"/>
  <c r="I58" i="33"/>
  <c r="E36" i="36"/>
  <c r="R37" i="36"/>
  <c r="U7" i="21"/>
  <c r="AB7" i="21"/>
  <c r="E42" i="35"/>
  <c r="F42" i="35"/>
  <c r="E43" i="35"/>
  <c r="F43" i="35"/>
  <c r="I59" i="34"/>
  <c r="O52" i="37"/>
  <c r="F7" i="37"/>
  <c r="C39" i="35"/>
  <c r="B3" i="35"/>
  <c r="B2" i="35"/>
  <c r="C38" i="35"/>
  <c r="AA7" i="21"/>
  <c r="S7" i="21"/>
  <c r="C26" i="46"/>
  <c r="C65" i="15"/>
  <c r="C59" i="15"/>
  <c r="B5" i="11"/>
  <c r="B3" i="11"/>
  <c r="B4" i="11"/>
  <c r="C27" i="12"/>
  <c r="D26" i="12"/>
  <c r="C32" i="12"/>
  <c r="D30" i="12"/>
  <c r="J26" i="15"/>
  <c r="J29" i="15"/>
  <c r="J24" i="15"/>
  <c r="C38" i="15"/>
  <c r="Q58" i="44"/>
  <c r="Q67" i="44"/>
  <c r="Q49" i="44"/>
  <c r="Q55" i="44"/>
  <c r="AE9" i="1"/>
  <c r="F41" i="72"/>
  <c r="AE10" i="1"/>
  <c r="F7" i="67"/>
  <c r="C60" i="72"/>
  <c r="C59" i="72"/>
  <c r="C65" i="72"/>
  <c r="F68" i="72"/>
  <c r="C65" i="73"/>
  <c r="C59" i="73"/>
  <c r="C60" i="73"/>
  <c r="R50" i="39"/>
  <c r="C49" i="39"/>
  <c r="J65" i="40"/>
  <c r="I67" i="40"/>
  <c r="J7" i="37"/>
  <c r="M19" i="6"/>
  <c r="J24" i="72"/>
  <c r="J26" i="72"/>
  <c r="J29" i="72"/>
  <c r="M20" i="46"/>
  <c r="S25" i="6"/>
  <c r="H25" i="6"/>
  <c r="E6" i="3"/>
  <c r="S10" i="1"/>
  <c r="E49" i="39"/>
  <c r="I54" i="39"/>
  <c r="J54" i="39"/>
  <c r="S33" i="21"/>
  <c r="AA33" i="21"/>
  <c r="R48" i="21"/>
  <c r="M20" i="6"/>
  <c r="I20" i="6"/>
  <c r="U33" i="21"/>
  <c r="AB33" i="21"/>
  <c r="T48" i="21"/>
  <c r="G48" i="21"/>
  <c r="W33" i="21"/>
  <c r="AC33" i="21"/>
  <c r="V48" i="21"/>
  <c r="I48" i="21"/>
  <c r="I52" i="21"/>
  <c r="J52" i="21"/>
  <c r="G54" i="39"/>
  <c r="H54" i="39"/>
  <c r="C27" i="46"/>
  <c r="C50" i="39"/>
  <c r="B60" i="39"/>
  <c r="F60" i="39"/>
  <c r="E54" i="39"/>
  <c r="F54" i="39"/>
  <c r="K27" i="6"/>
  <c r="M22" i="6"/>
  <c r="I22" i="6"/>
  <c r="S22" i="6"/>
  <c r="S9" i="1"/>
  <c r="M24" i="6"/>
  <c r="I24" i="6"/>
  <c r="S24" i="6"/>
  <c r="S11" i="1"/>
  <c r="M21" i="6"/>
  <c r="I21" i="6"/>
  <c r="S21" i="6"/>
  <c r="S8" i="1"/>
  <c r="L16" i="1"/>
  <c r="C13" i="43"/>
  <c r="P14" i="1"/>
  <c r="P16" i="1"/>
  <c r="C13" i="12"/>
  <c r="O16" i="1"/>
  <c r="E63" i="40"/>
  <c r="E45" i="9"/>
  <c r="E68" i="39"/>
  <c r="F46" i="9"/>
  <c r="C22" i="4"/>
  <c r="F45" i="9"/>
  <c r="K38" i="9"/>
  <c r="C14" i="66"/>
  <c r="B2" i="66"/>
  <c r="E46" i="9"/>
  <c r="D21" i="6"/>
  <c r="D20" i="6"/>
  <c r="D22" i="6"/>
  <c r="D9" i="6"/>
  <c r="D25" i="6"/>
  <c r="R25" i="6"/>
  <c r="R12" i="1"/>
  <c r="D26" i="6"/>
  <c r="R26" i="6"/>
  <c r="D23" i="6"/>
  <c r="D24" i="6"/>
  <c r="D5" i="6"/>
  <c r="D19" i="6"/>
  <c r="D28" i="6"/>
  <c r="D29" i="6"/>
  <c r="D8" i="6"/>
  <c r="H23" i="6"/>
  <c r="R23" i="6"/>
  <c r="R10" i="1"/>
  <c r="D11" i="6"/>
  <c r="D14" i="6"/>
  <c r="D6" i="6"/>
  <c r="D13" i="6"/>
  <c r="D15" i="6"/>
  <c r="D10" i="6"/>
  <c r="D12" i="6"/>
  <c r="I19" i="6"/>
  <c r="E4" i="67"/>
  <c r="AA7" i="37"/>
  <c r="R42" i="37"/>
  <c r="S7" i="37"/>
  <c r="H7" i="37"/>
  <c r="C36" i="36"/>
  <c r="C37" i="36"/>
  <c r="B3" i="36"/>
  <c r="B2" i="36"/>
  <c r="AC7" i="37"/>
  <c r="V42" i="37"/>
  <c r="I42" i="37"/>
  <c r="W7" i="37"/>
  <c r="J59" i="34"/>
  <c r="K59" i="34"/>
  <c r="L59" i="34"/>
  <c r="M59" i="34"/>
  <c r="N59" i="34"/>
  <c r="O59" i="34"/>
  <c r="F7" i="34"/>
  <c r="E40" i="36"/>
  <c r="F40" i="36"/>
  <c r="E41" i="36"/>
  <c r="F41" i="36"/>
  <c r="I41" i="36"/>
  <c r="J41" i="36"/>
  <c r="J58" i="33"/>
  <c r="K58" i="33"/>
  <c r="L58" i="33"/>
  <c r="M58" i="33"/>
  <c r="N58" i="33"/>
  <c r="O58" i="33"/>
  <c r="J7" i="34"/>
  <c r="B2" i="46"/>
  <c r="F41" i="73"/>
  <c r="F35" i="73"/>
  <c r="C17" i="72"/>
  <c r="B7" i="67"/>
  <c r="C17" i="73"/>
  <c r="M21" i="73"/>
  <c r="E7" i="67"/>
  <c r="C17" i="15"/>
  <c r="F68" i="73"/>
  <c r="J29" i="73"/>
  <c r="F7" i="33"/>
  <c r="H7" i="34"/>
  <c r="U7" i="34"/>
  <c r="H21" i="6"/>
  <c r="R21" i="6"/>
  <c r="R8" i="1"/>
  <c r="H24" i="6"/>
  <c r="E53" i="39"/>
  <c r="F53" i="39"/>
  <c r="K65" i="40"/>
  <c r="J67" i="40"/>
  <c r="M27" i="6"/>
  <c r="J20" i="73"/>
  <c r="F62" i="73"/>
  <c r="C61" i="73"/>
  <c r="C58" i="73"/>
  <c r="C34" i="73"/>
  <c r="C31" i="73"/>
  <c r="G52" i="21"/>
  <c r="H52" i="21"/>
  <c r="G53" i="21"/>
  <c r="H53" i="21"/>
  <c r="R49" i="21"/>
  <c r="C48" i="21"/>
  <c r="E48" i="21"/>
  <c r="I53" i="21"/>
  <c r="J53" i="21"/>
  <c r="R24" i="6"/>
  <c r="R11" i="1"/>
  <c r="S20" i="6"/>
  <c r="H20" i="6"/>
  <c r="R20" i="6"/>
  <c r="R7" i="1"/>
  <c r="E3" i="67"/>
  <c r="B67" i="39"/>
  <c r="F67" i="39"/>
  <c r="B65" i="39"/>
  <c r="F65" i="39"/>
  <c r="B63" i="39"/>
  <c r="F63" i="39"/>
  <c r="B59" i="39"/>
  <c r="F59" i="39"/>
  <c r="B62" i="39"/>
  <c r="F62" i="39"/>
  <c r="B61" i="39"/>
  <c r="F61" i="39"/>
  <c r="B66" i="39"/>
  <c r="F66" i="39"/>
  <c r="B58" i="39"/>
  <c r="F58" i="39"/>
  <c r="B64" i="39"/>
  <c r="F64" i="39"/>
  <c r="S16" i="1"/>
  <c r="T8" i="1"/>
  <c r="H22" i="6"/>
  <c r="R22" i="6"/>
  <c r="R9" i="1"/>
  <c r="C17" i="12"/>
  <c r="C14" i="12"/>
  <c r="C14" i="43"/>
  <c r="C17" i="43"/>
  <c r="D30" i="6"/>
  <c r="D27" i="6"/>
  <c r="I27" i="6"/>
  <c r="S19" i="6"/>
  <c r="H19" i="6"/>
  <c r="D16" i="6"/>
  <c r="D7" i="66"/>
  <c r="D8" i="66"/>
  <c r="N5" i="54"/>
  <c r="B43" i="63"/>
  <c r="A20" i="64"/>
  <c r="A20" i="51"/>
  <c r="B15" i="63"/>
  <c r="A6" i="51"/>
  <c r="B7" i="63"/>
  <c r="A6" i="64"/>
  <c r="AA7" i="33"/>
  <c r="R48" i="33"/>
  <c r="S7" i="33"/>
  <c r="W7" i="34"/>
  <c r="AC7" i="34"/>
  <c r="V49" i="34"/>
  <c r="I49" i="34"/>
  <c r="J7" i="33"/>
  <c r="I46" i="37"/>
  <c r="J46" i="37"/>
  <c r="H7" i="33"/>
  <c r="S7" i="34"/>
  <c r="AA7" i="34"/>
  <c r="R49" i="34"/>
  <c r="U7" i="37"/>
  <c r="AB7" i="37"/>
  <c r="T42" i="37"/>
  <c r="G42" i="37"/>
  <c r="C49" i="21"/>
  <c r="B3" i="21"/>
  <c r="B2" i="21"/>
  <c r="AB7" i="34"/>
  <c r="T49" i="34"/>
  <c r="G49" i="34"/>
  <c r="R43" i="37"/>
  <c r="E42" i="37"/>
  <c r="B2" i="67"/>
  <c r="D4" i="46"/>
  <c r="B3" i="46"/>
  <c r="B4" i="46"/>
  <c r="M21" i="15"/>
  <c r="F35" i="72"/>
  <c r="F35" i="15"/>
  <c r="M21" i="72"/>
  <c r="E52" i="21"/>
  <c r="F52" i="21"/>
  <c r="S27" i="6"/>
  <c r="L65" i="40"/>
  <c r="K67" i="40"/>
  <c r="E53" i="21"/>
  <c r="F53" i="21"/>
  <c r="C34" i="72"/>
  <c r="C31" i="72"/>
  <c r="F62" i="72"/>
  <c r="C61" i="72"/>
  <c r="C58" i="72"/>
  <c r="J20" i="72"/>
  <c r="J20" i="15"/>
  <c r="C34" i="15"/>
  <c r="F62" i="15"/>
  <c r="C61" i="15"/>
  <c r="C8" i="12"/>
  <c r="C10" i="12"/>
  <c r="R24" i="31"/>
  <c r="F68" i="39"/>
  <c r="B2" i="39"/>
  <c r="B4" i="39"/>
  <c r="C6" i="69"/>
  <c r="D6" i="69"/>
  <c r="T9" i="1"/>
  <c r="T6" i="1"/>
  <c r="T7" i="1"/>
  <c r="T12" i="1"/>
  <c r="T10" i="1"/>
  <c r="T13" i="1"/>
  <c r="T11" i="1"/>
  <c r="C18" i="43"/>
  <c r="C19" i="43"/>
  <c r="C25" i="43"/>
  <c r="C24" i="43"/>
  <c r="C18" i="12"/>
  <c r="D31" i="6"/>
  <c r="I5" i="6"/>
  <c r="H27" i="6"/>
  <c r="R19" i="6"/>
  <c r="AB7" i="33"/>
  <c r="T48" i="33"/>
  <c r="G48" i="33"/>
  <c r="U7" i="33"/>
  <c r="I53" i="34"/>
  <c r="J53" i="34"/>
  <c r="E47" i="37"/>
  <c r="F47" i="37"/>
  <c r="E46" i="37"/>
  <c r="F46" i="37"/>
  <c r="G46" i="37"/>
  <c r="H46" i="37"/>
  <c r="G47" i="37"/>
  <c r="H47" i="37"/>
  <c r="E49" i="34"/>
  <c r="I54" i="34"/>
  <c r="J54" i="34"/>
  <c r="R50" i="34"/>
  <c r="C42" i="37"/>
  <c r="C43" i="37"/>
  <c r="B3" i="37"/>
  <c r="B2" i="37"/>
  <c r="G54" i="34"/>
  <c r="H54" i="34"/>
  <c r="G53" i="34"/>
  <c r="H53" i="34"/>
  <c r="I47" i="37"/>
  <c r="J47" i="37"/>
  <c r="AC7" i="33"/>
  <c r="V48" i="33"/>
  <c r="I48" i="33"/>
  <c r="W7" i="33"/>
  <c r="E48" i="33"/>
  <c r="R49" i="33"/>
  <c r="B3" i="67"/>
  <c r="B4" i="67"/>
  <c r="C14" i="72"/>
  <c r="C14" i="15"/>
  <c r="C19" i="9"/>
  <c r="C14" i="73"/>
  <c r="C21" i="9"/>
  <c r="C16" i="44"/>
  <c r="L67" i="40"/>
  <c r="M65" i="40"/>
  <c r="C18" i="72"/>
  <c r="C15" i="72"/>
  <c r="C18" i="73"/>
  <c r="C15" i="73"/>
  <c r="S24" i="31"/>
  <c r="R26" i="31"/>
  <c r="R25" i="31"/>
  <c r="B5" i="39"/>
  <c r="L43" i="9"/>
  <c r="B3" i="39"/>
  <c r="T16" i="1"/>
  <c r="C18" i="15"/>
  <c r="C15" i="15"/>
  <c r="C20" i="44"/>
  <c r="C17" i="44"/>
  <c r="R27" i="6"/>
  <c r="R6" i="1"/>
  <c r="R16" i="1"/>
  <c r="C22" i="43"/>
  <c r="C21" i="43"/>
  <c r="C28" i="43"/>
  <c r="C30" i="43"/>
  <c r="C32" i="43"/>
  <c r="B2" i="43"/>
  <c r="B4" i="43"/>
  <c r="C23" i="12"/>
  <c r="I6" i="6"/>
  <c r="C49" i="33"/>
  <c r="B3" i="33"/>
  <c r="B2" i="33"/>
  <c r="C48" i="33"/>
  <c r="C49" i="34"/>
  <c r="C50" i="34"/>
  <c r="B3" i="34"/>
  <c r="B2" i="34"/>
  <c r="E52" i="33"/>
  <c r="F52" i="33"/>
  <c r="E53" i="33"/>
  <c r="F53" i="33"/>
  <c r="I52" i="33"/>
  <c r="J52" i="33"/>
  <c r="I53" i="33"/>
  <c r="J53" i="33"/>
  <c r="E54" i="34"/>
  <c r="F54" i="34"/>
  <c r="E53" i="34"/>
  <c r="F53" i="34"/>
  <c r="G52" i="33"/>
  <c r="H52" i="33"/>
  <c r="G53" i="33"/>
  <c r="H53" i="33"/>
  <c r="C20" i="9"/>
  <c r="C19" i="72"/>
  <c r="N65" i="40"/>
  <c r="N67" i="40"/>
  <c r="H9" i="40"/>
  <c r="M67" i="40"/>
  <c r="C19" i="73"/>
  <c r="C20" i="73"/>
  <c r="C26" i="73"/>
  <c r="C20" i="72"/>
  <c r="C26" i="72"/>
  <c r="S25" i="31"/>
  <c r="D10" i="12"/>
  <c r="D8" i="12"/>
  <c r="S26" i="31"/>
  <c r="E10" i="12"/>
  <c r="E8" i="12"/>
  <c r="C19" i="15"/>
  <c r="C20" i="15"/>
  <c r="C26" i="15"/>
  <c r="C21" i="44"/>
  <c r="C22" i="44"/>
  <c r="C25" i="44"/>
  <c r="B3" i="43"/>
  <c r="B5" i="43"/>
  <c r="U9" i="40"/>
  <c r="AB9" i="40"/>
  <c r="T44" i="40"/>
  <c r="G44" i="40"/>
  <c r="F9" i="40"/>
  <c r="J9" i="40"/>
  <c r="C23" i="73"/>
  <c r="C29" i="73"/>
  <c r="C23" i="72"/>
  <c r="C29" i="72"/>
  <c r="S22" i="31"/>
  <c r="B20" i="31"/>
  <c r="C23" i="15"/>
  <c r="C29" i="15"/>
  <c r="Q50" i="15"/>
  <c r="C28" i="44"/>
  <c r="C31" i="44"/>
  <c r="C15" i="44"/>
  <c r="W9" i="40"/>
  <c r="AC9" i="40"/>
  <c r="V44" i="40"/>
  <c r="I44" i="40"/>
  <c r="G48" i="40"/>
  <c r="H48" i="40"/>
  <c r="AA9" i="40"/>
  <c r="R44" i="40"/>
  <c r="S9" i="40"/>
  <c r="C56" i="72"/>
  <c r="C63" i="72"/>
  <c r="J14" i="72"/>
  <c r="C13" i="72"/>
  <c r="J19" i="72"/>
  <c r="J17" i="72"/>
  <c r="C36" i="72"/>
  <c r="Q50" i="72"/>
  <c r="J19" i="73"/>
  <c r="J17" i="73"/>
  <c r="C13" i="73"/>
  <c r="C36" i="73"/>
  <c r="C56" i="73"/>
  <c r="C63" i="73"/>
  <c r="J14" i="73"/>
  <c r="Q50" i="73"/>
  <c r="R22" i="31"/>
  <c r="B21" i="31"/>
  <c r="J14" i="15"/>
  <c r="J22" i="15"/>
  <c r="C13" i="15"/>
  <c r="C37" i="15"/>
  <c r="C56" i="15"/>
  <c r="C63" i="15"/>
  <c r="C36" i="15"/>
  <c r="J19" i="15"/>
  <c r="J17" i="15"/>
  <c r="J59" i="15"/>
  <c r="J60" i="15"/>
  <c r="C33" i="15"/>
  <c r="C31" i="15"/>
  <c r="C35" i="44"/>
  <c r="C33" i="44"/>
  <c r="J21" i="44"/>
  <c r="J19" i="44"/>
  <c r="Q51" i="44"/>
  <c r="C38" i="44"/>
  <c r="J16" i="44"/>
  <c r="J15" i="44"/>
  <c r="J25" i="44"/>
  <c r="J13" i="15"/>
  <c r="J23" i="15"/>
  <c r="Q72" i="44"/>
  <c r="C43" i="44"/>
  <c r="C39" i="44"/>
  <c r="I48" i="40"/>
  <c r="J48" i="40"/>
  <c r="I49" i="40"/>
  <c r="J49" i="40"/>
  <c r="E44" i="40"/>
  <c r="R45" i="40"/>
  <c r="G49" i="40"/>
  <c r="H49" i="40"/>
  <c r="C37" i="73"/>
  <c r="C55" i="73"/>
  <c r="C64" i="73"/>
  <c r="C57" i="73"/>
  <c r="C66" i="73"/>
  <c r="C67" i="73"/>
  <c r="Q71" i="73"/>
  <c r="J35" i="73"/>
  <c r="C55" i="72"/>
  <c r="C64" i="72"/>
  <c r="C57" i="72"/>
  <c r="C66" i="72"/>
  <c r="C67" i="72"/>
  <c r="Q71" i="72"/>
  <c r="C37" i="72"/>
  <c r="C30" i="72"/>
  <c r="C39" i="72"/>
  <c r="J35" i="72"/>
  <c r="J22" i="72"/>
  <c r="J13" i="72"/>
  <c r="J23" i="72"/>
  <c r="J22" i="73"/>
  <c r="J13" i="73"/>
  <c r="J23" i="73"/>
  <c r="C30" i="73"/>
  <c r="C39" i="73"/>
  <c r="C60" i="15"/>
  <c r="C58" i="15"/>
  <c r="Q49" i="15"/>
  <c r="J35" i="15"/>
  <c r="Q71" i="15"/>
  <c r="C55" i="15"/>
  <c r="C64" i="15"/>
  <c r="C30" i="15"/>
  <c r="C39" i="15"/>
  <c r="J24" i="44"/>
  <c r="J18" i="44"/>
  <c r="J27" i="44"/>
  <c r="C32" i="44"/>
  <c r="C42" i="44"/>
  <c r="Q71" i="44"/>
  <c r="Q70" i="44"/>
  <c r="J16" i="15"/>
  <c r="J25" i="15"/>
  <c r="L51" i="73"/>
  <c r="L51" i="15"/>
  <c r="L51" i="72"/>
  <c r="C44" i="40"/>
  <c r="C45" i="40"/>
  <c r="E48" i="40"/>
  <c r="F48" i="40"/>
  <c r="E49" i="40"/>
  <c r="F49" i="40"/>
  <c r="J16" i="73"/>
  <c r="J25" i="73"/>
  <c r="J39" i="73"/>
  <c r="J40" i="73"/>
  <c r="J16" i="72"/>
  <c r="J25" i="72"/>
  <c r="Q68" i="72"/>
  <c r="Q68" i="73"/>
  <c r="C70" i="72"/>
  <c r="Q70" i="72"/>
  <c r="Q69" i="72"/>
  <c r="C40" i="72"/>
  <c r="C46" i="72"/>
  <c r="C40" i="73"/>
  <c r="Q70" i="73"/>
  <c r="Q69" i="73"/>
  <c r="C70" i="73"/>
  <c r="J39" i="72"/>
  <c r="J40" i="72"/>
  <c r="C57" i="15"/>
  <c r="C66" i="15"/>
  <c r="C67" i="15"/>
  <c r="C70" i="15"/>
  <c r="C44" i="44"/>
  <c r="C45" i="44"/>
  <c r="L52" i="44"/>
  <c r="J39" i="15"/>
  <c r="J40" i="15"/>
  <c r="Q68" i="15"/>
  <c r="L57" i="15"/>
  <c r="L60" i="15"/>
  <c r="C40" i="15"/>
  <c r="Q70" i="15"/>
  <c r="Q69" i="15"/>
  <c r="B59" i="40"/>
  <c r="F59" i="40"/>
  <c r="B57" i="40"/>
  <c r="F57" i="40"/>
  <c r="B62" i="40"/>
  <c r="F62" i="40"/>
  <c r="B58" i="40"/>
  <c r="F58" i="40"/>
  <c r="B53" i="40"/>
  <c r="F53" i="40"/>
  <c r="B55" i="40"/>
  <c r="F55" i="40"/>
  <c r="B60" i="40"/>
  <c r="F60" i="40"/>
  <c r="B61" i="40"/>
  <c r="F61" i="40"/>
  <c r="F63" i="40"/>
  <c r="B2" i="40"/>
  <c r="B56" i="40"/>
  <c r="F56" i="40"/>
  <c r="B54" i="40"/>
  <c r="F54" i="40"/>
  <c r="C43" i="73"/>
  <c r="Q48" i="73"/>
  <c r="Q54" i="73"/>
  <c r="Q66" i="73"/>
  <c r="Q76" i="73"/>
  <c r="B2" i="73"/>
  <c r="Q57" i="73"/>
  <c r="Q63" i="73"/>
  <c r="J42" i="73"/>
  <c r="J43" i="73"/>
  <c r="C46" i="73"/>
  <c r="Q66" i="72"/>
  <c r="Q76" i="72"/>
  <c r="B2" i="72"/>
  <c r="C43" i="72"/>
  <c r="Q57" i="72"/>
  <c r="Q63" i="72"/>
  <c r="Q48" i="72"/>
  <c r="Q54" i="72"/>
  <c r="J42" i="72"/>
  <c r="J43" i="72"/>
  <c r="Q67" i="15"/>
  <c r="L46" i="15"/>
  <c r="B2" i="15"/>
  <c r="C46" i="15"/>
  <c r="B2" i="44"/>
  <c r="B5" i="44"/>
  <c r="Q58" i="15"/>
  <c r="Q66" i="15"/>
  <c r="Q48" i="15"/>
  <c r="Q54" i="15"/>
  <c r="J42" i="15"/>
  <c r="J43" i="15"/>
  <c r="Q57" i="15"/>
  <c r="C43" i="15"/>
  <c r="L58" i="44"/>
  <c r="L61" i="44"/>
  <c r="Q69" i="44"/>
  <c r="B3" i="40"/>
  <c r="B4" i="40"/>
  <c r="B5" i="40"/>
  <c r="G10" i="12"/>
  <c r="B3" i="73"/>
  <c r="G8" i="12"/>
  <c r="F10" i="12"/>
  <c r="B3" i="72"/>
  <c r="F8" i="12"/>
  <c r="Q63" i="15"/>
  <c r="B3" i="44"/>
  <c r="B3" i="15"/>
  <c r="H8" i="12"/>
  <c r="H10" i="12"/>
  <c r="Q76" i="15"/>
  <c r="B4" i="44"/>
  <c r="Q68" i="44"/>
  <c r="Q77" i="44"/>
  <c r="Q59" i="44"/>
  <c r="Q64" i="44"/>
  <c r="C6" i="12"/>
  <c r="C24" i="12"/>
  <c r="C29" i="12"/>
  <c r="C28" i="12"/>
  <c r="C26" i="12"/>
  <c r="C35" i="12"/>
  <c r="C33" i="12"/>
  <c r="C31" i="12"/>
  <c r="C30" i="12"/>
  <c r="C36" i="12"/>
  <c r="B2" i="12"/>
  <c r="B4" i="12"/>
  <c r="D21" i="9"/>
  <c r="D19" i="9"/>
  <c r="B5" i="12"/>
  <c r="D22" i="9"/>
  <c r="G19" i="9"/>
  <c r="L44" i="9"/>
  <c r="B3" i="12"/>
  <c r="G21" i="9"/>
  <c r="D20" i="9"/>
  <c r="N43" i="9"/>
  <c r="C8" i="69"/>
  <c r="D8" i="69"/>
  <c r="C32" i="9"/>
  <c r="C33" i="9"/>
  <c r="G22" i="9"/>
  <c r="G20" i="9"/>
  <c r="C42" i="9"/>
  <c r="C44" i="9"/>
  <c r="C34" i="9"/>
  <c r="E42" i="9"/>
  <c r="P5" i="54"/>
  <c r="B46" i="63"/>
  <c r="O43" i="9"/>
  <c r="C35" i="9"/>
  <c r="F42" i="9"/>
  <c r="O38" i="9"/>
  <c r="K25" i="9"/>
  <c r="D42" i="9"/>
  <c r="Q5" i="54"/>
  <c r="B47" i="63"/>
  <c r="N38" i="9"/>
  <c r="K28" i="9"/>
  <c r="K26" i="9"/>
  <c r="R5" i="54"/>
  <c r="B48" i="63"/>
  <c r="N68" i="9"/>
  <c r="D14" i="66"/>
  <c r="B5" i="66"/>
  <c r="M38" i="9"/>
  <c r="K27" i="9"/>
  <c r="D63" i="9"/>
  <c r="D70" i="9"/>
  <c r="N69" i="9"/>
  <c r="E44" i="9"/>
  <c r="D44" i="9"/>
  <c r="G14" i="66"/>
  <c r="B6" i="66"/>
  <c r="F44" i="9"/>
  <c r="O39" i="9"/>
  <c r="D77" i="9"/>
  <c r="N75" i="9"/>
  <c r="E14" i="66"/>
  <c r="F14" i="66"/>
  <c r="C103" i="9"/>
  <c r="C111" i="9"/>
  <c r="C104" i="9"/>
  <c r="C90" i="9"/>
  <c r="C82" i="9"/>
  <c r="C81" i="9"/>
  <c r="C85" i="9"/>
  <c r="C86" i="9"/>
  <c r="D72" i="9"/>
  <c r="C96" i="9"/>
  <c r="C91" i="9"/>
  <c r="D71" i="9"/>
  <c r="D66" i="9"/>
  <c r="N72" i="9"/>
  <c r="C5" i="66"/>
  <c r="D5" i="66"/>
  <c r="R6" i="54"/>
  <c r="B50" i="63"/>
  <c r="K29" i="9"/>
  <c r="K30" i="9"/>
  <c r="C6" i="66"/>
  <c r="D6" i="66"/>
  <c r="M86" i="9"/>
  <c r="N86" i="9"/>
  <c r="M84" i="9"/>
  <c r="N84" i="9"/>
  <c r="M87" i="9"/>
  <c r="N87" i="9"/>
  <c r="M83" i="9"/>
  <c r="N83" i="9"/>
  <c r="M88" i="9"/>
  <c r="N88" i="9"/>
  <c r="M85" i="9"/>
  <c r="N85" i="9"/>
  <c r="N89" i="9"/>
  <c r="O89" i="9"/>
  <c r="C113" i="9"/>
  <c r="C114" i="9"/>
  <c r="E114" i="9"/>
  <c r="E115" i="9"/>
  <c r="C97" i="9"/>
  <c r="C98" i="9"/>
  <c r="E98" i="9"/>
  <c r="E99" i="9"/>
  <c r="C115" i="9"/>
  <c r="D76" i="9"/>
  <c r="D74" i="9"/>
  <c r="N74" i="9"/>
  <c r="O77" i="9"/>
  <c r="O78" i="9"/>
  <c r="C99" i="9"/>
  <c r="O79" i="9"/>
  <c r="O81" i="9"/>
  <c r="Q77"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52" authorId="0">
      <text>
        <r>
          <rPr>
            <b/>
            <sz val="9"/>
            <rFont val="宋体"/>
            <family val="3"/>
            <charset val="134"/>
          </rPr>
          <t>user:</t>
        </r>
        <r>
          <rPr>
            <sz val="9"/>
            <rFont val="宋体"/>
            <family val="3"/>
            <charset val="134"/>
          </rPr>
          <t xml:space="preserve">
样板房</t>
        </r>
      </text>
    </comment>
    <comment ref="B63" authorId="0">
      <text>
        <r>
          <rPr>
            <b/>
            <sz val="9"/>
            <rFont val="宋体"/>
            <family val="3"/>
            <charset val="134"/>
          </rPr>
          <t>user:</t>
        </r>
        <r>
          <rPr>
            <sz val="9"/>
            <rFont val="宋体"/>
            <family val="3"/>
            <charset val="134"/>
          </rPr>
          <t xml:space="preserve">
样板房</t>
        </r>
      </text>
    </comment>
    <comment ref="E127" authorId="0">
      <text>
        <r>
          <rPr>
            <b/>
            <sz val="9"/>
            <rFont val="宋体"/>
            <family val="3"/>
            <charset val="134"/>
          </rPr>
          <t>user:</t>
        </r>
        <r>
          <rPr>
            <sz val="9"/>
            <rFont val="宋体"/>
            <family val="3"/>
            <charset val="134"/>
          </rPr>
          <t xml:space="preserve">
实际2020-3-23</t>
        </r>
      </text>
    </comment>
    <comment ref="D147" authorId="0">
      <text>
        <r>
          <rPr>
            <b/>
            <sz val="9"/>
            <rFont val="宋体"/>
            <family val="3"/>
            <charset val="134"/>
          </rPr>
          <t>user:</t>
        </r>
        <r>
          <rPr>
            <sz val="9"/>
            <rFont val="宋体"/>
            <family val="3"/>
            <charset val="134"/>
          </rPr>
          <t xml:space="preserve">
挞定
</t>
        </r>
      </text>
    </comment>
    <comment ref="E158" authorId="0">
      <text>
        <r>
          <rPr>
            <b/>
            <sz val="9"/>
            <rFont val="宋体"/>
            <family val="3"/>
            <charset val="134"/>
          </rPr>
          <t>user:</t>
        </r>
        <r>
          <rPr>
            <sz val="9"/>
            <rFont val="宋体"/>
            <family val="3"/>
            <charset val="134"/>
          </rPr>
          <t xml:space="preserve">
实际2020-3-21</t>
        </r>
      </text>
    </comment>
    <comment ref="D213" authorId="0">
      <text>
        <r>
          <rPr>
            <b/>
            <sz val="9"/>
            <rFont val="宋体"/>
            <family val="3"/>
            <charset val="134"/>
          </rPr>
          <t>user:</t>
        </r>
        <r>
          <rPr>
            <sz val="9"/>
            <rFont val="宋体"/>
            <family val="3"/>
            <charset val="134"/>
          </rPr>
          <t xml:space="preserve">
挞定</t>
        </r>
      </text>
    </comment>
    <comment ref="D221" authorId="0">
      <text>
        <r>
          <rPr>
            <b/>
            <sz val="9"/>
            <rFont val="宋体"/>
            <family val="3"/>
            <charset val="134"/>
          </rPr>
          <t>user:</t>
        </r>
        <r>
          <rPr>
            <sz val="9"/>
            <rFont val="宋体"/>
            <family val="3"/>
            <charset val="134"/>
          </rPr>
          <t xml:space="preserve">
挞定</t>
        </r>
      </text>
    </comment>
    <comment ref="B244" authorId="0">
      <text>
        <r>
          <rPr>
            <b/>
            <sz val="9"/>
            <rFont val="宋体"/>
            <family val="3"/>
            <charset val="134"/>
          </rPr>
          <t>user:</t>
        </r>
        <r>
          <rPr>
            <sz val="9"/>
            <rFont val="宋体"/>
            <family val="3"/>
            <charset val="134"/>
          </rPr>
          <t xml:space="preserve">
挞定
原客户陈泳璇</t>
        </r>
      </text>
    </comment>
    <comment ref="B245" authorId="0">
      <text>
        <r>
          <rPr>
            <b/>
            <sz val="9"/>
            <rFont val="宋体"/>
            <family val="3"/>
            <charset val="134"/>
          </rPr>
          <t>user:</t>
        </r>
        <r>
          <rPr>
            <sz val="9"/>
            <rFont val="宋体"/>
            <family val="3"/>
            <charset val="134"/>
          </rPr>
          <t xml:space="preserve">
黄永志、汪玲</t>
        </r>
      </text>
    </comment>
    <comment ref="D372" authorId="0">
      <text>
        <r>
          <rPr>
            <b/>
            <sz val="9"/>
            <rFont val="宋体"/>
            <family val="3"/>
            <charset val="134"/>
          </rPr>
          <t>user:</t>
        </r>
        <r>
          <rPr>
            <sz val="9"/>
            <rFont val="宋体"/>
            <family val="3"/>
            <charset val="134"/>
          </rPr>
          <t xml:space="preserve">
原柯彦伶</t>
        </r>
      </text>
    </comment>
  </commentList>
</comments>
</file>

<file path=xl/comments21.xml><?xml version="1.0" encoding="utf-8"?>
<comments xmlns="http://schemas.openxmlformats.org/spreadsheetml/2006/main">
  <authors>
    <author>user</author>
  </authors>
  <commentList>
    <comment ref="E124" authorId="0">
      <text>
        <r>
          <rPr>
            <b/>
            <sz val="9"/>
            <rFont val="宋体"/>
            <family val="3"/>
            <charset val="134"/>
          </rPr>
          <t>user:</t>
        </r>
        <r>
          <rPr>
            <sz val="9"/>
            <rFont val="宋体"/>
            <family val="3"/>
            <charset val="134"/>
          </rPr>
          <t xml:space="preserve">
实际2020-3-23</t>
        </r>
      </text>
    </comment>
    <comment ref="D144" authorId="0">
      <text>
        <r>
          <rPr>
            <b/>
            <sz val="9"/>
            <rFont val="宋体"/>
            <family val="3"/>
            <charset val="134"/>
          </rPr>
          <t>user:</t>
        </r>
        <r>
          <rPr>
            <sz val="9"/>
            <rFont val="宋体"/>
            <family val="3"/>
            <charset val="134"/>
          </rPr>
          <t xml:space="preserve">
挞定
</t>
        </r>
      </text>
    </comment>
    <comment ref="E155" authorId="0">
      <text>
        <r>
          <rPr>
            <b/>
            <sz val="9"/>
            <rFont val="宋体"/>
            <family val="3"/>
            <charset val="134"/>
          </rPr>
          <t>user:</t>
        </r>
        <r>
          <rPr>
            <sz val="9"/>
            <rFont val="宋体"/>
            <family val="3"/>
            <charset val="134"/>
          </rPr>
          <t xml:space="preserve">
实际2020-3-21</t>
        </r>
      </text>
    </comment>
    <comment ref="D210" authorId="0">
      <text>
        <r>
          <rPr>
            <b/>
            <sz val="9"/>
            <rFont val="宋体"/>
            <family val="3"/>
            <charset val="134"/>
          </rPr>
          <t>user:</t>
        </r>
        <r>
          <rPr>
            <sz val="9"/>
            <rFont val="宋体"/>
            <family val="3"/>
            <charset val="134"/>
          </rPr>
          <t xml:space="preserve">
挞定</t>
        </r>
      </text>
    </comment>
    <comment ref="D218" authorId="0">
      <text>
        <r>
          <rPr>
            <b/>
            <sz val="9"/>
            <rFont val="宋体"/>
            <family val="3"/>
            <charset val="134"/>
          </rPr>
          <t>user:</t>
        </r>
        <r>
          <rPr>
            <sz val="9"/>
            <rFont val="宋体"/>
            <family val="3"/>
            <charset val="134"/>
          </rPr>
          <t xml:space="preserve">
挞定</t>
        </r>
      </text>
    </comment>
    <comment ref="B241" authorId="0">
      <text>
        <r>
          <rPr>
            <b/>
            <sz val="9"/>
            <rFont val="宋体"/>
            <family val="3"/>
            <charset val="134"/>
          </rPr>
          <t>user:</t>
        </r>
        <r>
          <rPr>
            <sz val="9"/>
            <rFont val="宋体"/>
            <family val="3"/>
            <charset val="134"/>
          </rPr>
          <t xml:space="preserve">
挞定
原客户陈泳璇</t>
        </r>
      </text>
    </comment>
    <comment ref="B242" authorId="0">
      <text>
        <r>
          <rPr>
            <b/>
            <sz val="9"/>
            <rFont val="宋体"/>
            <family val="3"/>
            <charset val="134"/>
          </rPr>
          <t>user:</t>
        </r>
        <r>
          <rPr>
            <sz val="9"/>
            <rFont val="宋体"/>
            <family val="3"/>
            <charset val="134"/>
          </rPr>
          <t xml:space="preserve">
黄永志、汪玲</t>
        </r>
      </text>
    </comment>
    <comment ref="D282" authorId="0">
      <text>
        <r>
          <rPr>
            <b/>
            <sz val="9"/>
            <rFont val="宋体"/>
            <family val="3"/>
            <charset val="134"/>
          </rPr>
          <t>user:</t>
        </r>
        <r>
          <rPr>
            <sz val="9"/>
            <rFont val="宋体"/>
            <family val="3"/>
            <charset val="134"/>
          </rPr>
          <t xml:space="preserve">
原柯彦伶</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<sst xmlns="http://schemas.openxmlformats.org/spreadsheetml/2006/main" count="16317" uniqueCount="4942">
  <si>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</si>
  <si>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</si>
  <si>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</si>
  <si>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</si>
  <si>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</si>
  <si>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</si>
  <si>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</si>
  <si>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</si>
  <si>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</si>
  <si>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</si>
  <si>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</si>
  <si>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</si>
  <si>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</si>
  <si>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</si>
  <si>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</si>
  <si>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</si>
  <si>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</si>
  <si>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</si>
  <si>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</si>
  <si>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</si>
  <si>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</si>
  <si>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</si>
  <si>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</si>
  <si>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</si>
  <si>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</si>
  <si>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</si>
  <si>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</si>
  <si>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</si>
  <si>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</si>
  <si>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</si>
  <si>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</si>
  <si>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</si>
  <si>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</si>
  <si>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</si>
  <si>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</si>
  <si>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</si>
  <si>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</si>
  <si>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</si>
  <si>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</si>
  <si>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</si>
  <si>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</si>
  <si>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</si>
  <si>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</si>
  <si>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</si>
  <si>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</si>
  <si>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</si>
  <si>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</si>
  <si>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</si>
  <si>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</si>
  <si>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</si>
  <si>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</si>
  <si>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</si>
  <si>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</si>
  <si>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</si>
  <si>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</si>
  <si>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</si>
  <si>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</si>
  <si>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</si>
  <si>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</si>
  <si>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</si>
  <si>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</si>
  <si>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</si>
  <si>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</si>
  <si>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</si>
  <si>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</si>
  <si>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</si>
  <si>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</si>
  <si>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</si>
  <si>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</si>
  <si>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</si>
  <si>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</si>
  <si>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</si>
  <si>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</si>
  <si>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</si>
  <si>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</si>
  <si>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</si>
  <si>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</si>
  <si>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</si>
  <si>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</si>
  <si>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</si>
  <si>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</si>
  <si>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</si>
  <si>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</si>
  <si>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</si>
  <si>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</si>
  <si>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</si>
  <si>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</si>
  <si>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</si>
  <si>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</si>
  <si>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</si>
  <si>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</si>
  <si>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</si>
  <si>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</si>
  <si>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</si>
  <si>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</si>
  <si>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</si>
  <si>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</si>
  <si>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</si>
  <si>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</si>
  <si>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</si>
  <si>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</si>
  <si>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</si>
  <si>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</si>
  <si>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</si>
  <si>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</si>
  <si>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</si>
  <si>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</si>
  <si>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</si>
  <si>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</si>
  <si>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</si>
  <si>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</si>
  <si>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</si>
  <si>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</si>
  <si>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</si>
  <si>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</si>
  <si>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</si>
  <si>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</si>
  <si>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</si>
  <si>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</si>
  <si>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</si>
  <si>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</si>
  <si>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</si>
  <si>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</si>
  <si>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</si>
  <si>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</si>
  <si>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</si>
  <si>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</si>
  <si>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</si>
  <si>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</si>
  <si>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</si>
  <si>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</si>
  <si>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</si>
  <si>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</si>
  <si>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</si>
  <si>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</si>
  <si>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</si>
  <si>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</si>
  <si>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</si>
  <si>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</si>
  <si>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</si>
  <si>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</si>
  <si>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</si>
  <si>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</si>
  <si>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</si>
  <si>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</si>
  <si>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</si>
  <si>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</si>
  <si>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</si>
  <si>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</si>
  <si>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</si>
  <si>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</si>
  <si>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</si>
  <si>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</si>
  <si>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</si>
  <si>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</si>
  <si>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</si>
  <si>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</si>
  <si>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</si>
  <si>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</si>
  <si>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</si>
  <si>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</si>
  <si>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</si>
  <si>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</si>
  <si>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</si>
  <si>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</si>
  <si>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</si>
  <si>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</si>
  <si>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</si>
  <si>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</si>
  <si>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</si>
  <si>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</si>
  <si>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</si>
  <si>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</si>
  <si>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</si>
  <si>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</si>
  <si>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</si>
  <si>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</si>
  <si>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</si>
  <si>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</si>
  <si>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</si>
  <si>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</si>
  <si>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</si>
  <si>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</si>
  <si>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</si>
  <si>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</si>
  <si>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</si>
  <si>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</si>
  <si>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</si>
  <si>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</si>
  <si>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</si>
  <si>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</si>
  <si>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</si>
  <si>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</si>
  <si>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</si>
  <si>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</si>
  <si>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</si>
  <si>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</si>
  <si>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</si>
  <si>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</si>
  <si>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</si>
  <si>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</si>
  <si>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</si>
  <si>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</si>
  <si>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</si>
  <si>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</si>
  <si>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</si>
  <si>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</si>
  <si>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</si>
  <si>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</si>
  <si>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</si>
  <si>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</si>
  <si>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</si>
  <si>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</si>
  <si>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</si>
  <si>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</si>
  <si>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</si>
  <si>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</si>
  <si>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</si>
  <si>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</si>
  <si>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</si>
  <si>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</si>
  <si>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</si>
  <si>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</si>
  <si>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</si>
  <si>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</si>
  <si>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</si>
  <si>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</si>
  <si>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</si>
  <si>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</si>
  <si>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</si>
  <si>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</si>
  <si>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</si>
  <si>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</si>
  <si>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</si>
  <si>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</si>
  <si>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</si>
  <si>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</si>
  <si>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</si>
  <si>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</si>
  <si>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</si>
  <si>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</si>
  <si>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</si>
  <si>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</si>
  <si>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</si>
  <si>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</si>
  <si>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</si>
  <si>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</si>
  <si>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</si>
  <si>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</si>
  <si>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</si>
  <si>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</si>
  <si>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</si>
  <si>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</si>
  <si>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</si>
  <si>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</si>
  <si>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</si>
  <si>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</si>
  <si>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</si>
  <si>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</si>
  <si>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</si>
  <si>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</si>
  <si>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</si>
  <si>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</si>
  <si>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</si>
  <si>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</si>
  <si>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</si>
  <si>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</si>
  <si>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</si>
  <si>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</si>
  <si>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</si>
  <si>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</si>
  <si>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</si>
  <si>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</si>
  <si>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</si>
  <si>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</si>
  <si>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</si>
  <si>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</si>
  <si>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</si>
  <si>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</si>
  <si>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</si>
  <si>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</si>
  <si>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</si>
  <si>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</si>
  <si>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</si>
  <si>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</si>
  <si>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</si>
  <si>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</si>
  <si>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</si>
  <si>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</si>
  <si>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</si>
  <si>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</si>
  <si>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</si>
  <si>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</si>
  <si>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</si>
  <si>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</si>
  <si>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</si>
  <si>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</si>
  <si>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</si>
  <si>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</si>
  <si>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</si>
  <si>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</si>
  <si>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</si>
  <si>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</si>
  <si>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</si>
  <si>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</si>
  <si>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</si>
  <si>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</si>
  <si>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</si>
  <si>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</si>
  <si>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</si>
  <si>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</si>
  <si>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</si>
  <si>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</si>
  <si>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</si>
  <si>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</si>
  <si>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</si>
  <si>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</si>
  <si>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</si>
  <si>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</si>
  <si>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</si>
  <si>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</si>
  <si>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</si>
  <si>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</si>
  <si>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</si>
  <si>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</si>
  <si>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</si>
  <si>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</si>
  <si>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</si>
  <si>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</si>
  <si>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</si>
  <si>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</si>
  <si>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</si>
  <si>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</si>
  <si>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</si>
  <si>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</si>
  <si>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</si>
  <si>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</si>
  <si>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</si>
  <si>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</si>
  <si>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</si>
  <si>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</si>
  <si>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</si>
  <si>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</si>
  <si>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</si>
  <si>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</si>
  <si>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</si>
  <si>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</si>
  <si>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</si>
  <si>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</si>
  <si>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</si>
  <si>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</si>
  <si>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</si>
  <si>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</si>
  <si>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</si>
  <si>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</si>
  <si>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</si>
  <si>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</si>
  <si>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</si>
  <si>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</si>
  <si>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</si>
  <si>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</si>
  <si>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</si>
  <si>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</si>
  <si>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</si>
  <si>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</si>
  <si>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</si>
  <si>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</si>
  <si>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</si>
  <si>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</si>
  <si>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</si>
  <si>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</si>
  <si>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</si>
  <si>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</si>
  <si>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</si>
  <si>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</si>
  <si>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</si>
  <si>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</si>
  <si>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</si>
  <si>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</si>
  <si>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</si>
  <si>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</si>
  <si>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</si>
  <si>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</si>
  <si>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</si>
  <si>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</si>
  <si>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</si>
  <si>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</si>
  <si>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</si>
  <si>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</si>
  <si>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</si>
  <si>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</si>
  <si>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</si>
  <si>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</si>
  <si>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</si>
  <si>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</si>
  <si>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</si>
  <si>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</si>
  <si>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</si>
  <si>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</si>
  <si>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</si>
  <si>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</si>
  <si>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</si>
  <si>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</si>
  <si>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</si>
  <si>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</si>
  <si>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</si>
  <si>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</si>
  <si>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</si>
  <si>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</si>
  <si>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</si>
  <si>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</si>
  <si>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</si>
  <si>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</si>
  <si>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</si>
  <si>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</si>
  <si>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</si>
  <si>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</si>
  <si>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</si>
  <si>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</si>
  <si>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</si>
  <si>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</si>
  <si>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</si>
  <si>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</si>
  <si>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</si>
  <si>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</si>
  <si>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</si>
  <si>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</si>
  <si>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</si>
  <si>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</si>
  <si>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</si>
  <si>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</si>
  <si>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</si>
  <si>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</si>
  <si>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</si>
  <si>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</si>
  <si>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</si>
  <si>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</si>
  <si>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</si>
  <si>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</si>
  <si>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</si>
  <si>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</si>
  <si>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</si>
  <si>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</si>
  <si>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</si>
  <si>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</si>
  <si>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</si>
  <si>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</si>
  <si>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</si>
  <si>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</si>
  <si>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</si>
  <si>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</si>
  <si>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</si>
  <si>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</si>
  <si>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</si>
  <si>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</si>
  <si>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</si>
  <si>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</si>
  <si>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</si>
  <si>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</si>
  <si>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</si>
  <si>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</si>
  <si>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</si>
  <si>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</si>
  <si>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</si>
  <si>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</si>
  <si>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</si>
  <si>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</si>
  <si>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</si>
  <si>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</si>
  <si>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</si>
  <si>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</si>
  <si>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</si>
  <si>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</si>
  <si>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</si>
  <si>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</si>
  <si>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</si>
  <si>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</si>
  <si>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</si>
  <si>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</si>
  <si>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</si>
  <si>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</si>
  <si>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</si>
  <si>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</si>
  <si>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</si>
  <si>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</si>
  <si>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</si>
  <si>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</si>
  <si>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</si>
  <si>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</si>
  <si>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</si>
  <si>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</si>
  <si>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</si>
  <si>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</si>
  <si>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</si>
  <si>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</si>
  <si>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</si>
  <si>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</si>
  <si>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</si>
  <si>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</si>
  <si>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</si>
  <si>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</si>
  <si>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</si>
  <si>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</si>
  <si>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</si>
  <si>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</si>
  <si>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</si>
  <si>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</si>
  <si>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</si>
  <si>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</si>
  <si>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</si>
  <si>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</si>
  <si>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</si>
  <si>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</si>
  <si>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</si>
  <si>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</si>
  <si>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</si>
  <si>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</si>
  <si>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</si>
  <si>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</si>
  <si>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</si>
  <si>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</si>
  <si>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</si>
  <si>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</si>
  <si>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</si>
  <si>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</si>
  <si>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</si>
  <si>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</si>
  <si>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</si>
  <si>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</si>
  <si>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</si>
  <si>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</si>
  <si>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</si>
  <si>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</si>
  <si>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</si>
  <si>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</si>
  <si>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</si>
  <si>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</si>
  <si>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</si>
  <si>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</si>
  <si>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</si>
  <si>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</si>
  <si>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</si>
  <si>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</si>
  <si>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</si>
  <si>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</si>
  <si>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</si>
  <si>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</si>
  <si>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</si>
  <si>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</si>
  <si>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</si>
  <si>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</si>
  <si>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</si>
  <si>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</si>
  <si>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</si>
  <si>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</si>
  <si>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</si>
  <si>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</si>
  <si>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</si>
  <si>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</si>
  <si>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</si>
  <si>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</si>
  <si>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</si>
  <si>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</si>
  <si>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</si>
  <si>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</si>
  <si>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</si>
  <si>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</si>
  <si>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</si>
  <si>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</si>
  <si>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</si>
  <si>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</si>
  <si>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</si>
  <si>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</si>
  <si>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</si>
  <si>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</si>
  <si>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</si>
  <si>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</si>
  <si>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</si>
  <si>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</si>
  <si>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</si>
  <si>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</si>
  <si>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</si>
  <si>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</si>
  <si>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</si>
  <si>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</si>
  <si>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</si>
  <si>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</si>
  <si>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</si>
  <si>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</si>
  <si>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</si>
  <si>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</si>
  <si>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</si>
  <si>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</si>
  <si>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</si>
  <si>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</si>
  <si>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</si>
  <si>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</si>
  <si>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</si>
  <si>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</si>
  <si>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</si>
  <si>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</si>
  <si>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</si>
  <si>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</si>
  <si>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</si>
  <si>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</si>
  <si>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</si>
  <si>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</si>
  <si>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</si>
  <si>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</si>
  <si>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</si>
  <si>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</si>
  <si>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</si>
  <si>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</si>
  <si>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</si>
  <si>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</si>
  <si>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</si>
  <si>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</si>
  <si>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</si>
  <si>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</si>
  <si>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</si>
  <si>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</si>
  <si>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</si>
  <si>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</si>
  <si>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</si>
  <si>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</si>
  <si>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</si>
  <si>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</si>
  <si>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</si>
  <si>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</si>
  <si>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</si>
  <si>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</si>
  <si>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</si>
  <si>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</si>
  <si>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</si>
  <si>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</si>
  <si>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</si>
  <si>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</si>
  <si>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</si>
  <si>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</si>
  <si>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</si>
  <si>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</si>
  <si>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</si>
  <si>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</si>
  <si>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</si>
  <si>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</si>
  <si>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</si>
  <si>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</si>
  <si>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</si>
  <si>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</si>
  <si>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</si>
  <si>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</si>
  <si>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</si>
  <si>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</si>
  <si>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</si>
  <si>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</si>
  <si>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</si>
  <si>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</si>
  <si>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</si>
  <si>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</si>
  <si>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</si>
  <si>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</si>
  <si>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</si>
  <si>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</si>
  <si>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</si>
  <si>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</si>
  <si>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</si>
  <si>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</si>
  <si>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</si>
  <si>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</si>
  <si>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</si>
  <si>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</si>
  <si>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</si>
  <si>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</si>
  <si>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</si>
  <si>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</si>
  <si>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</si>
  <si>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</si>
  <si>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</si>
  <si>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</si>
  <si>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</si>
  <si>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</si>
  <si>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</si>
  <si>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</si>
  <si>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</si>
  <si>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</si>
  <si>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</si>
  <si>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</si>
  <si>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</si>
  <si>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</si>
  <si>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</si>
  <si>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</si>
  <si>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</si>
  <si>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</si>
  <si>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</si>
  <si>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</si>
  <si>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</si>
  <si>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</si>
  <si>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</si>
  <si>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</si>
  <si>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</si>
  <si>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</si>
  <si>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</si>
  <si>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</si>
  <si>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</si>
  <si>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</si>
  <si>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</si>
  <si>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</si>
  <si>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</si>
  <si>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</si>
  <si>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</si>
  <si>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</si>
  <si>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</si>
  <si>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</si>
  <si>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</si>
  <si>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</si>
  <si>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</si>
  <si>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</si>
  <si>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</si>
  <si>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</si>
  <si>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</si>
  <si>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</si>
  <si>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</si>
  <si>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</si>
  <si>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</si>
  <si>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</si>
  <si>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</si>
  <si>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</si>
  <si>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</si>
  <si>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</si>
  <si>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</si>
  <si>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</si>
  <si>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</si>
  <si>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</si>
  <si>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</si>
  <si>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</si>
  <si>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</si>
  <si>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</si>
  <si>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</si>
  <si>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</si>
  <si>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</si>
  <si>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</si>
  <si>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</si>
  <si>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</si>
  <si>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</si>
  <si>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</si>
  <si>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</si>
  <si>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</si>
  <si>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</si>
  <si>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</si>
  <si>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</si>
  <si>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</si>
  <si>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</si>
  <si>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</si>
  <si>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</si>
  <si>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</si>
  <si>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</si>
  <si>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</si>
  <si>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</si>
  <si>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</si>
  <si>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</si>
  <si>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</si>
  <si>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</si>
  <si>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</si>
  <si>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</si>
  <si>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</si>
  <si>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</si>
  <si>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</si>
  <si>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</si>
  <si>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</si>
  <si>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</si>
  <si>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</si>
  <si>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</si>
  <si>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</si>
  <si>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</si>
  <si>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</si>
  <si>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</si>
  <si>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</si>
  <si>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</si>
  <si>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</si>
  <si>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</si>
  <si>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</si>
  <si>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</si>
  <si>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</si>
  <si>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</si>
  <si>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</si>
  <si>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</si>
  <si>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</si>
  <si>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</si>
  <si>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</si>
  <si>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</si>
  <si>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</si>
  <si>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</si>
  <si>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</si>
  <si>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</si>
  <si>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</si>
  <si>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</si>
  <si>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</si>
  <si>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</si>
  <si>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</si>
  <si>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</si>
  <si>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</si>
  <si>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</si>
  <si>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</si>
  <si>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</si>
  <si>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</si>
  <si>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</si>
  <si>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</si>
  <si>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</si>
  <si>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</si>
  <si>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</si>
  <si>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</si>
  <si>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</si>
  <si>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</si>
  <si>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</si>
  <si>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</si>
  <si>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</si>
  <si>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</si>
  <si>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</si>
  <si>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</si>
  <si>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</si>
  <si>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</si>
  <si>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</si>
  <si>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</si>
  <si>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</si>
  <si>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</si>
  <si>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</si>
  <si>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</si>
  <si>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</si>
  <si>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</si>
  <si>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</si>
  <si>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</si>
  <si>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</si>
  <si>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</si>
  <si>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</si>
  <si>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</si>
  <si>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</si>
  <si>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</si>
  <si>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</si>
  <si>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</si>
  <si>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</si>
  <si>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</si>
  <si>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</si>
  <si>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</si>
  <si>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</si>
  <si>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</si>
  <si>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</si>
  <si>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</si>
  <si>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</si>
  <si>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</si>
  <si>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</si>
  <si>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</si>
  <si>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</si>
  <si>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</si>
  <si>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</si>
  <si>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</si>
  <si>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</si>
  <si>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</si>
  <si>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</si>
  <si>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</si>
  <si>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</si>
  <si>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</si>
  <si>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</si>
  <si>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</si>
  <si>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</si>
  <si>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</si>
  <si>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</si>
  <si>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</si>
  <si>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</si>
  <si>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</si>
  <si>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</si>
  <si>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</si>
  <si>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</si>
  <si>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</si>
  <si>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</si>
  <si>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</si>
  <si>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</si>
  <si>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</si>
  <si>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</si>
  <si>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</si>
  <si>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</si>
  <si>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</si>
  <si>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</si>
  <si>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</si>
  <si>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</si>
  <si>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</si>
  <si>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</si>
  <si>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</si>
  <si>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</si>
  <si>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</si>
  <si>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</si>
  <si>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</si>
  <si>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</si>
  <si>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</si>
  <si>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</si>
  <si>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</si>
  <si>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</si>
  <si>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</si>
  <si>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</si>
  <si>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</si>
  <si>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</si>
  <si>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</si>
  <si>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</si>
  <si>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</si>
  <si>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</si>
  <si>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</si>
  <si>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</si>
  <si>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</si>
  <si>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</si>
  <si>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</si>
  <si>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</si>
  <si>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</si>
  <si>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</si>
  <si>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</si>
  <si>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</si>
  <si>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</si>
  <si>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</si>
  <si>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</si>
  <si>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</si>
  <si>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</si>
  <si>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</si>
  <si>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</si>
  <si>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</si>
  <si>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</si>
  <si>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</si>
  <si>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</si>
  <si>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</si>
  <si>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</si>
  <si>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</si>
  <si>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</si>
  <si>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</si>
  <si>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</si>
  <si>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</si>
  <si>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</si>
  <si>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</si>
  <si>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</si>
  <si>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</si>
  <si>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</si>
  <si>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</si>
  <si>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</si>
  <si>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</si>
  <si>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</si>
  <si>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</si>
  <si>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</si>
  <si>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</si>
  <si>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</si>
  <si>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</si>
  <si>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</si>
  <si>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</si>
  <si>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</si>
  <si>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</si>
  <si>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</si>
  <si>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</si>
  <si>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</si>
  <si>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</si>
  <si>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</si>
  <si>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</si>
  <si>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</si>
  <si>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</si>
  <si>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</si>
  <si>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</si>
  <si>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</si>
  <si>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</si>
  <si>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</si>
  <si>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</si>
  <si>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</si>
  <si>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</si>
  <si>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</si>
  <si>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</si>
  <si>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</si>
  <si>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</si>
  <si>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</si>
  <si>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</si>
  <si>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</si>
  <si>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</si>
  <si>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</si>
  <si>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</si>
  <si>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</si>
  <si>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</si>
  <si>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</si>
  <si>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</si>
  <si>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</si>
  <si>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</si>
  <si>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</si>
  <si>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</si>
  <si>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</si>
  <si>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</si>
  <si>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</si>
  <si>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</si>
  <si>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</si>
  <si>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</si>
  <si>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</si>
  <si>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</si>
  <si>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</si>
  <si>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</si>
  <si>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</si>
  <si>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</si>
  <si>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</si>
  <si>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</si>
  <si>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</si>
  <si>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</si>
  <si>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</si>
  <si>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</si>
  <si>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</si>
  <si>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</si>
  <si>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</si>
  <si>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</si>
  <si>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</si>
  <si>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</si>
  <si>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</si>
  <si>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</si>
  <si>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</si>
  <si>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</si>
  <si>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</si>
  <si>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</si>
  <si>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</si>
  <si>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</si>
  <si>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</si>
  <si>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</si>
  <si>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</si>
  <si>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</si>
  <si>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</si>
  <si>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</si>
  <si>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</si>
  <si>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</si>
  <si>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</si>
  <si>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</si>
  <si>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</si>
  <si>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</si>
  <si>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</si>
  <si>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</si>
  <si>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</si>
  <si>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</si>
  <si>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</si>
  <si>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</si>
  <si>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</si>
  <si>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</si>
  <si>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</si>
  <si>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</si>
  <si>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</si>
  <si>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</si>
  <si>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</si>
  <si>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</si>
  <si>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</si>
  <si>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</si>
  <si>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</si>
  <si>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</si>
  <si>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</si>
  <si>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</si>
  <si>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</si>
  <si>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</si>
  <si>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</si>
  <si>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</si>
  <si>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</si>
  <si>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</si>
  <si>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</si>
  <si>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</si>
  <si>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</si>
  <si>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</si>
  <si>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</si>
  <si>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</si>
  <si>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</si>
  <si>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</si>
  <si>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</si>
  <si>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</si>
  <si>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</si>
  <si>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</si>
  <si>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</si>
  <si>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</si>
  <si>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</si>
  <si>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</si>
  <si>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</si>
  <si>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</si>
  <si>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</si>
  <si>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</si>
  <si>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</si>
  <si>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</si>
  <si>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</si>
  <si>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</si>
  <si>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</si>
  <si>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</si>
  <si>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</si>
  <si>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</si>
  <si>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</si>
  <si>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</si>
  <si>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</si>
  <si>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</si>
  <si>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</si>
  <si>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</si>
  <si>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</si>
  <si>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</si>
  <si>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</si>
  <si>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</si>
  <si>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</si>
  <si>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</si>
  <si>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</si>
  <si>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</si>
  <si>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</si>
  <si>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</si>
  <si>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</si>
  <si>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</si>
  <si>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</si>
  <si>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</si>
  <si>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</si>
  <si>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</si>
  <si>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</si>
  <si>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</si>
  <si>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</si>
  <si>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</si>
  <si>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</si>
  <si>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</si>
  <si>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</si>
  <si>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</si>
  <si>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</si>
  <si>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</si>
  <si>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</si>
  <si>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</si>
  <si>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</si>
  <si>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</si>
  <si>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</si>
  <si>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</si>
  <si>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</si>
  <si>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</si>
  <si>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</si>
  <si>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</si>
  <si>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</si>
  <si>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</si>
  <si>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</si>
  <si>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</si>
  <si>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</si>
  <si>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</si>
  <si>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</si>
  <si>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</si>
  <si>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</si>
  <si>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</si>
  <si>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</si>
  <si>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</si>
  <si>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</si>
  <si>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</si>
  <si>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</si>
  <si>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</si>
  <si>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</si>
  <si>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</si>
  <si>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</si>
  <si>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</si>
  <si>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</si>
  <si>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</si>
  <si>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</si>
  <si>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</si>
  <si>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</si>
  <si>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</si>
  <si>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</si>
  <si>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</si>
  <si>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</si>
  <si>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</si>
  <si>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</si>
  <si>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</si>
  <si>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</si>
  <si>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</si>
  <si>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</si>
  <si>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</si>
  <si>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</si>
  <si>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</si>
  <si>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</si>
  <si>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</si>
  <si>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</si>
  <si>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</si>
  <si>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</si>
  <si>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</si>
  <si>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</si>
  <si>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</si>
  <si>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</si>
  <si>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</si>
  <si>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</si>
  <si>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</si>
  <si>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</si>
  <si>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</si>
  <si>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</si>
  <si>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</si>
  <si>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</si>
  <si>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</si>
  <si>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</si>
  <si>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</si>
  <si>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</si>
  <si>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</si>
  <si>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</si>
  <si>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</si>
  <si>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</si>
  <si>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</si>
  <si>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</si>
  <si>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</si>
  <si>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</si>
  <si>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</si>
  <si>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</si>
  <si>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</si>
  <si>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</si>
  <si>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</si>
  <si>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</si>
  <si>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</si>
  <si>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</si>
  <si>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</si>
  <si>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</si>
  <si>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</si>
  <si>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</si>
  <si>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</si>
  <si>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</si>
  <si>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</si>
  <si>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</si>
  <si>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</si>
  <si>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</si>
  <si>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</si>
  <si>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</si>
  <si>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</si>
  <si>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</si>
  <si>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</si>
  <si>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</si>
  <si>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</si>
  <si>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</si>
  <si>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</si>
  <si>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</si>
  <si>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</si>
  <si>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</si>
  <si>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</si>
  <si>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</si>
  <si>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</si>
  <si>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</si>
  <si>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</si>
  <si>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</si>
  <si>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</si>
  <si>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</si>
  <si>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</si>
  <si>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</si>
  <si>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</si>
  <si>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</si>
  <si>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</si>
  <si>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</si>
  <si>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</si>
  <si>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</si>
  <si>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</si>
  <si>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</si>
  <si>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</si>
  <si>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</si>
  <si>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</si>
  <si>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</si>
  <si>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</si>
  <si>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</si>
  <si>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</si>
  <si>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</si>
  <si>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</si>
  <si>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</si>
  <si>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</si>
  <si>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</si>
  <si>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</si>
  <si>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</si>
  <si>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</si>
  <si>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</si>
  <si>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</si>
  <si>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</si>
  <si>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</si>
  <si>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</si>
  <si>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</si>
  <si>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</si>
  <si>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</si>
  <si>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</si>
  <si>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</si>
  <si>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</si>
  <si>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</si>
  <si>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</si>
  <si>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</si>
  <si>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</si>
  <si>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</si>
  <si>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</si>
  <si>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</si>
  <si>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</si>
  <si>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</si>
  <si>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</si>
  <si>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</si>
  <si>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</si>
  <si>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</si>
  <si>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</si>
  <si>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</si>
  <si>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</si>
  <si>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</si>
  <si>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</si>
  <si>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</si>
  <si>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</si>
  <si>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</si>
  <si>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</si>
  <si>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</si>
  <si>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</si>
  <si>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</si>
  <si>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</si>
  <si>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</si>
  <si>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</si>
  <si>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</si>
  <si>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</si>
  <si>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</si>
  <si>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</si>
  <si>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</si>
  <si>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</si>
  <si>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</si>
  <si>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</si>
  <si>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</si>
  <si>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</si>
  <si>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</si>
  <si>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</si>
  <si>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</si>
  <si>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</si>
  <si>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</si>
  <si>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</si>
  <si>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</si>
  <si>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</si>
  <si>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</si>
  <si>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</si>
  <si>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</si>
  <si>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</si>
  <si>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</si>
  <si>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</si>
  <si>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</si>
  <si>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</si>
  <si>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</si>
  <si>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</si>
  <si>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</si>
  <si>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</si>
  <si>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</si>
  <si>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</si>
  <si>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</si>
  <si>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</si>
  <si>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</si>
  <si>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</si>
  <si>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</si>
  <si>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</si>
  <si>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</si>
  <si>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</si>
  <si>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</si>
  <si>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</si>
  <si>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</si>
  <si>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</si>
  <si>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</si>
  <si>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</si>
  <si>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</si>
  <si>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</si>
  <si>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</si>
  <si>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</si>
  <si>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</si>
  <si>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</si>
  <si>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</si>
  <si>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</si>
  <si>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</si>
  <si>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</si>
  <si>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</si>
  <si>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</si>
  <si>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</si>
  <si>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</si>
  <si>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</si>
  <si>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</si>
  <si>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</si>
  <si>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</si>
  <si>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</si>
  <si>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</si>
  <si>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</si>
  <si>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</si>
  <si>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</si>
  <si>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</si>
  <si>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</si>
  <si>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</si>
  <si>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</si>
  <si>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</si>
  <si>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</si>
  <si>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</si>
  <si>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</si>
  <si>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</si>
  <si>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</si>
  <si>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</si>
  <si>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</si>
  <si>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</si>
  <si>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</si>
  <si>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</si>
  <si>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</si>
  <si>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</si>
  <si>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</si>
  <si>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</si>
  <si>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</si>
  <si>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</si>
  <si>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</si>
  <si>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</si>
  <si>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</si>
  <si>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</si>
  <si>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</si>
  <si>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</si>
  <si>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</si>
  <si>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</si>
  <si>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</si>
  <si>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</si>
  <si>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</si>
  <si>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</si>
  <si>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</si>
  <si>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</si>
  <si>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</si>
  <si>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</si>
  <si>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</si>
  <si>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</si>
  <si>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</si>
  <si>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</si>
  <si>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</si>
  <si>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</si>
  <si>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</si>
  <si>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</si>
  <si>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</si>
  <si>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</si>
  <si>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</si>
  <si>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</si>
  <si>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</si>
  <si>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</si>
  <si>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</si>
  <si>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</si>
  <si>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</si>
  <si>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</si>
  <si>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</si>
  <si>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</si>
  <si>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</si>
  <si>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</si>
  <si>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</si>
  <si>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</si>
  <si>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</si>
  <si>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</si>
  <si>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</si>
  <si>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</si>
  <si>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</si>
  <si>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</si>
  <si>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</si>
  <si>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</si>
  <si>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</si>
  <si>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</si>
  <si>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</si>
  <si>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</si>
  <si>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</si>
  <si>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</si>
  <si>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</si>
  <si>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</si>
  <si>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</si>
  <si>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</si>
  <si>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</si>
  <si>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</si>
  <si>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</si>
  <si>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</si>
  <si>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</si>
  <si>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</si>
  <si>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</si>
  <si>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</si>
  <si>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</si>
  <si>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</si>
  <si>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</si>
  <si>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</si>
  <si>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</si>
  <si>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</si>
  <si>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</si>
  <si>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</si>
  <si>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</si>
  <si>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</si>
  <si>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</si>
  <si>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</si>
  <si>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</si>
  <si>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</si>
  <si>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</si>
  <si>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</si>
  <si>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</si>
  <si>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</si>
  <si>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</si>
  <si>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</si>
  <si>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</si>
  <si>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</si>
  <si>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</si>
  <si>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</si>
  <si>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</si>
  <si>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</si>
  <si>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</si>
  <si>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</si>
  <si>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</si>
  <si>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</si>
  <si>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</si>
  <si>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</si>
  <si>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</si>
  <si>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</si>
  <si>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</si>
  <si>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</si>
  <si>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</si>
  <si>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</si>
  <si>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</si>
  <si>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</si>
  <si>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</si>
  <si>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</si>
  <si>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</si>
  <si>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</si>
  <si>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</si>
  <si>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</si>
  <si>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</si>
  <si>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</si>
  <si>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</si>
  <si>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</si>
  <si>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</si>
  <si>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</si>
  <si>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</si>
  <si>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</si>
  <si>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</si>
  <si>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</si>
  <si>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</si>
  <si>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</si>
  <si>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</si>
  <si>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</si>
  <si>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</si>
  <si>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</si>
  <si>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</si>
  <si>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</si>
  <si>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</si>
  <si>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</si>
  <si>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</si>
  <si>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</si>
  <si>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</si>
  <si>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</si>
  <si>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</si>
  <si>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</si>
  <si>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</si>
  <si>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</si>
  <si>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</si>
  <si>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</si>
  <si>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</si>
  <si>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</si>
  <si>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</si>
  <si>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</si>
  <si>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</si>
  <si>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</si>
  <si>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</si>
  <si>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</si>
  <si>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</si>
  <si>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</si>
  <si>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</si>
  <si>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</si>
  <si>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</si>
  <si>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</si>
  <si>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</si>
  <si>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</si>
  <si>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</si>
  <si>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</si>
  <si>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</si>
  <si>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</si>
  <si>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</si>
  <si>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</si>
  <si>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</si>
  <si>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</si>
  <si>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</si>
  <si>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</si>
  <si>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</si>
  <si>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</si>
  <si>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</si>
  <si>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</si>
  <si>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</si>
  <si>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</si>
  <si>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</si>
  <si>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</si>
  <si>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</si>
  <si>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</si>
  <si>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</si>
  <si>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</si>
  <si>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</si>
  <si>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</si>
  <si>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</si>
  <si>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</si>
  <si>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</si>
  <si>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</si>
  <si>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</si>
  <si>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</si>
  <si>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</si>
  <si>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</si>
  <si>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</si>
  <si>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</si>
  <si>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</si>
  <si>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</si>
  <si>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</si>
  <si>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</si>
  <si>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</si>
  <si>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</si>
  <si>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</si>
  <si>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</si>
  <si>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</si>
  <si>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</si>
  <si>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</si>
  <si>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</si>
  <si>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</si>
  <si>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</si>
  <si>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</si>
  <si>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</si>
  <si>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</si>
  <si>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</si>
  <si>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</si>
  <si>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</si>
  <si>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</si>
  <si>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</si>
  <si>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</si>
  <si>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</si>
  <si>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</si>
  <si>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</si>
  <si>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</si>
  <si>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</si>
  <si>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</si>
  <si>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</si>
  <si>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</si>
  <si>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</si>
  <si>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</si>
  <si>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</si>
  <si>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</si>
  <si>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</si>
  <si>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</si>
  <si>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</si>
  <si>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</si>
  <si>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</si>
  <si>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</si>
  <si>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</si>
  <si>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</si>
  <si>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</si>
  <si>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</si>
  <si>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</si>
  <si>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</si>
  <si>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</si>
  <si>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</si>
  <si>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</si>
  <si>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</si>
  <si>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</si>
  <si>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</si>
  <si>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</si>
  <si>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</si>
  <si>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</si>
  <si>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</si>
  <si>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</si>
  <si>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</si>
  <si>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</si>
  <si>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</si>
  <si>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</si>
  <si>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</si>
  <si>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</si>
  <si>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</si>
  <si>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</si>
  <si>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</si>
  <si>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</si>
  <si>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</si>
  <si>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</si>
  <si>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</si>
  <si>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</si>
  <si>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</si>
  <si>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</si>
  <si>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</si>
  <si>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</si>
  <si>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</si>
  <si>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</si>
  <si>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</si>
  <si>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</si>
  <si>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</si>
  <si>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</si>
  <si>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</si>
  <si>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</si>
  <si>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</si>
  <si>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</si>
  <si>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</si>
  <si>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</si>
  <si>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</si>
  <si>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</si>
  <si>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</si>
  <si>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</si>
  <si>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</si>
  <si>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</si>
  <si>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</si>
  <si>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</si>
  <si>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</si>
  <si>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</si>
  <si>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</si>
  <si>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</si>
  <si>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</si>
  <si>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</si>
  <si>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</si>
  <si>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</si>
  <si>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</si>
  <si>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</si>
  <si>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</si>
  <si>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</si>
  <si>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</si>
  <si>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</si>
  <si>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</si>
  <si>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</si>
  <si>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</si>
  <si>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</si>
  <si>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</si>
  <si>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</si>
  <si>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</si>
  <si>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</si>
  <si>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</si>
  <si>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</si>
  <si>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</si>
  <si>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</si>
  <si>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</si>
  <si>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</si>
  <si>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</si>
  <si>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</si>
  <si>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</si>
  <si>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</si>
  <si>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</si>
  <si>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</si>
  <si>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</si>
  <si>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</si>
  <si>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</si>
  <si>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</si>
  <si>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</si>
  <si>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</si>
  <si>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</si>
  <si>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</si>
  <si>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</si>
  <si>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</si>
  <si>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</si>
  <si>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</si>
  <si>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</si>
  <si>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</si>
  <si>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</si>
  <si>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</si>
  <si>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</si>
  <si>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</si>
  <si>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</si>
  <si>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</si>
  <si>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</si>
  <si>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</si>
  <si>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</si>
  <si>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</si>
  <si>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</si>
  <si>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</si>
  <si>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</si>
  <si>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</si>
  <si>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</si>
  <si>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</si>
  <si>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</si>
  <si>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</si>
  <si>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</si>
  <si>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</si>
  <si>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</si>
  <si>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</si>
  <si>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</si>
  <si>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</si>
  <si>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</si>
  <si>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</si>
  <si>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</si>
  <si>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</si>
  <si>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</si>
  <si>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</si>
  <si>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</si>
  <si>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</si>
  <si>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</si>
  <si>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</si>
  <si>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</si>
  <si>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</si>
  <si>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</si>
  <si>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</si>
  <si>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</si>
  <si>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</si>
  <si>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</si>
  <si>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</si>
  <si>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</si>
  <si>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</si>
  <si>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</si>
  <si>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</si>
  <si>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</si>
  <si>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</si>
  <si>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</si>
  <si>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</si>
  <si>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</si>
  <si>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</si>
  <si>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</si>
  <si>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</si>
  <si>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</si>
  <si>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</si>
  <si>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</si>
  <si>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</si>
  <si>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</si>
  <si>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</si>
  <si>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</si>
  <si>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</si>
  <si>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</si>
  <si>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</si>
  <si>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</si>
  <si>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</si>
  <si>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</si>
  <si>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</si>
  <si>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</si>
  <si>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</si>
  <si>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</si>
  <si>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</si>
  <si>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</si>
  <si>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</si>
  <si>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</si>
  <si>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</si>
  <si>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</si>
  <si>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</si>
  <si>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</si>
  <si>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</si>
  <si>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</si>
  <si>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</si>
  <si>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</si>
  <si>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</si>
  <si>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</si>
  <si>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</si>
  <si>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</si>
  <si>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</si>
  <si>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</si>
  <si>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</si>
  <si>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</si>
  <si>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</si>
  <si>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</si>
  <si>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</si>
  <si>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</si>
  <si>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</si>
  <si>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</si>
  <si>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</si>
  <si>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</si>
  <si>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</si>
  <si>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</si>
  <si>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</si>
  <si>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</si>
  <si>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</si>
  <si>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</si>
  <si>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</si>
  <si>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</si>
  <si>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</si>
  <si>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</si>
  <si>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</si>
  <si>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</si>
  <si>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</si>
  <si>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</si>
  <si>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</si>
  <si>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</si>
  <si>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</si>
  <si>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</si>
  <si>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</si>
  <si>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</si>
  <si>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</si>
  <si>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</si>
  <si>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</si>
  <si>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</si>
  <si>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</si>
  <si>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</si>
  <si>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</si>
  <si>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</si>
  <si>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</si>
  <si>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</si>
  <si>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</si>
  <si>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</si>
  <si>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</si>
  <si>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</si>
  <si>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</si>
  <si>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</si>
  <si>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</si>
  <si>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</si>
  <si>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</si>
  <si>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</si>
  <si>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</si>
  <si>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</si>
  <si>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</si>
  <si>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</si>
  <si>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</si>
  <si>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</si>
  <si>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</si>
  <si>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</si>
  <si>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</si>
  <si>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</si>
  <si>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</si>
  <si>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</si>
  <si>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</si>
  <si>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</si>
  <si>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</si>
  <si>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</si>
  <si>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</si>
  <si>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</si>
  <si>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</si>
  <si>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</si>
  <si>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</si>
  <si>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</si>
  <si>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</si>
  <si>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</si>
  <si>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</si>
  <si>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</si>
  <si>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</si>
  <si>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</si>
  <si>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</si>
  <si>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</si>
  <si>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</si>
  <si>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</si>
  <si>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</si>
  <si>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</si>
  <si>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</si>
  <si>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</si>
  <si>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</si>
  <si>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</si>
  <si>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</si>
  <si>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</si>
  <si>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</si>
  <si>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</si>
  <si>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</si>
  <si>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</si>
  <si>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</si>
  <si>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</si>
  <si>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</si>
  <si>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</si>
  <si>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</si>
  <si>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</si>
  <si>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</si>
  <si>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</si>
  <si>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</si>
  <si>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</si>
  <si>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</si>
  <si>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</si>
  <si>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</si>
  <si>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</si>
  <si>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</si>
  <si>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</si>
  <si>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</si>
  <si>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</si>
  <si>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</si>
  <si>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</si>
  <si>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</si>
  <si>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</si>
  <si>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</si>
  <si>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</si>
  <si>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</si>
  <si>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</si>
  <si>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</si>
  <si>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</si>
  <si>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</si>
  <si>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</si>
  <si>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</si>
  <si>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</si>
  <si>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</si>
  <si>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</si>
  <si>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</si>
  <si>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</si>
  <si>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</si>
  <si>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</si>
  <si>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</si>
  <si>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</si>
  <si>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</si>
  <si>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</si>
  <si>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</si>
  <si>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</si>
  <si>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</si>
  <si>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</si>
  <si>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</si>
  <si>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</si>
  <si>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</si>
  <si>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</si>
  <si>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</si>
  <si>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</si>
  <si>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</si>
  <si>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</si>
  <si>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</si>
  <si>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</si>
  <si>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</si>
  <si>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</si>
  <si>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</si>
  <si>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</si>
  <si>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</si>
  <si>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</si>
  <si>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</si>
  <si>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</si>
  <si>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</si>
  <si>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</si>
  <si>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</si>
  <si>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</si>
  <si>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</si>
  <si>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</si>
  <si>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</si>
  <si>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</si>
  <si>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</si>
  <si>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</si>
  <si>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</si>
  <si>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</si>
  <si>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</si>
  <si>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</si>
  <si>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</si>
  <si>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</si>
  <si>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</si>
  <si>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</si>
  <si>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</si>
  <si>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</si>
  <si>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</si>
  <si>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</si>
  <si>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</si>
  <si>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</si>
  <si>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</si>
  <si>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</si>
  <si>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</si>
  <si>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</si>
  <si>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</si>
  <si>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</si>
  <si>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</si>
  <si>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</si>
  <si>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</si>
  <si>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</si>
  <si>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</si>
  <si>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</si>
  <si>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</si>
  <si>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</si>
  <si>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</si>
  <si>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</si>
  <si>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</si>
  <si>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</si>
  <si>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</si>
  <si>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</si>
  <si>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</si>
  <si>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</si>
  <si>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</si>
  <si>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</si>
  <si>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</si>
  <si>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</si>
  <si>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</si>
  <si>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</si>
  <si>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</si>
  <si>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</si>
  <si>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</si>
  <si>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</si>
  <si>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</si>
  <si>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</si>
  <si>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</si>
  <si>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</si>
  <si>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</si>
  <si>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</si>
  <si>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</si>
  <si>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</si>
  <si>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</si>
  <si>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</si>
  <si>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</si>
  <si>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</si>
  <si>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</si>
  <si>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</si>
  <si>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</si>
  <si>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</si>
  <si>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</si>
  <si>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</si>
  <si>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</si>
  <si>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</si>
  <si>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</si>
  <si>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</si>
  <si>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</si>
  <si>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</si>
  <si>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</si>
  <si>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</si>
  <si>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</si>
  <si>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</si>
  <si>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</si>
  <si>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</si>
  <si>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</si>
  <si>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</si>
  <si>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</si>
  <si>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</si>
  <si>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</si>
  <si>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</si>
  <si>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</si>
  <si>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</si>
  <si>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</si>
  <si>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</si>
  <si>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</si>
  <si>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</si>
  <si>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</si>
  <si>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</si>
  <si>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</si>
  <si>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</si>
  <si>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</si>
  <si>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</si>
  <si>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</si>
  <si>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</si>
  <si>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</si>
  <si>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</si>
  <si>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</si>
  <si>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</si>
  <si>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</si>
  <si>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</si>
  <si>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</si>
  <si>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</si>
  <si>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</si>
  <si>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</si>
  <si>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</si>
  <si>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</si>
  <si>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</si>
  <si>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</si>
  <si>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</si>
  <si>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</si>
  <si>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</si>
  <si>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</si>
  <si>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</si>
  <si>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</si>
  <si>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</si>
  <si>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</si>
  <si>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</si>
  <si>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</si>
  <si>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</si>
  <si>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</si>
  <si>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</si>
  <si>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</si>
  <si>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</si>
  <si>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</si>
  <si>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</si>
  <si>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</si>
  <si>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</si>
  <si>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</si>
  <si>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</si>
  <si>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</si>
  <si>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</si>
  <si>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</si>
  <si>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</si>
  <si>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</si>
  <si>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</si>
  <si>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</si>
  <si>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</si>
  <si>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</si>
  <si>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</si>
  <si>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</si>
  <si>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</si>
  <si>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</si>
  <si>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</si>
  <si>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</si>
  <si>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</si>
  <si>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</si>
  <si>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</si>
  <si>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</si>
  <si>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</si>
  <si>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</si>
  <si>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</si>
  <si>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</si>
  <si>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</si>
  <si>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</si>
  <si>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</si>
  <si>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</si>
  <si>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</si>
  <si>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</si>
  <si>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</si>
  <si>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</si>
  <si>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</si>
  <si>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</si>
  <si>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</si>
  <si>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</si>
  <si>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</si>
  <si>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</si>
  <si>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</si>
  <si>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</si>
  <si>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</si>
  <si>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</si>
  <si>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</si>
  <si>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</si>
  <si>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</si>
  <si>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</si>
  <si>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</si>
  <si>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</si>
  <si>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</si>
  <si>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</si>
  <si>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</si>
  <si>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</si>
  <si>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</si>
  <si>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</si>
  <si>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</si>
  <si>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</si>
  <si>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</si>
  <si>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</si>
  <si>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</si>
  <si>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</si>
  <si>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</si>
  <si>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</si>
  <si>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</si>
  <si>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</si>
  <si>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</si>
  <si>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</si>
  <si>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</si>
  <si>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</si>
  <si>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</si>
  <si>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</si>
  <si>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</si>
  <si>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</si>
  <si>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</si>
  <si>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</si>
  <si>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</si>
  <si>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</si>
  <si>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</si>
  <si>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</si>
  <si>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</si>
  <si>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</si>
  <si>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</si>
  <si>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</si>
  <si>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</si>
  <si>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</si>
  <si>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</si>
  <si>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</si>
  <si>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</si>
  <si>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</si>
  <si>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</si>
  <si>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</si>
  <si>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</si>
  <si>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</si>
  <si>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</si>
  <si>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</si>
  <si>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</si>
  <si>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</si>
  <si>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</si>
  <si>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</si>
  <si>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</si>
  <si>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</si>
  <si>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</si>
  <si>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</si>
  <si>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</si>
  <si>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</si>
  <si>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</si>
  <si>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</si>
  <si>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</si>
  <si>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</si>
  <si>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</si>
  <si>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</si>
  <si>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</si>
  <si>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</si>
  <si>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</si>
  <si>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</si>
  <si>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</si>
  <si>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</si>
  <si>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</si>
  <si>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</si>
  <si>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</si>
  <si>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</si>
  <si>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</si>
  <si>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</si>
  <si>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</si>
  <si>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</si>
  <si>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</si>
  <si>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</si>
  <si>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</si>
  <si>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</si>
  <si>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</si>
  <si>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</si>
  <si>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</si>
  <si>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</si>
  <si>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</si>
  <si>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</si>
  <si>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</si>
  <si>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</si>
  <si>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</si>
  <si>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</si>
  <si>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</si>
  <si>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</si>
  <si>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</si>
  <si>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</si>
  <si>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</si>
  <si>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</si>
  <si>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</si>
  <si>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</si>
  <si>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</si>
  <si>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</si>
  <si>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</si>
  <si>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</si>
  <si>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</si>
  <si>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</si>
  <si>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</si>
  <si>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</si>
  <si>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</si>
  <si>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</si>
  <si>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</si>
  <si>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</si>
  <si>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</si>
  <si>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</si>
  <si>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</si>
  <si>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</si>
  <si>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</si>
  <si>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</si>
  <si>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</si>
  <si>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</si>
  <si>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</si>
  <si>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</si>
  <si>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</si>
  <si>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</si>
  <si>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</si>
  <si>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</si>
  <si>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</si>
  <si>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</si>
  <si>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</si>
  <si>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</si>
  <si>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</si>
  <si>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</si>
  <si>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</si>
  <si>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</si>
  <si>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</si>
  <si>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</si>
  <si>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</si>
  <si>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</si>
  <si>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</si>
  <si>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</si>
  <si>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</si>
  <si>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</si>
  <si>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</si>
  <si>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</si>
  <si>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</si>
  <si>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</si>
  <si>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</si>
  <si>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</si>
  <si>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</si>
  <si>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</si>
  <si>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</si>
  <si>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</si>
  <si>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</si>
  <si>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</si>
  <si>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</si>
  <si>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</si>
  <si>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</si>
  <si>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</si>
  <si>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</si>
  <si>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</si>
  <si>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</si>
  <si>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</si>
  <si>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</si>
  <si>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</si>
  <si>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</si>
  <si>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</si>
  <si>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</si>
  <si>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</si>
  <si>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</si>
  <si>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</si>
  <si>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</si>
  <si>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</si>
  <si>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</si>
  <si>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</si>
  <si>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</si>
  <si>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</si>
  <si>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</si>
  <si>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</si>
  <si>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</si>
  <si>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</si>
  <si>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</si>
  <si>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</si>
  <si>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</si>
  <si>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</si>
  <si>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</si>
  <si>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</si>
  <si>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</si>
  <si>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</si>
  <si>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</si>
  <si>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</si>
  <si>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</si>
  <si>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</si>
  <si>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</si>
  <si>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</si>
  <si>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</si>
  <si>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</si>
  <si>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</si>
  <si>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</si>
  <si>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</si>
  <si>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</si>
  <si>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</si>
  <si>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</si>
  <si>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</si>
  <si>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</si>
  <si>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</si>
  <si>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</si>
  <si>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</si>
  <si>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</si>
  <si>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</si>
  <si>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</si>
  <si>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</si>
  <si>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</si>
  <si>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</si>
  <si>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</si>
  <si>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</si>
  <si>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</si>
  <si>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</si>
  <si>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</si>
  <si>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</si>
  <si>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</si>
  <si>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</si>
  <si>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</si>
  <si>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</si>
  <si>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</si>
  <si>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</si>
  <si>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</si>
  <si>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</si>
  <si>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</si>
  <si>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</si>
  <si>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</si>
  <si>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</si>
  <si>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</si>
  <si>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</si>
  <si>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</si>
  <si>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</si>
  <si>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</si>
  <si>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</si>
  <si>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</si>
  <si>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</si>
  <si>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</si>
  <si>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</si>
  <si>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</si>
  <si>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</si>
  <si>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</si>
  <si>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</si>
  <si>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</si>
  <si>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</si>
  <si>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</si>
  <si>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</si>
  <si>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</si>
  <si>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</si>
  <si>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</si>
  <si>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</si>
  <si>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</si>
  <si>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</si>
  <si>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</si>
  <si>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</si>
  <si>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</si>
  <si>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</si>
  <si>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</si>
  <si>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</si>
  <si>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</si>
  <si>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</si>
  <si>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</si>
  <si>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</si>
  <si>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</si>
  <si>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</si>
  <si>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</si>
  <si>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</si>
  <si>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</si>
  <si>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</si>
  <si>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</si>
  <si>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</si>
  <si>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</si>
  <si>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</si>
  <si>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</si>
  <si>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</si>
  <si>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</si>
  <si>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</si>
  <si>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</si>
  <si>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</si>
  <si>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</si>
  <si>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</si>
  <si>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</si>
  <si>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</si>
  <si>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</si>
  <si>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</si>
  <si>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</si>
  <si>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</si>
  <si>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</si>
  <si>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</si>
  <si>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</si>
  <si>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</si>
  <si>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</si>
  <si>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</si>
  <si>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</si>
  <si>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</si>
  <si>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</si>
  <si>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</si>
  <si>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</si>
  <si>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</si>
  <si>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</si>
  <si>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</si>
  <si>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</si>
  <si>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</si>
  <si>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</si>
  <si>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</si>
  <si>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</si>
  <si>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</si>
  <si>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</si>
  <si>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</si>
  <si>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</si>
  <si>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</si>
  <si>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</si>
  <si>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</si>
  <si>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</si>
  <si>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</si>
  <si>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</si>
  <si>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</si>
  <si>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</si>
  <si>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</si>
  <si>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</si>
  <si>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</si>
  <si>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</si>
  <si>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</si>
  <si>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</si>
  <si>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</si>
  <si>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</si>
  <si>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</si>
  <si>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</si>
  <si>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</si>
  <si>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</si>
  <si>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</si>
  <si>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</si>
  <si>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</si>
  <si>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</si>
  <si>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</si>
  <si>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</si>
  <si>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</si>
  <si>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</si>
  <si>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</si>
  <si>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</si>
  <si>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</si>
  <si>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</si>
  <si>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</si>
  <si>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</si>
  <si>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</si>
  <si>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</si>
  <si>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</si>
  <si>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</si>
  <si>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</si>
  <si>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</si>
  <si>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</si>
  <si>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</si>
  <si>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</si>
  <si>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</si>
  <si>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</si>
  <si>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</si>
  <si>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</si>
  <si>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</si>
  <si>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</si>
  <si>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</si>
  <si>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</si>
  <si>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</si>
  <si>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</si>
  <si>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</si>
  <si>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</si>
  <si>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</si>
  <si>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</si>
  <si>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</si>
  <si>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</si>
  <si>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</si>
  <si>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</si>
  <si>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</si>
  <si>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</si>
  <si>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</si>
  <si>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</si>
  <si>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</si>
  <si>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</si>
  <si>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</si>
  <si>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</si>
  <si>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</si>
  <si>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</si>
  <si>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</si>
  <si>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</si>
  <si>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</si>
  <si>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</si>
  <si>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</si>
  <si>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</si>
  <si>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</si>
  <si>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</si>
  <si>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</si>
  <si>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</si>
  <si>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</si>
  <si>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</si>
  <si>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</si>
  <si>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</si>
  <si>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</si>
  <si>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</si>
  <si>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</si>
  <si>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</si>
  <si>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</si>
  <si>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</si>
  <si>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</si>
  <si>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</si>
  <si>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</si>
  <si>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</si>
  <si>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</si>
  <si>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</si>
  <si>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</si>
  <si>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</si>
  <si>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</si>
  <si>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</si>
  <si>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</si>
  <si>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</si>
  <si>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</si>
  <si>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</si>
  <si>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</si>
  <si>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</si>
  <si>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</si>
  <si>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</si>
  <si>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</si>
  <si>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</si>
  <si>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</si>
  <si>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</si>
  <si>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</si>
  <si>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</si>
  <si>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</si>
  <si>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</si>
  <si>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</si>
  <si>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</si>
  <si>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</si>
  <si>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</si>
  <si>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</si>
  <si>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</si>
  <si>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</si>
  <si>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</si>
  <si>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</si>
  <si>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</si>
  <si>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</si>
  <si>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</si>
  <si>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</si>
  <si>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</si>
  <si>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</si>
  <si>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</si>
  <si>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</si>
  <si>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</si>
  <si>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</si>
  <si>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</si>
  <si>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</si>
  <si>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</si>
  <si>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</si>
  <si>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</si>
  <si>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</si>
  <si>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</si>
  <si>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</si>
  <si>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</si>
  <si>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</si>
  <si>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</si>
  <si>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</si>
  <si>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</si>
  <si>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</si>
  <si>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</si>
  <si>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</si>
  <si>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</si>
  <si>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</si>
  <si>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</si>
  <si>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</si>
  <si>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</si>
  <si>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</si>
  <si>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</si>
  <si>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</si>
  <si>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</si>
  <si>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</si>
  <si>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</si>
  <si>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</si>
  <si>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</si>
  <si>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</si>
  <si>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</si>
  <si>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</si>
  <si>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</si>
  <si>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</si>
  <si>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</si>
  <si>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</si>
  <si>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</si>
  <si>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</si>
  <si>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</si>
  <si>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</si>
  <si>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</si>
  <si>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</si>
  <si>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</si>
  <si>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</si>
  <si>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</si>
  <si>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</si>
  <si>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</si>
  <si>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</si>
  <si>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</si>
  <si>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</si>
  <si>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</si>
  <si>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</si>
  <si>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</si>
  <si>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</si>
  <si>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</si>
  <si>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</si>
  <si>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</si>
  <si>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</si>
  <si>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</si>
  <si>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</si>
  <si>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</si>
  <si>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</si>
  <si>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</si>
  <si>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</si>
  <si>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</si>
  <si>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</si>
  <si>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</si>
  <si>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</si>
  <si>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</si>
  <si>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</si>
  <si>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</si>
  <si>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</si>
  <si>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</si>
  <si>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</si>
  <si>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</si>
  <si>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</si>
  <si>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</si>
  <si>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</si>
  <si>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</si>
  <si>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</si>
  <si>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</si>
  <si>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</si>
  <si>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</si>
  <si>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</si>
  <si>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</si>
  <si>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</si>
  <si>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</si>
  <si>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</si>
  <si>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</si>
  <si>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</si>
  <si>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</si>
  <si>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</si>
  <si>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</si>
  <si>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</si>
  <si>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</si>
  <si>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</si>
  <si>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</si>
  <si>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</si>
  <si>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</si>
  <si>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</si>
  <si>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</si>
  <si>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</si>
  <si>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</si>
  <si>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</si>
  <si>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</si>
  <si>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</si>
  <si>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</si>
  <si>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</si>
  <si>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</si>
  <si>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</si>
  <si>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</si>
  <si>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</si>
  <si>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</si>
  <si>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</si>
  <si>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</si>
  <si>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</si>
  <si>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</si>
  <si>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</si>
  <si>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</si>
  <si>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</si>
  <si>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</si>
  <si>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</si>
  <si>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</si>
  <si>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</si>
  <si>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</si>
  <si>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</si>
  <si>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</si>
  <si>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</si>
  <si>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</si>
  <si>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</si>
  <si>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</si>
  <si>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</si>
  <si>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</si>
  <si>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</si>
  <si>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</si>
  <si>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</si>
  <si>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</si>
  <si>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</si>
  <si>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</si>
  <si>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</si>
  <si>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</si>
  <si>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</si>
  <si>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</si>
  <si>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</si>
  <si>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</si>
  <si>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</si>
  <si>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</si>
  <si>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</si>
  <si>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</si>
  <si>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</si>
  <si>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</si>
  <si>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</si>
  <si>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</si>
  <si>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</si>
  <si>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</si>
  <si>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</si>
  <si>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</si>
  <si>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</si>
  <si>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</si>
  <si>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</si>
  <si>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</si>
  <si>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</si>
  <si>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</si>
  <si>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</si>
  <si>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</si>
  <si>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</si>
  <si>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</si>
  <si>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</si>
  <si>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</si>
  <si>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</si>
  <si>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</si>
  <si>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</si>
  <si>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</si>
  <si>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</si>
  <si>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</si>
  <si>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</si>
  <si>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</si>
  <si>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</si>
  <si>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</si>
  <si>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</si>
  <si>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</si>
  <si>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</si>
  <si>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</si>
  <si>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</si>
  <si>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</si>
  <si>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</si>
  <si>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</si>
  <si>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</si>
  <si>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</si>
  <si>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</si>
  <si>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</si>
  <si>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</si>
  <si>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</si>
  <si>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</si>
  <si>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</si>
  <si>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</si>
  <si>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</si>
  <si>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</si>
  <si>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</si>
  <si>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</si>
  <si>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</si>
  <si>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</si>
  <si>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</si>
  <si>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</si>
  <si>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</si>
  <si>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</si>
  <si>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</si>
  <si>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</si>
  <si>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</si>
  <si>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</si>
  <si>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</si>
  <si>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</si>
  <si>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</si>
  <si>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</si>
  <si>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</si>
  <si>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</si>
  <si>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</si>
  <si>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</si>
  <si>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</si>
  <si>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</si>
  <si>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</si>
  <si>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</si>
  <si>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</si>
  <si>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</si>
  <si>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</si>
  <si>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</si>
  <si>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</si>
  <si>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</si>
  <si>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</si>
  <si>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</si>
  <si>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</si>
  <si>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</si>
  <si>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</si>
  <si>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</si>
  <si>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</si>
  <si>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</si>
  <si>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</si>
  <si>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</si>
  <si>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</si>
  <si>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</si>
  <si>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</si>
  <si>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</si>
  <si>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</si>
  <si>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</si>
  <si>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</si>
  <si>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</si>
  <si>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</si>
  <si>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</si>
  <si>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</si>
  <si>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</si>
  <si>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</si>
  <si>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</si>
  <si>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</si>
  <si>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</si>
  <si>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</si>
  <si>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</si>
  <si>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</si>
  <si>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</si>
  <si>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</si>
  <si>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</si>
  <si>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</si>
  <si>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</si>
  <si>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</si>
  <si>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</si>
  <si>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</si>
  <si>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</si>
  <si>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</si>
  <si>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</si>
  <si>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</si>
  <si>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</si>
  <si>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</si>
  <si>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</si>
  <si>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</si>
  <si>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</si>
  <si>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</si>
  <si>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</si>
  <si>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</si>
  <si>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</si>
  <si>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</si>
  <si>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</si>
  <si>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</si>
  <si>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</si>
  <si>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</si>
  <si>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</si>
  <si>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</si>
  <si>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</si>
  <si>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</si>
  <si>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</si>
  <si>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</si>
  <si>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</si>
  <si>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</si>
  <si>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</si>
  <si>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</si>
  <si>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</si>
  <si>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</si>
  <si>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</si>
  <si>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</si>
  <si>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</si>
  <si>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</si>
  <si>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</si>
  <si>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</si>
  <si>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</si>
  <si>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</si>
  <si>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</si>
  <si>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</si>
  <si>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</si>
  <si>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</si>
  <si>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</si>
  <si>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</si>
  <si>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</si>
  <si>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</si>
  <si>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</si>
  <si>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</si>
  <si>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</si>
  <si>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</si>
  <si>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</si>
  <si>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</si>
  <si>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</si>
  <si>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</si>
  <si>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</si>
  <si>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</si>
  <si>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</si>
  <si>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</si>
  <si>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</si>
  <si>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</si>
  <si>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</si>
  <si>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</si>
  <si>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</si>
  <si>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</si>
  <si>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</si>
  <si>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</si>
  <si>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</si>
  <si>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</si>
  <si>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</si>
  <si>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</si>
  <si>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</si>
  <si>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</si>
  <si>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</si>
  <si>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</si>
  <si>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</si>
  <si>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</si>
  <si>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</si>
  <si>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</si>
  <si>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</si>
  <si>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</si>
  <si>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</si>
  <si>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</si>
  <si>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</si>
  <si>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</si>
  <si>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</si>
  <si>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</si>
  <si>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</si>
  <si>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</si>
  <si>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</si>
  <si>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</si>
  <si>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</si>
  <si>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</si>
  <si>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</si>
  <si>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</si>
  <si>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</si>
  <si>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</si>
  <si>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</si>
  <si>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</si>
  <si>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</si>
  <si>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</si>
  <si>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</si>
  <si>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</si>
  <si>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</si>
  <si>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</si>
  <si>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</si>
  <si>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</si>
  <si>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</si>
  <si>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</si>
  <si>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</si>
  <si>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</si>
  <si>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</si>
  <si>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</si>
  <si>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</si>
  <si>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</si>
  <si>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</si>
  <si>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</si>
  <si>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</si>
  <si>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</si>
  <si>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</si>
  <si>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</si>
  <si>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</si>
  <si>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</si>
  <si>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</si>
  <si>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</si>
  <si>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</si>
  <si>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</si>
  <si>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</si>
  <si>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</si>
  <si>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抵押价格</t>
  </si>
  <si>
    <t>其他：</t>
  </si>
  <si>
    <t>企业</t>
  </si>
  <si>
    <t>商业</t>
  </si>
  <si>
    <t>车库</t>
  </si>
  <si>
    <t>地上</t>
  </si>
  <si>
    <t>地下</t>
  </si>
  <si>
    <t xml:space="preserve">施工许可证 </t>
    <phoneticPr fontId="228" type="noConversion"/>
  </si>
  <si>
    <t>楼栋</t>
    <phoneticPr fontId="228" type="noConversion"/>
  </si>
  <si>
    <t>总楼层</t>
    <phoneticPr fontId="228" type="noConversion"/>
  </si>
  <si>
    <t>地上</t>
    <phoneticPr fontId="228" type="noConversion"/>
  </si>
  <si>
    <t>地下</t>
    <phoneticPr fontId="228" type="noConversion"/>
  </si>
  <si>
    <r>
      <t>1</t>
    </r>
    <r>
      <rPr>
        <sz val="11"/>
        <color theme="1"/>
        <rFont val="宋体"/>
        <family val="3"/>
        <charset val="134"/>
        <scheme val="minor"/>
      </rPr>
      <t>1（-1）</t>
    </r>
    <phoneticPr fontId="228" type="noConversion"/>
  </si>
  <si>
    <t>车库</t>
    <phoneticPr fontId="228" type="noConversion"/>
  </si>
  <si>
    <t>9（-1）</t>
    <phoneticPr fontId="228" type="noConversion"/>
  </si>
  <si>
    <t>住宅</t>
    <phoneticPr fontId="228" type="noConversion"/>
  </si>
  <si>
    <t>叠墅</t>
  </si>
  <si>
    <t>叠墅</t>
    <phoneticPr fontId="228" type="noConversion"/>
  </si>
  <si>
    <t>合院</t>
  </si>
  <si>
    <t>合院</t>
    <phoneticPr fontId="228" type="noConversion"/>
  </si>
  <si>
    <t>叠拼</t>
  </si>
  <si>
    <t>独栋</t>
  </si>
  <si>
    <t>商业</t>
    <phoneticPr fontId="228" type="noConversion"/>
  </si>
  <si>
    <t>公建</t>
    <phoneticPr fontId="228" type="noConversion"/>
  </si>
  <si>
    <t>高层</t>
  </si>
  <si>
    <t>高层</t>
    <phoneticPr fontId="7" type="noConversion"/>
  </si>
  <si>
    <t>叠墅</t>
    <phoneticPr fontId="7" type="noConversion"/>
  </si>
  <si>
    <t>合院</t>
    <phoneticPr fontId="7" type="noConversion"/>
  </si>
  <si>
    <t>商业</t>
    <phoneticPr fontId="7" type="noConversion"/>
  </si>
  <si>
    <t>办公</t>
    <phoneticPr fontId="7" type="noConversion"/>
  </si>
  <si>
    <t>车库</t>
    <phoneticPr fontId="7" type="noConversion"/>
  </si>
  <si>
    <t>保障房</t>
  </si>
  <si>
    <t>保障房</t>
    <phoneticPr fontId="7" type="noConversion"/>
  </si>
  <si>
    <t>自定义</t>
  </si>
  <si>
    <t>按租金收入计税</t>
  </si>
  <si>
    <t>钢混</t>
  </si>
  <si>
    <t>比较法-住宅、综合</t>
  </si>
  <si>
    <t>剩余法-待开发</t>
  </si>
  <si>
    <t>动态评估</t>
    <phoneticPr fontId="228" type="noConversion"/>
  </si>
  <si>
    <t>估价时点</t>
    <phoneticPr fontId="228" type="noConversion"/>
  </si>
  <si>
    <t>评估总值</t>
    <phoneticPr fontId="228" type="noConversion"/>
  </si>
  <si>
    <t>正常</t>
  </si>
  <si>
    <t>住宅、商业</t>
  </si>
  <si>
    <t>住宅、商业</t>
    <phoneticPr fontId="26"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</si>
  <si>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</si>
  <si>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</si>
  <si>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</si>
  <si>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</si>
  <si>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</si>
  <si>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</si>
  <si>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</si>
  <si>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</si>
  <si>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</si>
  <si>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</si>
  <si>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</si>
  <si>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</si>
  <si>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</si>
  <si>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</si>
  <si>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</si>
  <si>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大明路东侧、韩区河北侧</t>
  </si>
  <si>
    <t>常州市</t>
  </si>
  <si>
    <t>综合用地(含住宅)</t>
  </si>
  <si>
    <t>＞1且≤2.2</t>
  </si>
  <si>
    <t>挂牌</t>
  </si>
  <si>
    <t>商住用地</t>
  </si>
  <si>
    <t>2020-07-29</t>
  </si>
  <si>
    <t>苏州锐石文华房地产开发有限公司</t>
  </si>
  <si>
    <t>4星</t>
  </si>
  <si>
    <t>武进区湖塘镇滆湖中路南侧、星火南路西侧</t>
  </si>
  <si>
    <t>住宅用地</t>
  </si>
  <si>
    <t>＞1且≤2.5</t>
  </si>
  <si>
    <t>城镇住宅用地</t>
  </si>
  <si>
    <t>2020-07-24</t>
  </si>
  <si>
    <t>长江龙城科技有限公司</t>
  </si>
  <si>
    <t>3星</t>
  </si>
  <si>
    <t>今创路东侧、观景路南侧</t>
  </si>
  <si>
    <t>≥1且≤1.8</t>
  </si>
  <si>
    <t>招标</t>
  </si>
  <si>
    <t>2020-07-16</t>
  </si>
  <si>
    <t>常州弘仁房地产开发有限公司</t>
  </si>
  <si>
    <t>武进区西太湖西太湖大道东侧,环湖北路北侧</t>
  </si>
  <si>
    <t>≥1.20且≤2</t>
  </si>
  <si>
    <t>2020-06-30</t>
  </si>
  <si>
    <t>常州建源城市综合开发有限公司</t>
  </si>
  <si>
    <t>2星</t>
  </si>
  <si>
    <t>武进区牛塘镇大通西路南侧、*东龙北路西侧</t>
  </si>
  <si>
    <t>＞1且≤1.50</t>
  </si>
  <si>
    <t>武进高新区武进西大道南侧、淹城南路东侧</t>
  </si>
  <si>
    <t>＞1且≤2</t>
  </si>
  <si>
    <t>江苏唐美房地产有限公司</t>
  </si>
  <si>
    <t>武进区礼嘉镇百兴路南侧、礼毛路东侧</t>
  </si>
  <si>
    <t>2020-06-17</t>
  </si>
  <si>
    <t>江苏晋陵建设发展有限公司</t>
  </si>
  <si>
    <t>武进区嘉泽镇庙桥河东侧、茶泽街北侧</t>
  </si>
  <si>
    <t>＞1且≤1.80</t>
  </si>
  <si>
    <t>常州路劲房地产开发有限公司</t>
  </si>
  <si>
    <t>1星</t>
  </si>
  <si>
    <t>武进区洛阳镇戴溪河西侧、荷花西路北侧</t>
  </si>
  <si>
    <t>＞1且≤1.5</t>
  </si>
  <si>
    <t>2020-05-22</t>
  </si>
  <si>
    <t>上海垠翰实业发展有限公司</t>
  </si>
  <si>
    <t>武进高新区星火北路东侧、古方路北侧</t>
  </si>
  <si>
    <t>＞1.5且≤2</t>
  </si>
  <si>
    <t>常州盛世置业发展有限公司</t>
  </si>
  <si>
    <t>湾城北路东侧、义乌路南侧</t>
  </si>
  <si>
    <t>＞1.0且≤2.2</t>
  </si>
  <si>
    <t>2020-05-15</t>
  </si>
  <si>
    <t>常州黑牡丹置业有限公司</t>
  </si>
  <si>
    <t>武进高新区阳湖西路南侧,龙江南路东侧</t>
  </si>
  <si>
    <t>2020-03-13</t>
  </si>
  <si>
    <t>常州亿兆实业投资有限公司</t>
  </si>
  <si>
    <t>武进区湖塘镇武宜北路西侧,聚湖东路北侧</t>
  </si>
  <si>
    <t>2020-03-11</t>
  </si>
  <si>
    <t>宏智发展(香港)有限公司</t>
  </si>
  <si>
    <t>武进区牛塘镇童子河南路南侧,东龙路西侧</t>
  </si>
  <si>
    <t>＞1且≤2.20</t>
  </si>
  <si>
    <t>常州汀玫置业有限公司</t>
  </si>
  <si>
    <t>横洛东路东侧、学苑路北侧</t>
  </si>
  <si>
    <t>商住</t>
  </si>
  <si>
    <t>2020-01-15</t>
  </si>
  <si>
    <t>常州东方悦城房地产开发有限公司</t>
  </si>
  <si>
    <t>文明东路南侧、江南路西侧</t>
  </si>
  <si>
    <t>常州灿琮房地产管理咨询有限公司</t>
  </si>
  <si>
    <t>东庄路西侧、观景路北侧</t>
  </si>
  <si>
    <t>＞1且≤1.70</t>
  </si>
  <si>
    <t>常州锦绣山水置业有限公司</t>
  </si>
  <si>
    <t>劳动东路北侧、宛沿河西侧</t>
  </si>
  <si>
    <t>2019-10-23</t>
  </si>
  <si>
    <t>锦艺置业集团有限公司</t>
  </si>
  <si>
    <t>武进区湟里镇经纬一路北侧、粮管所路西侧</t>
  </si>
  <si>
    <t>2019-10-20</t>
  </si>
  <si>
    <t>常州嘉宏高瞻置业发展有限公司</t>
  </si>
  <si>
    <t>武进高新区新奥路西侧,龙帆路南侧</t>
  </si>
  <si>
    <t>2019-08-16</t>
  </si>
  <si>
    <t>常州滨湖房地产开发有限公司</t>
  </si>
  <si>
    <t>武进高新区新知路东侧,龙帆路南侧</t>
  </si>
  <si>
    <t>如东三盛房地产开发有限公司</t>
  </si>
  <si>
    <t>顺通路西侧、葑岸河南侧</t>
  </si>
  <si>
    <t>2019-07-11</t>
  </si>
  <si>
    <t>常州全嘉置业有限公司</t>
  </si>
  <si>
    <t>武进区湖塘镇延政中大道南侧,凤林北路西侧</t>
  </si>
  <si>
    <t>＞1并且≤1.50</t>
  </si>
  <si>
    <t>2019-06-19</t>
  </si>
  <si>
    <t>武进区湖塘镇永安河东侧,滆湖东路南侧</t>
  </si>
  <si>
    <t>≥1.0且≤2.2</t>
  </si>
  <si>
    <t>2019-06-13</t>
  </si>
  <si>
    <t>华盛建设集团有限公司</t>
  </si>
  <si>
    <t>武进区西太湖凤苑南路东侧,稻香路南侧</t>
  </si>
  <si>
    <t>＞1并且＜2.10</t>
  </si>
  <si>
    <t>2019-05-31</t>
  </si>
  <si>
    <t>常州碧盛房地产开发有限公司</t>
  </si>
  <si>
    <t>丁塘河西路西侧、义乌路北侧</t>
  </si>
  <si>
    <t>＞1并且≤2</t>
  </si>
  <si>
    <t>2019-05-23</t>
  </si>
  <si>
    <t>徐州市美的新城房地产发展有限公司</t>
  </si>
  <si>
    <t>5星</t>
  </si>
  <si>
    <t>华通路南侧、常和路西侧</t>
  </si>
  <si>
    <t>＞1并且≤2.2</t>
  </si>
  <si>
    <t>常州和骏房地产管理咨询有限公司</t>
  </si>
  <si>
    <t>青洋路东侧、曙明路北侧</t>
  </si>
  <si>
    <t>常州昌若商务咨询有限公司</t>
  </si>
  <si>
    <t>龙城大道南侧、曙兴路西侧</t>
  </si>
  <si>
    <t>＞1并且≤2.20</t>
  </si>
  <si>
    <t>2019-05-10</t>
  </si>
  <si>
    <t>常州昌煜商务咨询有限公司</t>
  </si>
  <si>
    <t>武进区武宜中路西侧,春秋路北侧</t>
  </si>
  <si>
    <t>2019-04-18</t>
  </si>
  <si>
    <t>常州新城房产开发有限公司</t>
  </si>
  <si>
    <t>武进区礼嘉镇礼百路东侧、百兴路南侧、礼毛路以西</t>
  </si>
  <si>
    <t>＞1并且≤1.80</t>
  </si>
  <si>
    <t>苏州垠壹置业有限公司</t>
  </si>
  <si>
    <t>武进区西湖路北侧,新平路西侧</t>
  </si>
  <si>
    <t>2019-03-21</t>
  </si>
  <si>
    <t>武进区湖塘聚湖东路北侧,长沟路东侧</t>
  </si>
  <si>
    <t>＞1并且≤2.5</t>
  </si>
  <si>
    <t>其他普通商品住房用地</t>
  </si>
  <si>
    <t>2018-12-29</t>
  </si>
  <si>
    <t>江苏天启房地产开发有限公司</t>
  </si>
  <si>
    <t>武进区西太湖锦华路北侧,丰泽路西侧</t>
  </si>
  <si>
    <t>大明路东侧、东方二路南侧</t>
  </si>
  <si>
    <t>2018-11-14</t>
  </si>
  <si>
    <t>常州东方新城房地产开发有限公司</t>
  </si>
  <si>
    <t>武进高新区南塘路北侧,桐庄河东侧</t>
  </si>
  <si>
    <t>2018-10-31</t>
  </si>
  <si>
    <t>上海梁科房地产开发有限公司</t>
  </si>
  <si>
    <t>武进区雪堰镇老锡宜公路南侧、纵三路以东</t>
  </si>
  <si>
    <t>2018-10-20</t>
  </si>
  <si>
    <t>江苏旷达房地产开发有限公司</t>
  </si>
  <si>
    <t>武进区前黄镇新府东街西侧,凤林路北侧</t>
  </si>
  <si>
    <t>2018-09-30</t>
  </si>
  <si>
    <t>南京梁拓置业有限公司</t>
  </si>
  <si>
    <t>文明东路南侧、山水路东侧</t>
  </si>
  <si>
    <t>2018-09-28</t>
  </si>
  <si>
    <t>常州奥阳房地产开发有限公司</t>
  </si>
  <si>
    <t>武进区武南中路北侧,新平路西侧</t>
  </si>
  <si>
    <t>2018-09-21</t>
  </si>
  <si>
    <t>武进区东龙南路西侧,卢中街南侧</t>
  </si>
  <si>
    <t>2018-08-23</t>
  </si>
  <si>
    <t>武进区武南中路北侧,新平路东侧</t>
  </si>
  <si>
    <t>＞1且≤1.8</t>
  </si>
  <si>
    <t>2018-06-22</t>
  </si>
  <si>
    <t>镇江美的房地产发展有限公司</t>
  </si>
  <si>
    <t>东方东路北侧常青路西侧</t>
  </si>
  <si>
    <t>≥1.8且≤2.2</t>
  </si>
  <si>
    <t>2018-06-21</t>
  </si>
  <si>
    <t>华润置地(常州)有限公司</t>
  </si>
  <si>
    <t>武进区延政中大道南侧,凤林北路东侧</t>
  </si>
  <si>
    <t>＞1且≤1.44</t>
  </si>
  <si>
    <t>2018-05-20</t>
  </si>
  <si>
    <t>常州新城宏业房地产有限公司</t>
  </si>
  <si>
    <t>武进区延政大道南侧,牛溪路西侧</t>
  </si>
  <si>
    <t>1＜容积率≤2.20</t>
  </si>
  <si>
    <t>2018-05-11</t>
  </si>
  <si>
    <t>武进高新区武进西大道南侧,新知路东侧</t>
  </si>
  <si>
    <t>1＜容积率≤1.80</t>
  </si>
  <si>
    <t>2018-04-19</t>
  </si>
  <si>
    <t>荣盛</t>
  </si>
  <si>
    <t>武进高新区镜湖西路北侧、凤林南路西侧</t>
  </si>
  <si>
    <t>住宅/其他普通商品住房用地</t>
  </si>
  <si>
    <t>2018-03-29</t>
  </si>
  <si>
    <t>常州万方新城房地产开发有限公司*(新城)</t>
  </si>
  <si>
    <t>顺通路东侧、公园路南侧</t>
  </si>
  <si>
    <t>2018-03-21</t>
  </si>
  <si>
    <t>江苏港龙华扬置业有限公司</t>
  </si>
  <si>
    <t>山水路北侧、232省道东侧</t>
  </si>
  <si>
    <t>常州市丰乐房地产开发有限公司</t>
  </si>
  <si>
    <t>武进区洛阳镇珠光路东侧、公园路南侧</t>
  </si>
  <si>
    <t>2018-02-28</t>
  </si>
  <si>
    <t>常州新城金郡房地产有限公司</t>
  </si>
  <si>
    <t>武进区采菱家园北侧</t>
  </si>
  <si>
    <t>其他、普通商品住房用地</t>
  </si>
  <si>
    <t>2017-12-13</t>
  </si>
  <si>
    <t>常州嘉宏融科置业发展有限公司</t>
  </si>
  <si>
    <t>武进区西太湖环湖北路北侧、竹月路西侧</t>
  </si>
  <si>
    <t>1.20≤容积率≤1.80</t>
  </si>
  <si>
    <t>2017-10-19</t>
  </si>
  <si>
    <t>常州建源房地产开发公司</t>
  </si>
  <si>
    <t>湖塘镇大通东路以南,社桥路以西</t>
  </si>
  <si>
    <t>1＜容积率≤1.50</t>
  </si>
  <si>
    <t>2017-08-11</t>
  </si>
  <si>
    <t>常州绿城置业有限公司</t>
  </si>
  <si>
    <t>武进高新区顺龙河北侧、新知路以西</t>
  </si>
  <si>
    <t>1＜容积率≤2.50</t>
  </si>
  <si>
    <t>2017-07-06</t>
  </si>
  <si>
    <t>常州众创汇置业有限公司</t>
  </si>
  <si>
    <t>常州经开区三观路北侧红丰路东侧</t>
  </si>
  <si>
    <t>2017-06-27</t>
  </si>
  <si>
    <t>常州经开区顺通西路北侧、明清路西侧地块</t>
  </si>
  <si>
    <t>常州经开区劳动东路北侧京杭大运河东侧</t>
  </si>
  <si>
    <t>1＜容积率≤3.20</t>
  </si>
  <si>
    <t>常州经开区华昌路东侧夏和路南侧地块</t>
  </si>
  <si>
    <t>镇江润德置业有限公司</t>
  </si>
  <si>
    <t>湖塘镇花园街东侧、人民中路北侧地块</t>
  </si>
  <si>
    <t>1＜容积率≤2.40</t>
  </si>
  <si>
    <t>2017-06-22</t>
  </si>
  <si>
    <t>徐州市美的新城房地产开发有限公司</t>
  </si>
  <si>
    <t>住宅</t>
    <phoneticPr fontId="26" type="noConversion"/>
  </si>
  <si>
    <t>70</t>
    <phoneticPr fontId="26" type="noConversion"/>
  </si>
  <si>
    <t>楼面地价</t>
  </si>
  <si>
    <t>较好</t>
  </si>
  <si>
    <t>较好</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</si>
  <si>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</si>
  <si>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</si>
  <si>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</si>
  <si>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</si>
  <si>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</si>
  <si>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</si>
  <si>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</si>
  <si>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</si>
  <si>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</si>
  <si>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</si>
  <si>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</si>
  <si>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有</t>
    <phoneticPr fontId="26" type="noConversion"/>
  </si>
  <si>
    <t>无</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</si>
  <si>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</si>
  <si>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</si>
  <si>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</si>
  <si>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</si>
  <si>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</si>
  <si>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</si>
  <si>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津通国际智慧谷</t>
    <phoneticPr fontId="3" type="noConversion"/>
  </si>
  <si>
    <t>住宅</t>
    <phoneticPr fontId="21" type="noConversion"/>
  </si>
  <si>
    <t>60-70（含）</t>
  </si>
  <si>
    <t>有装修</t>
  </si>
  <si>
    <t>有装修</t>
    <phoneticPr fontId="21" type="noConversion"/>
  </si>
  <si>
    <t>毛坯</t>
  </si>
  <si>
    <t>绿地香奈</t>
    <phoneticPr fontId="3" type="noConversion"/>
  </si>
  <si>
    <t>碧桂园都市森林</t>
    <phoneticPr fontId="3" type="noConversion"/>
  </si>
  <si>
    <t>一般</t>
  </si>
  <si>
    <t>六通</t>
    <phoneticPr fontId="21" type="noConversion"/>
  </si>
  <si>
    <t>售价</t>
  </si>
  <si>
    <t>钢混</t>
    <phoneticPr fontId="21" type="noConversion"/>
  </si>
  <si>
    <t>洋房、小高层</t>
  </si>
  <si>
    <t>洋房、小高层</t>
    <phoneticPr fontId="21" type="noConversion"/>
  </si>
  <si>
    <t>叠拼</t>
    <phoneticPr fontId="21" type="noConversion"/>
  </si>
  <si>
    <t>合院</t>
    <phoneticPr fontId="21" type="noConversion"/>
  </si>
  <si>
    <t>建筑类型</t>
    <phoneticPr fontId="3" type="noConversion"/>
  </si>
  <si>
    <t>洋房、小高层</t>
    <phoneticPr fontId="21" type="noConversion"/>
  </si>
  <si>
    <t>叠拼</t>
    <phoneticPr fontId="21" type="noConversion"/>
  </si>
  <si>
    <t>合院</t>
    <phoneticPr fontId="21" type="noConversion"/>
  </si>
  <si>
    <t>装修</t>
    <phoneticPr fontId="3" type="noConversion"/>
  </si>
  <si>
    <t>精装</t>
    <phoneticPr fontId="21" type="noConversion"/>
  </si>
  <si>
    <t>普装</t>
    <phoneticPr fontId="21" type="noConversion"/>
  </si>
  <si>
    <t>简装</t>
    <phoneticPr fontId="21" type="noConversion"/>
  </si>
  <si>
    <t>毛坯</t>
    <phoneticPr fontId="21" type="noConversion"/>
  </si>
  <si>
    <r>
      <rPr>
        <sz val="11"/>
        <color indexed="8"/>
        <rFont val="宋体"/>
        <family val="3"/>
        <charset val="134"/>
      </rPr>
      <t>不动产收益法</t>
    </r>
    <r>
      <rPr>
        <sz val="11"/>
        <color indexed="8"/>
        <rFont val="宋体"/>
        <family val="3"/>
        <charset val="134"/>
      </rPr>
      <t>商业</t>
    </r>
    <phoneticPr fontId="14" type="noConversion"/>
  </si>
  <si>
    <r>
      <rPr>
        <sz val="11"/>
        <color indexed="8"/>
        <rFont val="宋体"/>
        <family val="3"/>
        <charset val="134"/>
      </rPr>
      <t>不动产收益法</t>
    </r>
    <r>
      <rPr>
        <sz val="11"/>
        <color indexed="8"/>
        <rFont val="宋体"/>
        <family val="3"/>
        <charset val="134"/>
      </rPr>
      <t>办公</t>
    </r>
    <phoneticPr fontId="14" type="noConversion"/>
  </si>
  <si>
    <t>押一</t>
  </si>
  <si>
    <t>不动产收益法商业</t>
  </si>
  <si>
    <t>不动产收益法办公</t>
  </si>
  <si>
    <r>
      <rPr>
        <sz val="10"/>
        <color indexed="8"/>
        <rFont val="宋体"/>
        <family val="3"/>
        <charset val="134"/>
      </rPr>
      <t>商业</t>
    </r>
    <r>
      <rPr>
        <sz val="10"/>
        <color indexed="8"/>
        <rFont val="Arial"/>
        <family val="2"/>
      </rPr>
      <t>1</t>
    </r>
    <r>
      <rPr>
        <sz val="10"/>
        <color indexed="8"/>
        <rFont val="宋体"/>
        <family val="3"/>
        <charset val="134"/>
      </rPr>
      <t>层</t>
    </r>
    <phoneticPr fontId="3"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</si>
  <si>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3" type="noConversion"/>
  </si>
  <si>
    <t>1-3层商铺19000</t>
    <phoneticPr fontId="228" type="noConversion"/>
  </si>
  <si>
    <t>折扣后最多便宜1000，一般便宜500-800</t>
    <phoneticPr fontId="228" type="noConversion"/>
  </si>
  <si>
    <t>较规则</t>
  </si>
  <si>
    <t>有</t>
    <phoneticPr fontId="26" type="noConversion"/>
  </si>
  <si>
    <t>有</t>
    <phoneticPr fontId="26" type="noConversion"/>
  </si>
  <si>
    <t>双面临街</t>
  </si>
  <si>
    <t>单面临街</t>
  </si>
  <si>
    <t>多面临街</t>
  </si>
  <si>
    <t>毛坯</t>
    <phoneticPr fontId="21" type="noConversion"/>
  </si>
  <si>
    <r>
      <rPr>
        <sz val="11"/>
        <color indexed="8"/>
        <rFont val="宋体"/>
        <family val="3"/>
        <charset val="134"/>
      </rPr>
      <t>不动产收益法</t>
    </r>
    <r>
      <rPr>
        <sz val="11"/>
        <color indexed="8"/>
        <rFont val="宋体"/>
        <family val="3"/>
        <charset val="134"/>
      </rPr>
      <t>车库</t>
    </r>
    <phoneticPr fontId="14" type="noConversion"/>
  </si>
  <si>
    <t>不动产收益法车库</t>
  </si>
  <si>
    <t>1-2层商铺20000-21000</t>
    <phoneticPr fontId="228" type="noConversion"/>
  </si>
  <si>
    <t>客户信息</t>
  </si>
  <si>
    <t>认购</t>
  </si>
  <si>
    <t>签约</t>
  </si>
  <si>
    <t>房间号1</t>
  </si>
  <si>
    <t>住宅类型</t>
  </si>
  <si>
    <t>客户姓名</t>
  </si>
  <si>
    <t>认购日期</t>
  </si>
  <si>
    <t>定金</t>
  </si>
  <si>
    <t>面积</t>
  </si>
  <si>
    <t>认购金额</t>
  </si>
  <si>
    <t>签约日期</t>
  </si>
  <si>
    <t>签约月份</t>
  </si>
  <si>
    <t>签约金额</t>
  </si>
  <si>
    <t>签约单价</t>
  </si>
  <si>
    <t>首付</t>
  </si>
  <si>
    <t>39-甲-1101</t>
  </si>
  <si>
    <t>洋房</t>
  </si>
  <si>
    <t>张亚</t>
  </si>
  <si>
    <t>普通住宅</t>
  </si>
  <si>
    <t>39-甲-1001</t>
  </si>
  <si>
    <t>徐旻</t>
  </si>
  <si>
    <t>39-甲-901</t>
  </si>
  <si>
    <t>张红云</t>
  </si>
  <si>
    <t>39-甲-801</t>
  </si>
  <si>
    <t>严文玉</t>
  </si>
  <si>
    <t>39-甲-701</t>
  </si>
  <si>
    <t>杨波</t>
  </si>
  <si>
    <t>39-甲-601</t>
  </si>
  <si>
    <t>刘晓英</t>
  </si>
  <si>
    <t>39-甲-501</t>
  </si>
  <si>
    <t>吴仲华</t>
  </si>
  <si>
    <t>39-甲-401</t>
  </si>
  <si>
    <t>薛研、施辉</t>
  </si>
  <si>
    <t>39-甲-301</t>
  </si>
  <si>
    <t>李向魁</t>
  </si>
  <si>
    <t>39-甲-1102</t>
  </si>
  <si>
    <t>曹庆</t>
  </si>
  <si>
    <t>39-甲-1002</t>
  </si>
  <si>
    <t>张腊根</t>
  </si>
  <si>
    <t>39-甲-902</t>
  </si>
  <si>
    <t>蒋雍</t>
  </si>
  <si>
    <t>39-甲-802</t>
  </si>
  <si>
    <t>丁玲</t>
  </si>
  <si>
    <t>39-甲-702</t>
  </si>
  <si>
    <t>贡晶晶、杨俊</t>
  </si>
  <si>
    <t>39-甲-602</t>
  </si>
  <si>
    <t>李敏、裴秀萍</t>
  </si>
  <si>
    <t>39-甲-502</t>
  </si>
  <si>
    <t>李涛</t>
  </si>
  <si>
    <t>39-甲-402</t>
  </si>
  <si>
    <t>邱瑞泓</t>
  </si>
  <si>
    <t>39-甲-302</t>
  </si>
  <si>
    <t>孙剑</t>
  </si>
  <si>
    <t>39-甲-202</t>
  </si>
  <si>
    <t>朱政君,傅科雯</t>
  </si>
  <si>
    <t>39-甲-102</t>
  </si>
  <si>
    <t>任启双、乔如</t>
  </si>
  <si>
    <t>39-乙-1001</t>
  </si>
  <si>
    <t>李志华</t>
  </si>
  <si>
    <t>39-乙-901</t>
  </si>
  <si>
    <t>邵义、郭佳丽</t>
  </si>
  <si>
    <t>39-乙-801</t>
  </si>
  <si>
    <t>戴燕</t>
  </si>
  <si>
    <t>39-乙-701</t>
  </si>
  <si>
    <t>郑翌</t>
  </si>
  <si>
    <t>39-乙-601</t>
  </si>
  <si>
    <t>闻丽芬</t>
  </si>
  <si>
    <t>39-乙-501</t>
  </si>
  <si>
    <t>徐利菊</t>
  </si>
  <si>
    <t>39-乙-401</t>
  </si>
  <si>
    <t>姜欣宇</t>
  </si>
  <si>
    <t>39-乙-301</t>
  </si>
  <si>
    <t>何兰</t>
  </si>
  <si>
    <t>39-乙-201</t>
  </si>
  <si>
    <t>张远芳、卢桂珍</t>
  </si>
  <si>
    <t>39-乙-101</t>
  </si>
  <si>
    <t>柳波、言新芳</t>
  </si>
  <si>
    <t>39-乙-1102</t>
  </si>
  <si>
    <t>王冲</t>
  </si>
  <si>
    <t>39-乙-1002</t>
  </si>
  <si>
    <t>罗杜洋</t>
  </si>
  <si>
    <t>39-乙-902</t>
  </si>
  <si>
    <t>王韬</t>
  </si>
  <si>
    <t>39-乙-802</t>
  </si>
  <si>
    <t>蒋黎</t>
  </si>
  <si>
    <t>39-乙-702</t>
  </si>
  <si>
    <t>凌玉萍</t>
  </si>
  <si>
    <t>39-乙-602</t>
  </si>
  <si>
    <t>钱小虎、孙晔隽</t>
  </si>
  <si>
    <t>39-乙-502</t>
  </si>
  <si>
    <t>谢锋</t>
  </si>
  <si>
    <t>39-乙-402</t>
  </si>
  <si>
    <t>张玲</t>
  </si>
  <si>
    <t>39-乙-302</t>
  </si>
  <si>
    <t>胡启柱、龚溢林</t>
  </si>
  <si>
    <t>39-乙-202</t>
  </si>
  <si>
    <t>陈斌、吴金洪</t>
  </si>
  <si>
    <t>39-乙-102</t>
  </si>
  <si>
    <t>闵珂琦</t>
  </si>
  <si>
    <t>39-丙-1101</t>
  </si>
  <si>
    <t>刘淼</t>
  </si>
  <si>
    <t>39-丙-1001</t>
  </si>
  <si>
    <t>张毅</t>
  </si>
  <si>
    <t>39-丙-901</t>
  </si>
  <si>
    <t>孙傅芸</t>
  </si>
  <si>
    <t>39-丙-801</t>
  </si>
  <si>
    <t>李承宏、纪佩来</t>
  </si>
  <si>
    <t>39-丙-701</t>
  </si>
  <si>
    <t>符彩琴</t>
  </si>
  <si>
    <t>39-丙-601</t>
  </si>
  <si>
    <t>张姝馨</t>
  </si>
  <si>
    <t>39-丙-501</t>
  </si>
  <si>
    <t>王文伟,滕亚仙</t>
  </si>
  <si>
    <t>39-丙-301</t>
  </si>
  <si>
    <t>夏丽君</t>
  </si>
  <si>
    <t>39-丙-201</t>
  </si>
  <si>
    <t>李朵、徐洋龙</t>
  </si>
  <si>
    <t>39-丙-101</t>
  </si>
  <si>
    <t>陶亚燕</t>
  </si>
  <si>
    <t>39-丙-1102</t>
  </si>
  <si>
    <t>张小超</t>
  </si>
  <si>
    <t>非普通住宅</t>
  </si>
  <si>
    <t>39-丙-1002</t>
  </si>
  <si>
    <t>潘莉晶</t>
  </si>
  <si>
    <t>39-丙-902</t>
  </si>
  <si>
    <t>干建萍</t>
  </si>
  <si>
    <t>39-丙-802</t>
  </si>
  <si>
    <t>陈锡东</t>
  </si>
  <si>
    <t>39-丙-702</t>
  </si>
  <si>
    <t>陈莲锁</t>
  </si>
  <si>
    <t>39-丙-602</t>
  </si>
  <si>
    <t>蒋海红</t>
  </si>
  <si>
    <t>39-丙-502</t>
  </si>
  <si>
    <t>顾静</t>
  </si>
  <si>
    <t>39-丙-302</t>
  </si>
  <si>
    <t>李光舟</t>
  </si>
  <si>
    <t>39-丙-202</t>
  </si>
  <si>
    <t>周守明</t>
  </si>
  <si>
    <t>39-丙-102</t>
  </si>
  <si>
    <t>程伟</t>
  </si>
  <si>
    <t>44-甲-1101</t>
  </si>
  <si>
    <t>干叶飞</t>
  </si>
  <si>
    <t>44-甲-1001</t>
  </si>
  <si>
    <t>聂敬忠</t>
  </si>
  <si>
    <t>44-甲-901</t>
  </si>
  <si>
    <t>徐不畏</t>
  </si>
  <si>
    <t>44-甲-801</t>
  </si>
  <si>
    <t>聂敬礼</t>
  </si>
  <si>
    <t>44-甲-701</t>
  </si>
  <si>
    <t>杨阳</t>
  </si>
  <si>
    <t>44-甲-601</t>
  </si>
  <si>
    <t>蒋春燕、张兴大</t>
  </si>
  <si>
    <t>44-甲-501</t>
  </si>
  <si>
    <t>韩俊容</t>
  </si>
  <si>
    <t>44-甲-401</t>
  </si>
  <si>
    <t>王飞</t>
  </si>
  <si>
    <t>44-甲-301</t>
  </si>
  <si>
    <t>吕城</t>
  </si>
  <si>
    <t>44-甲-1102</t>
  </si>
  <si>
    <t>许军立</t>
  </si>
  <si>
    <t>44-甲-1002</t>
  </si>
  <si>
    <t>丁小洁</t>
  </si>
  <si>
    <t>44-甲-902</t>
  </si>
  <si>
    <t>贺翠兰</t>
  </si>
  <si>
    <t>44-甲-802</t>
  </si>
  <si>
    <t>44-甲-702</t>
  </si>
  <si>
    <t>苏琳、孙斌</t>
  </si>
  <si>
    <t>44-甲-602</t>
  </si>
  <si>
    <t>曾献华</t>
  </si>
  <si>
    <t>44-甲-502</t>
  </si>
  <si>
    <t>傅伟</t>
  </si>
  <si>
    <t>44-甲-402</t>
  </si>
  <si>
    <t>陈瑾</t>
  </si>
  <si>
    <t>44-甲-302</t>
  </si>
  <si>
    <t>黎宏平、甘秋菊</t>
  </si>
  <si>
    <t>44-甲-202</t>
  </si>
  <si>
    <t>陆兵</t>
  </si>
  <si>
    <t>44-乙-1101</t>
  </si>
  <si>
    <t>朱婷、郭彤</t>
  </si>
  <si>
    <t>44-乙-1001</t>
  </si>
  <si>
    <t>林丹光</t>
  </si>
  <si>
    <t>44-乙-901</t>
  </si>
  <si>
    <t>刘建国</t>
  </si>
  <si>
    <t>44-乙-801</t>
  </si>
  <si>
    <t>毕勇</t>
  </si>
  <si>
    <t>44-乙-701</t>
  </si>
  <si>
    <t>王华</t>
  </si>
  <si>
    <t>44-乙-601</t>
  </si>
  <si>
    <t>谢才强</t>
  </si>
  <si>
    <t>44-乙-501</t>
  </si>
  <si>
    <t>邹琳</t>
  </si>
  <si>
    <t>44-乙-401</t>
  </si>
  <si>
    <t>赵斌</t>
  </si>
  <si>
    <t>44-乙-301</t>
  </si>
  <si>
    <t>周俊</t>
  </si>
  <si>
    <t>44-乙-201</t>
  </si>
  <si>
    <t>44-乙-1102</t>
  </si>
  <si>
    <t>濮泽昱、濮小波</t>
  </si>
  <si>
    <t>44-乙-1002</t>
  </si>
  <si>
    <t>黄洪</t>
  </si>
  <si>
    <t>44-乙-902</t>
  </si>
  <si>
    <t>张鹏程、胥敏</t>
  </si>
  <si>
    <t>44-乙-802</t>
  </si>
  <si>
    <t>沈奕</t>
  </si>
  <si>
    <t>44-乙-702</t>
  </si>
  <si>
    <t>44-乙-602</t>
  </si>
  <si>
    <t>张苏洋</t>
  </si>
  <si>
    <t>44-乙-502</t>
  </si>
  <si>
    <t>周芷涵</t>
  </si>
  <si>
    <t>44-乙-402</t>
  </si>
  <si>
    <t>薛云鹏</t>
  </si>
  <si>
    <t>44-乙-302</t>
  </si>
  <si>
    <t>瞿晓犇</t>
  </si>
  <si>
    <t>44-乙-202</t>
  </si>
  <si>
    <t>44-丙-1101</t>
  </si>
  <si>
    <t>黄梅</t>
  </si>
  <si>
    <t>44-丙-1001</t>
  </si>
  <si>
    <t>甘俊杰、娄晓静</t>
  </si>
  <si>
    <t>44-丙-901</t>
  </si>
  <si>
    <t>彭海琴</t>
  </si>
  <si>
    <t>44-丙-801</t>
  </si>
  <si>
    <t>刘兰英</t>
  </si>
  <si>
    <t>44-丙-701</t>
  </si>
  <si>
    <t>夏大清</t>
  </si>
  <si>
    <t>44-丙-601</t>
  </si>
  <si>
    <t>陆启浩、董永珍</t>
  </si>
  <si>
    <t>44-丙-501</t>
  </si>
  <si>
    <t>陈平</t>
  </si>
  <si>
    <t>44-丙-401</t>
  </si>
  <si>
    <t>潘文君</t>
  </si>
  <si>
    <t>44-丙-301</t>
  </si>
  <si>
    <t>何煚</t>
  </si>
  <si>
    <t>44-丙-201</t>
  </si>
  <si>
    <t>刘锋朱泽莲</t>
  </si>
  <si>
    <t>44-丙-1102</t>
  </si>
  <si>
    <t>李明</t>
  </si>
  <si>
    <t>44-丙-1002</t>
  </si>
  <si>
    <t>田秋兴</t>
  </si>
  <si>
    <t>44-丙-902</t>
  </si>
  <si>
    <t>周冬艳</t>
  </si>
  <si>
    <t>44-丙-802</t>
  </si>
  <si>
    <t>钱兰</t>
  </si>
  <si>
    <t>44-丙-702</t>
  </si>
  <si>
    <t>44-丙-602</t>
  </si>
  <si>
    <t>韩海烽、张云亚</t>
  </si>
  <si>
    <t>44-丙-502</t>
  </si>
  <si>
    <t>查建芳</t>
  </si>
  <si>
    <t>44-丙-402</t>
  </si>
  <si>
    <t>丁云、李岳峰</t>
  </si>
  <si>
    <t>44-丙-302</t>
  </si>
  <si>
    <t>张薇雯</t>
  </si>
  <si>
    <t>44-丙-202</t>
  </si>
  <si>
    <t>余霞</t>
  </si>
  <si>
    <t>40-甲-101</t>
  </si>
  <si>
    <t>管欧</t>
  </si>
  <si>
    <t>40-甲-201</t>
  </si>
  <si>
    <t>吴钢</t>
  </si>
  <si>
    <t>40-甲-301</t>
  </si>
  <si>
    <t>壮能、金星</t>
  </si>
  <si>
    <t>40-甲-401</t>
  </si>
  <si>
    <t>史荣升、沈丹萍</t>
  </si>
  <si>
    <t>40-甲-501</t>
  </si>
  <si>
    <t>张彬、郭昆</t>
  </si>
  <si>
    <t>40-甲-601</t>
  </si>
  <si>
    <t>曹晓东,唐丽雅</t>
  </si>
  <si>
    <t>40-甲-701</t>
  </si>
  <si>
    <t>高静怡</t>
  </si>
  <si>
    <t>40-甲-801</t>
  </si>
  <si>
    <t>沈克文、周琴</t>
  </si>
  <si>
    <t>40-甲-901</t>
  </si>
  <si>
    <t>马益飞</t>
  </si>
  <si>
    <t>40-甲-1001</t>
  </si>
  <si>
    <t>朱振、周晓慧</t>
  </si>
  <si>
    <t>40-甲-1101</t>
  </si>
  <si>
    <t>张瑜</t>
  </si>
  <si>
    <t>40-甲-102</t>
  </si>
  <si>
    <t>壮琪、周敏</t>
  </si>
  <si>
    <t>40-甲-202</t>
  </si>
  <si>
    <t>赵娇华、高旭东</t>
  </si>
  <si>
    <t>40-甲-302</t>
  </si>
  <si>
    <t>李卫</t>
  </si>
  <si>
    <t>40-甲-402</t>
  </si>
  <si>
    <t>赵伟、韩茂林</t>
  </si>
  <si>
    <t>40-甲-502</t>
  </si>
  <si>
    <t>秦超、王晶雨</t>
  </si>
  <si>
    <t>40-甲-602</t>
  </si>
  <si>
    <t>周玲、徐正峰</t>
  </si>
  <si>
    <t>40-甲-702</t>
  </si>
  <si>
    <t>王芳</t>
  </si>
  <si>
    <t>40-甲-802</t>
  </si>
  <si>
    <t>赵颖</t>
  </si>
  <si>
    <t>40-甲-902</t>
  </si>
  <si>
    <t>恽晓明、苏秋</t>
  </si>
  <si>
    <t>40-甲-1002</t>
  </si>
  <si>
    <t>高玲玲</t>
  </si>
  <si>
    <t>40-甲-1102</t>
  </si>
  <si>
    <t>张慧</t>
  </si>
  <si>
    <t>40-乙-101</t>
  </si>
  <si>
    <t>肖红霞</t>
  </si>
  <si>
    <t>40-乙-201</t>
  </si>
  <si>
    <t>杨勇、赵红梅</t>
  </si>
  <si>
    <t>40-乙-301</t>
  </si>
  <si>
    <t>吴飞龙、饶文红</t>
  </si>
  <si>
    <t>40-乙-401</t>
  </si>
  <si>
    <t>王晓伟、上小英</t>
  </si>
  <si>
    <t>40-乙-501</t>
  </si>
  <si>
    <t>刘康、刘丹纯</t>
  </si>
  <si>
    <t>40-乙-601</t>
  </si>
  <si>
    <t>潘杨、陆娟芬</t>
  </si>
  <si>
    <t>40-乙-701</t>
  </si>
  <si>
    <t>李赟、丁路</t>
  </si>
  <si>
    <t>40-乙-801</t>
  </si>
  <si>
    <t>董小娟、解平毅</t>
  </si>
  <si>
    <t>40-乙-901</t>
  </si>
  <si>
    <t>李刚、王丙芳</t>
  </si>
  <si>
    <t>40-乙-1001</t>
  </si>
  <si>
    <t>刘伟明</t>
  </si>
  <si>
    <t>40-乙-1101</t>
  </si>
  <si>
    <t>高江东、刘玲</t>
  </si>
  <si>
    <t>40-乙-102</t>
  </si>
  <si>
    <t>栾巍、牟娇</t>
  </si>
  <si>
    <t>40-乙-202</t>
  </si>
  <si>
    <t>赵亮、李梅英</t>
  </si>
  <si>
    <t>40-乙-302</t>
  </si>
  <si>
    <t>杨玲玉</t>
  </si>
  <si>
    <t>40-乙-402</t>
  </si>
  <si>
    <t>40-乙-502</t>
  </si>
  <si>
    <t>薛时杰、杨梦璐</t>
  </si>
  <si>
    <t>40-乙-602</t>
  </si>
  <si>
    <t>高荣华、王德翠</t>
  </si>
  <si>
    <t>40-乙-702</t>
  </si>
  <si>
    <t>万琴娣</t>
  </si>
  <si>
    <t>40-乙-802</t>
  </si>
  <si>
    <t>徐晓燕</t>
  </si>
  <si>
    <t>40-乙-902</t>
  </si>
  <si>
    <t>陈康</t>
  </si>
  <si>
    <t>40-乙-1002</t>
  </si>
  <si>
    <t>罗婷</t>
  </si>
  <si>
    <t>40-乙-1102</t>
  </si>
  <si>
    <t>徐卉</t>
  </si>
  <si>
    <t>40-丙-101</t>
  </si>
  <si>
    <t>万梨花</t>
  </si>
  <si>
    <t>40-丙-201</t>
  </si>
  <si>
    <t>胡宗留</t>
  </si>
  <si>
    <t>40-丙-301</t>
  </si>
  <si>
    <t>孙靖、严丽娟</t>
  </si>
  <si>
    <t>40-丙-401</t>
  </si>
  <si>
    <t>杨莹</t>
  </si>
  <si>
    <t>40-丙-501</t>
  </si>
  <si>
    <t>陶为华、齐欣欣</t>
  </si>
  <si>
    <t>40-丙-601</t>
  </si>
  <si>
    <t>周岩旺、胡路露</t>
  </si>
  <si>
    <t>40-丙-701</t>
  </si>
  <si>
    <t>严嘉、邵洁</t>
  </si>
  <si>
    <t>40-丙-801</t>
  </si>
  <si>
    <t>沈建明、朱永姝、沈鸿</t>
  </si>
  <si>
    <t>40-丙-901</t>
  </si>
  <si>
    <t>柳杨</t>
  </si>
  <si>
    <t>40-丙-1001</t>
  </si>
  <si>
    <t>朱成明、张亚萍、朱迪</t>
  </si>
  <si>
    <t>40-丙-1101</t>
  </si>
  <si>
    <t>王夏衍、李梦营</t>
  </si>
  <si>
    <t>40-丙-102</t>
  </si>
  <si>
    <t>40-丙-202</t>
  </si>
  <si>
    <t>周茜、刘凯</t>
  </si>
  <si>
    <t>40-丙-302</t>
  </si>
  <si>
    <t>郑小风</t>
  </si>
  <si>
    <t>40-丙-402</t>
  </si>
  <si>
    <t>徐小军</t>
  </si>
  <si>
    <t>40-丙-502</t>
  </si>
  <si>
    <t>陆晓飞、朱杭金</t>
  </si>
  <si>
    <t>40-丙-602</t>
  </si>
  <si>
    <t>王钱浪、张小丽</t>
  </si>
  <si>
    <t>40-丙-702</t>
  </si>
  <si>
    <t>薛芬、吴凯</t>
  </si>
  <si>
    <t>40-丙-802</t>
  </si>
  <si>
    <t>彭广民、周海萍</t>
  </si>
  <si>
    <t>40-丙-902</t>
  </si>
  <si>
    <t>张浩、杨佳静</t>
  </si>
  <si>
    <t>40-丙-1002</t>
  </si>
  <si>
    <t>陈飞、胡惠蓉</t>
  </si>
  <si>
    <t>40-丙-1102</t>
  </si>
  <si>
    <t>张文斌、汪霞</t>
  </si>
  <si>
    <t>45-甲-201</t>
  </si>
  <si>
    <t>王杰、吴晓蓉</t>
  </si>
  <si>
    <t>45-甲-301</t>
  </si>
  <si>
    <t>唐春玲</t>
  </si>
  <si>
    <t>45-甲-401</t>
  </si>
  <si>
    <t>45-甲-501</t>
  </si>
  <si>
    <t>郭琦、金科</t>
  </si>
  <si>
    <t>45-甲-601</t>
  </si>
  <si>
    <t>王希、莫泓霖</t>
  </si>
  <si>
    <t>45-甲-701</t>
  </si>
  <si>
    <t>杨晓光、虞新燕</t>
  </si>
  <si>
    <t>45-甲-801</t>
  </si>
  <si>
    <t>王卓越、褚张霞</t>
  </si>
  <si>
    <t>45-甲-901</t>
  </si>
  <si>
    <t>蒋磊、何琦</t>
  </si>
  <si>
    <t>45-甲-1001</t>
  </si>
  <si>
    <t>薛源、蒋琳</t>
  </si>
  <si>
    <t>45-甲-1101</t>
  </si>
  <si>
    <t>戈丽娜</t>
  </si>
  <si>
    <t>45-甲-202</t>
  </si>
  <si>
    <t>周佳炜</t>
  </si>
  <si>
    <t>45-甲-302</t>
  </si>
  <si>
    <t>张琳</t>
  </si>
  <si>
    <t>45-甲-402</t>
  </si>
  <si>
    <t>王海美、蒋飞</t>
  </si>
  <si>
    <t>45-甲-502</t>
  </si>
  <si>
    <t>沈小霞</t>
  </si>
  <si>
    <t>45-甲-602</t>
  </si>
  <si>
    <t>廖新化</t>
  </si>
  <si>
    <t>45-甲-702</t>
  </si>
  <si>
    <t>邓可明、李玲月、邓毅超</t>
  </si>
  <si>
    <t>45-甲-802</t>
  </si>
  <si>
    <t>薛兴旭、夏敏</t>
  </si>
  <si>
    <t>45-甲-902</t>
  </si>
  <si>
    <t>吴佳铭、陈志菊、吴国兴</t>
  </si>
  <si>
    <t>45-甲-1002</t>
  </si>
  <si>
    <t>赵晓泽、钱水平</t>
  </si>
  <si>
    <t>45-甲-1102</t>
  </si>
  <si>
    <t>许胜、马红梅</t>
  </si>
  <si>
    <t>45-乙-201</t>
  </si>
  <si>
    <t>仰志辉、王凤弟</t>
  </si>
  <si>
    <t>45-乙-301</t>
  </si>
  <si>
    <t>朱海元、张国进</t>
  </si>
  <si>
    <t>45-乙-401</t>
  </si>
  <si>
    <t>蒋志龙、孙红娣</t>
  </si>
  <si>
    <t>45-乙-501</t>
  </si>
  <si>
    <t>夏伦杰、赵洁</t>
  </si>
  <si>
    <t>45-乙-601</t>
  </si>
  <si>
    <t>钱孙广、杨佳媛</t>
  </si>
  <si>
    <t>45-乙-701</t>
  </si>
  <si>
    <t>陈刚、杨莉亚</t>
  </si>
  <si>
    <t>45-乙-801</t>
  </si>
  <si>
    <t>蒋建伟、吴春花</t>
  </si>
  <si>
    <t>45-乙-901</t>
  </si>
  <si>
    <t>胡来元</t>
  </si>
  <si>
    <t>45-乙-1001</t>
  </si>
  <si>
    <t>芦婷</t>
  </si>
  <si>
    <t>45-乙-1101</t>
  </si>
  <si>
    <t>蒋迪</t>
  </si>
  <si>
    <t>45-乙-202</t>
  </si>
  <si>
    <t>王护平、陈家克</t>
  </si>
  <si>
    <t>45-乙-302</t>
  </si>
  <si>
    <t>姜洪峰、张小亚</t>
  </si>
  <si>
    <t>45-乙-402</t>
  </si>
  <si>
    <t>卢伟、韦妙</t>
  </si>
  <si>
    <t>45-乙-502</t>
  </si>
  <si>
    <t>何凯、蒋敏</t>
  </si>
  <si>
    <t>45-乙-602</t>
  </si>
  <si>
    <t>曹海燕</t>
  </si>
  <si>
    <t>45-乙-702</t>
  </si>
  <si>
    <t>张珍</t>
  </si>
  <si>
    <t>45-乙-802</t>
  </si>
  <si>
    <t>曾国科</t>
  </si>
  <si>
    <t>45-乙-902</t>
  </si>
  <si>
    <t>梁花容</t>
  </si>
  <si>
    <t>45-乙-1002</t>
  </si>
  <si>
    <t>龙卫丽</t>
  </si>
  <si>
    <t>45-乙-1102</t>
  </si>
  <si>
    <t>陆晨、朱丽霞</t>
  </si>
  <si>
    <t>45-丙-201</t>
  </si>
  <si>
    <t>徐兰英</t>
  </si>
  <si>
    <t>45-丙-301</t>
  </si>
  <si>
    <t>杨蕊、杨学良</t>
  </si>
  <si>
    <t>45-丙-401</t>
  </si>
  <si>
    <t>浦亚方、李杰</t>
  </si>
  <si>
    <t>45-丙-501</t>
  </si>
  <si>
    <t>徐艺嘉、李安康</t>
  </si>
  <si>
    <t>45-丙-601</t>
  </si>
  <si>
    <t>邓科、王瑞英</t>
  </si>
  <si>
    <t>45-丙-701</t>
  </si>
  <si>
    <t>雷菲</t>
  </si>
  <si>
    <t>45-丙-801</t>
  </si>
  <si>
    <t>游欢欢、吴彬</t>
  </si>
  <si>
    <t>45-丙-901</t>
  </si>
  <si>
    <t>王斌、陆雁容</t>
  </si>
  <si>
    <t>45-丙-1001</t>
  </si>
  <si>
    <t>朱凯明、陈丽</t>
  </si>
  <si>
    <t>45-丙-1101</t>
  </si>
  <si>
    <t>恽洁华</t>
  </si>
  <si>
    <t>45-丙-202</t>
  </si>
  <si>
    <t>45-丙-302</t>
  </si>
  <si>
    <t>吴杰笑子、王芳冰</t>
  </si>
  <si>
    <t>45-丙-402</t>
  </si>
  <si>
    <t>许谦</t>
  </si>
  <si>
    <t>45-丙-502</t>
  </si>
  <si>
    <t>白禹、李琰芬</t>
  </si>
  <si>
    <t>45-丙-602</t>
  </si>
  <si>
    <t>壮锋、孙晓琴</t>
  </si>
  <si>
    <t>45-丙-702</t>
  </si>
  <si>
    <t>虞斐</t>
  </si>
  <si>
    <t>45-丙-802</t>
  </si>
  <si>
    <t>蒋逸波、王政欢</t>
  </si>
  <si>
    <t>45-丙-902</t>
  </si>
  <si>
    <t>吴珂、管健</t>
  </si>
  <si>
    <t>45-丙-1002</t>
  </si>
  <si>
    <t>徐晶、马成果</t>
  </si>
  <si>
    <t>45-丙-1102</t>
  </si>
  <si>
    <t>王鸿璋</t>
  </si>
  <si>
    <t>43-甲-101</t>
  </si>
  <si>
    <t>金加洪、黄一虹</t>
  </si>
  <si>
    <t>43-甲-201</t>
  </si>
  <si>
    <t>王常青、丁爱平</t>
  </si>
  <si>
    <t>43-甲-301</t>
  </si>
  <si>
    <t>凌霄</t>
  </si>
  <si>
    <t>43-甲-401</t>
  </si>
  <si>
    <t>张玉</t>
  </si>
  <si>
    <t>43-甲-501</t>
  </si>
  <si>
    <t>吴敏</t>
  </si>
  <si>
    <t>43-甲-601</t>
  </si>
  <si>
    <t>李辉贤</t>
  </si>
  <si>
    <t>43-甲-701</t>
  </si>
  <si>
    <t>徐丽文、徐小青</t>
  </si>
  <si>
    <t>43-甲-801</t>
  </si>
  <si>
    <t>施丽珏</t>
  </si>
  <si>
    <t>43-甲-901</t>
  </si>
  <si>
    <t>蒋珍、叶卢宇</t>
  </si>
  <si>
    <t>43-乙-101</t>
  </si>
  <si>
    <t>刘洪江</t>
  </si>
  <si>
    <t>43-乙-201</t>
  </si>
  <si>
    <t>陈丽珏</t>
  </si>
  <si>
    <t>43-乙-301</t>
  </si>
  <si>
    <t>李晓东、李文英</t>
  </si>
  <si>
    <t>43-乙-401</t>
  </si>
  <si>
    <t>陈小俊</t>
  </si>
  <si>
    <t>43-乙-501</t>
  </si>
  <si>
    <t>许妍琦、周春强</t>
  </si>
  <si>
    <t>43-乙-601</t>
  </si>
  <si>
    <t>张建红、恽德伟</t>
  </si>
  <si>
    <t>43-乙-701</t>
  </si>
  <si>
    <t>史悦熙、黄秉慧</t>
  </si>
  <si>
    <t>43-乙-801</t>
  </si>
  <si>
    <t>仇腾飞、王香丽</t>
  </si>
  <si>
    <t>43-乙-901</t>
  </si>
  <si>
    <t>张军</t>
  </si>
  <si>
    <t>43-乙-1001</t>
  </si>
  <si>
    <t>颜锦龙</t>
  </si>
  <si>
    <t>43-丙-201</t>
  </si>
  <si>
    <t>龚黎菊</t>
  </si>
  <si>
    <t>43-丙-301</t>
  </si>
  <si>
    <t>刘凯、王霞</t>
  </si>
  <si>
    <t>43-丙-401</t>
  </si>
  <si>
    <t>林俊、董晨婷</t>
  </si>
  <si>
    <t>43-丙-501</t>
  </si>
  <si>
    <t>杨国军</t>
  </si>
  <si>
    <t>43-丙-601</t>
  </si>
  <si>
    <t>缪立斌、张湘倩</t>
  </si>
  <si>
    <t>43-丙-701</t>
  </si>
  <si>
    <t>陶黎清、李小俊</t>
  </si>
  <si>
    <t>43-丙-801</t>
  </si>
  <si>
    <t>吴洪涛、刘娜</t>
  </si>
  <si>
    <t>43-丙-901</t>
  </si>
  <si>
    <t>陆阳、史燕静</t>
  </si>
  <si>
    <t>43-丙-1001</t>
  </si>
  <si>
    <t>陈一奇</t>
  </si>
  <si>
    <t>43-甲-102</t>
  </si>
  <si>
    <t>苏永飞、于文琴</t>
  </si>
  <si>
    <t>43-甲-202</t>
  </si>
  <si>
    <t>陈武</t>
  </si>
  <si>
    <t>43-甲-302</t>
  </si>
  <si>
    <t>王加一</t>
  </si>
  <si>
    <t>43-甲-402</t>
  </si>
  <si>
    <t>朱奇艳</t>
  </si>
  <si>
    <t>43-甲-502</t>
  </si>
  <si>
    <t>刘银媛</t>
  </si>
  <si>
    <t>43-甲-602</t>
  </si>
  <si>
    <t>赵科汇、张林华</t>
  </si>
  <si>
    <t>43-甲-702</t>
  </si>
  <si>
    <t>张芝玉、吴红成</t>
  </si>
  <si>
    <t>43-甲-802</t>
  </si>
  <si>
    <t>张芝兰、刘晓明</t>
  </si>
  <si>
    <t>43-甲-902</t>
  </si>
  <si>
    <t>秦建红、姚一如</t>
  </si>
  <si>
    <t>43-甲-1002</t>
  </si>
  <si>
    <t>王煜</t>
  </si>
  <si>
    <t>43-乙-102</t>
  </si>
  <si>
    <t>夏阿大</t>
  </si>
  <si>
    <t>43-乙-202</t>
  </si>
  <si>
    <t>岳炜、沈燕</t>
  </si>
  <si>
    <t>43-乙-302</t>
  </si>
  <si>
    <t>毛建杰</t>
  </si>
  <si>
    <t>43-乙-402</t>
  </si>
  <si>
    <t>黄旭华</t>
  </si>
  <si>
    <t>43-乙-502</t>
  </si>
  <si>
    <t>王卫琴、陈小明</t>
  </si>
  <si>
    <t>43-乙-602</t>
  </si>
  <si>
    <t>赵婷婷</t>
  </si>
  <si>
    <t>43-乙-702</t>
  </si>
  <si>
    <t>沈艳、丁梓轩</t>
  </si>
  <si>
    <t>43-乙-802</t>
  </si>
  <si>
    <t>潘松、蔡英</t>
  </si>
  <si>
    <t>43-乙-902</t>
  </si>
  <si>
    <t>刘奕钢</t>
  </si>
  <si>
    <t>43-乙-1002</t>
  </si>
  <si>
    <t>孙程</t>
  </si>
  <si>
    <t>43-丙-302</t>
  </si>
  <si>
    <t>王振宇、傅婷婷</t>
  </si>
  <si>
    <t>43-丙-402</t>
  </si>
  <si>
    <t>陈越</t>
  </si>
  <si>
    <t>43-丙-502</t>
  </si>
  <si>
    <t>杜嘉骏</t>
  </si>
  <si>
    <t>43-丙-602</t>
  </si>
  <si>
    <t>蒋婷、周园</t>
  </si>
  <si>
    <t>43-丙-702</t>
  </si>
  <si>
    <t>许渊</t>
  </si>
  <si>
    <t>43-丙-802</t>
  </si>
  <si>
    <t>刘长生</t>
  </si>
  <si>
    <t>43-丙-902</t>
  </si>
  <si>
    <t>张凤乐</t>
  </si>
  <si>
    <t>43-丙-1002</t>
  </si>
  <si>
    <t>邓达、蒋红波</t>
  </si>
  <si>
    <t>49-甲-201</t>
  </si>
  <si>
    <t>王爱莲</t>
  </si>
  <si>
    <t>49-甲-301</t>
  </si>
  <si>
    <t>王晓丽</t>
  </si>
  <si>
    <t>49-甲-401</t>
  </si>
  <si>
    <t>曹磊、田司琪</t>
  </si>
  <si>
    <t>49-甲-501</t>
  </si>
  <si>
    <t>刘瑞杰、魏伟</t>
  </si>
  <si>
    <t>49-甲-601</t>
  </si>
  <si>
    <t>胡杨</t>
  </si>
  <si>
    <t>49-甲-701</t>
  </si>
  <si>
    <t>蒋培荣、蒋淑英</t>
  </si>
  <si>
    <t>49-甲-801</t>
  </si>
  <si>
    <t>刘菲</t>
  </si>
  <si>
    <t>49-甲-901</t>
  </si>
  <si>
    <t>万伟东、邵菊芬</t>
  </si>
  <si>
    <t>49-甲-1001</t>
  </si>
  <si>
    <t>孙维娜</t>
  </si>
  <si>
    <t>49-甲-1101</t>
  </si>
  <si>
    <t>陈梁、周捷</t>
  </si>
  <si>
    <t>49-乙-201</t>
  </si>
  <si>
    <t>蒋屹</t>
  </si>
  <si>
    <t>49-乙-301</t>
  </si>
  <si>
    <t>潘凌栋</t>
  </si>
  <si>
    <t>49-乙-401</t>
  </si>
  <si>
    <t>李鸿峰、赵婧琦</t>
  </si>
  <si>
    <t>49-乙-501</t>
  </si>
  <si>
    <t>刘玉飞、张美荣</t>
  </si>
  <si>
    <t>49-乙-601</t>
  </si>
  <si>
    <t>邵骏飞、邓珍妮</t>
  </si>
  <si>
    <t>49-乙-701</t>
  </si>
  <si>
    <t>蒋雨辰</t>
  </si>
  <si>
    <t>49-乙-801</t>
  </si>
  <si>
    <t>冷亚华</t>
  </si>
  <si>
    <t>49-乙-901</t>
  </si>
  <si>
    <t>储旻辉、郭婉、储青、裴福美</t>
  </si>
  <si>
    <t>49-乙-1001</t>
  </si>
  <si>
    <t>张语涵</t>
  </si>
  <si>
    <t>49-乙-1101</t>
  </si>
  <si>
    <t>徐春燕</t>
  </si>
  <si>
    <t>49-丙-201</t>
  </si>
  <si>
    <t>别东远</t>
  </si>
  <si>
    <t>49-丙-301</t>
  </si>
  <si>
    <t>张卫美</t>
  </si>
  <si>
    <t>49-丙-401</t>
  </si>
  <si>
    <t>李沁莹、史俊</t>
  </si>
  <si>
    <t>49-丙-501</t>
  </si>
  <si>
    <t>唐丽君、金虎</t>
  </si>
  <si>
    <t>49-丙-601</t>
  </si>
  <si>
    <t>徐茜、徐内</t>
  </si>
  <si>
    <t>49-丙-701</t>
  </si>
  <si>
    <t>49-丙-801</t>
  </si>
  <si>
    <t>张峰磊、姚瑶</t>
  </si>
  <si>
    <t>49-丙-901</t>
  </si>
  <si>
    <t>朱荷芬</t>
  </si>
  <si>
    <t>49-丙-1001</t>
  </si>
  <si>
    <t>张慧、费国超</t>
  </si>
  <si>
    <t>49-丙-1101</t>
  </si>
  <si>
    <t>王金福、张海涛</t>
  </si>
  <si>
    <t>49-甲-202</t>
  </si>
  <si>
    <t>王辉</t>
  </si>
  <si>
    <t>49-甲-302</t>
  </si>
  <si>
    <t>臧彦姣</t>
  </si>
  <si>
    <t>49-甲-402</t>
  </si>
  <si>
    <t>莫惠芬</t>
  </si>
  <si>
    <t>49-甲-502</t>
  </si>
  <si>
    <t>缪苗、汪金</t>
  </si>
  <si>
    <t>49-甲-602</t>
  </si>
  <si>
    <t>乔楠、陈奕</t>
  </si>
  <si>
    <t>49-甲-702</t>
  </si>
  <si>
    <t>庄源琳</t>
  </si>
  <si>
    <t>49-甲-802</t>
  </si>
  <si>
    <t>储群、卢庆、卢尧</t>
  </si>
  <si>
    <t>49-甲-902</t>
  </si>
  <si>
    <t>卞秀芬、张建强</t>
  </si>
  <si>
    <t>49-甲-1002</t>
  </si>
  <si>
    <t>倪恺</t>
  </si>
  <si>
    <t>49-甲-1102</t>
  </si>
  <si>
    <t>刘毅</t>
  </si>
  <si>
    <t>49-乙-202</t>
  </si>
  <si>
    <t>时晓芬</t>
  </si>
  <si>
    <t>49-乙-302</t>
  </si>
  <si>
    <t>49-乙-402</t>
  </si>
  <si>
    <t>周威廉、梅丽萍</t>
  </si>
  <si>
    <t>49-乙-502</t>
  </si>
  <si>
    <t>王英、蒋斌松</t>
  </si>
  <si>
    <t>49-乙-602</t>
  </si>
  <si>
    <t>丁文斌、丁梦琦</t>
  </si>
  <si>
    <t>49-乙-702</t>
  </si>
  <si>
    <t>石晓荣、张敏</t>
  </si>
  <si>
    <t>49-乙-802</t>
  </si>
  <si>
    <t>高祎玥</t>
  </si>
  <si>
    <t>49-乙-902</t>
  </si>
  <si>
    <t>金怡、吴丁平</t>
  </si>
  <si>
    <t>49-乙-1002</t>
  </si>
  <si>
    <t>49-乙-1102</t>
  </si>
  <si>
    <t>杨欢、闵敏</t>
  </si>
  <si>
    <t>49-丙-302</t>
  </si>
  <si>
    <t>张雷、石建云</t>
  </si>
  <si>
    <t>49-丙-402</t>
  </si>
  <si>
    <t>柳超、刘英杰</t>
  </si>
  <si>
    <t>49-丙-502</t>
  </si>
  <si>
    <t>杨桂兰、薛金荣</t>
  </si>
  <si>
    <t>49-丙-602</t>
  </si>
  <si>
    <t>戴文君</t>
  </si>
  <si>
    <t>49-丙-702</t>
  </si>
  <si>
    <t>杨猛</t>
  </si>
  <si>
    <t>49-丙-802</t>
  </si>
  <si>
    <t>王杏琴</t>
  </si>
  <si>
    <t>49-丙-902</t>
  </si>
  <si>
    <t>洪森、陈井玉</t>
  </si>
  <si>
    <t>49-丙-1002</t>
  </si>
  <si>
    <t>李建忠</t>
  </si>
  <si>
    <t>49-丙-1102</t>
  </si>
  <si>
    <t>徐洪华、高文雅</t>
  </si>
  <si>
    <t>48-甲-201</t>
  </si>
  <si>
    <t>贺建东</t>
  </si>
  <si>
    <t>48-甲-301</t>
  </si>
  <si>
    <t>刘钰</t>
  </si>
  <si>
    <t>48-甲-401</t>
  </si>
  <si>
    <t>吴品旭</t>
  </si>
  <si>
    <t>48-甲-601</t>
  </si>
  <si>
    <t>蔡燕</t>
  </si>
  <si>
    <t>48-甲-801</t>
  </si>
  <si>
    <t>王清</t>
  </si>
  <si>
    <t>48-甲-1001</t>
  </si>
  <si>
    <t>杨用淘</t>
  </si>
  <si>
    <t>48-甲-1101</t>
  </si>
  <si>
    <t>邹志军、葛金花</t>
  </si>
  <si>
    <t>48-乙-201</t>
  </si>
  <si>
    <t>张春萍</t>
  </si>
  <si>
    <t>48-乙-301</t>
  </si>
  <si>
    <t>李善臻、苏小燕</t>
  </si>
  <si>
    <t>48-乙-401</t>
  </si>
  <si>
    <t>姜开芳</t>
  </si>
  <si>
    <t>48-乙-501</t>
  </si>
  <si>
    <t>汪周萍</t>
  </si>
  <si>
    <t>48-乙-601</t>
  </si>
  <si>
    <t>蒋文杰</t>
  </si>
  <si>
    <t>48-乙-801</t>
  </si>
  <si>
    <t>王冕、王滢</t>
  </si>
  <si>
    <t>48-乙-901</t>
  </si>
  <si>
    <t>巢琪</t>
  </si>
  <si>
    <t>48-乙-1001</t>
  </si>
  <si>
    <t>邓伟、王亚华</t>
  </si>
  <si>
    <t>48-乙-1101</t>
  </si>
  <si>
    <t>张炎斌、张亚红</t>
  </si>
  <si>
    <t>48-丙-201</t>
  </si>
  <si>
    <t>蒋智春、李海燕</t>
  </si>
  <si>
    <t>48-丙-401</t>
  </si>
  <si>
    <t>封全翠</t>
  </si>
  <si>
    <t>48-丙-601</t>
  </si>
  <si>
    <t>符梦娜</t>
  </si>
  <si>
    <t>48-丙-801</t>
  </si>
  <si>
    <t>张婷、赵鑫</t>
  </si>
  <si>
    <t>48-丙-901</t>
  </si>
  <si>
    <t>胡金杰、庄玲</t>
  </si>
  <si>
    <t>48-丙-1001</t>
  </si>
  <si>
    <t>岳志龙、马洁</t>
  </si>
  <si>
    <t>48-丙-1101</t>
  </si>
  <si>
    <t>张燕</t>
  </si>
  <si>
    <t>48-甲-202</t>
  </si>
  <si>
    <t>强美真</t>
  </si>
  <si>
    <t>48-甲-302</t>
  </si>
  <si>
    <t>张传强、蔡静</t>
  </si>
  <si>
    <t>48-甲-502</t>
  </si>
  <si>
    <t>苏伟娟</t>
  </si>
  <si>
    <t>48-甲-802</t>
  </si>
  <si>
    <t>万益峰</t>
  </si>
  <si>
    <t>48-甲-902</t>
  </si>
  <si>
    <t>强海波</t>
  </si>
  <si>
    <t>48-甲-1102</t>
  </si>
  <si>
    <t>芮黎阳、陈素娟</t>
  </si>
  <si>
    <t>48-乙-202</t>
  </si>
  <si>
    <t>闻丹、庄源</t>
  </si>
  <si>
    <t>48-乙-302</t>
  </si>
  <si>
    <t>李文</t>
  </si>
  <si>
    <t>48-乙-402</t>
  </si>
  <si>
    <t>朱志刚、孙萍萍</t>
  </si>
  <si>
    <t>48-乙-602</t>
  </si>
  <si>
    <t>吴小兰</t>
  </si>
  <si>
    <t>48-乙-702</t>
  </si>
  <si>
    <t>林洲怡</t>
  </si>
  <si>
    <t>48-乙-902</t>
  </si>
  <si>
    <t>王浩丞</t>
  </si>
  <si>
    <t>48-乙-1002</t>
  </si>
  <si>
    <t>石静瑜、王骏、杨莉琴</t>
  </si>
  <si>
    <t>48-乙-1102</t>
  </si>
  <si>
    <t>高学峰、陈芝兰、高天雨</t>
  </si>
  <si>
    <t>48-丙-202</t>
  </si>
  <si>
    <t>邵莹、邹玉娟</t>
  </si>
  <si>
    <t>48-丙-302</t>
  </si>
  <si>
    <t>孙燕</t>
  </si>
  <si>
    <t>48-丙-402</t>
  </si>
  <si>
    <t>宋效斌、管守丽</t>
  </si>
  <si>
    <t>48-丙-502</t>
  </si>
  <si>
    <t>沈捷、徐郡</t>
  </si>
  <si>
    <t>48-丙-702</t>
  </si>
  <si>
    <t>翁志荣</t>
  </si>
  <si>
    <t>48-丙-802</t>
  </si>
  <si>
    <t>梁胜娟</t>
  </si>
  <si>
    <t>48-丙-902</t>
  </si>
  <si>
    <t>胡文国、丁雪琴</t>
  </si>
  <si>
    <t>48-丙-1002</t>
  </si>
  <si>
    <t>顾晓春、钱伟国</t>
  </si>
  <si>
    <t>48-丙-1102</t>
  </si>
  <si>
    <t>许紫霞、张燕杰</t>
  </si>
  <si>
    <t>19-101</t>
  </si>
  <si>
    <t>程秋梁、顾箫</t>
  </si>
  <si>
    <t>19-102</t>
  </si>
  <si>
    <t>王铭浩</t>
  </si>
  <si>
    <t>19-103</t>
  </si>
  <si>
    <t>陆利明</t>
  </si>
  <si>
    <t>19-104</t>
  </si>
  <si>
    <t>刘超</t>
  </si>
  <si>
    <t>19-105</t>
  </si>
  <si>
    <t>胡丹清、陈焕琴</t>
  </si>
  <si>
    <t>19-106</t>
  </si>
  <si>
    <t>19-301</t>
  </si>
  <si>
    <t>陈建纲、汪志南</t>
  </si>
  <si>
    <t>19-302</t>
  </si>
  <si>
    <t>陆春红</t>
  </si>
  <si>
    <t>19-303</t>
  </si>
  <si>
    <t>李增超、王菲</t>
  </si>
  <si>
    <t>19-304</t>
  </si>
  <si>
    <t>蒋洁</t>
  </si>
  <si>
    <t>19-305</t>
  </si>
  <si>
    <t>翟晓纯</t>
  </si>
  <si>
    <t>19-306</t>
  </si>
  <si>
    <t>22-102</t>
  </si>
  <si>
    <t>胡毅</t>
  </si>
  <si>
    <t>22-104</t>
  </si>
  <si>
    <t>钱金、徐娟霞</t>
  </si>
  <si>
    <t>22-105</t>
  </si>
  <si>
    <t>丁虹予</t>
  </si>
  <si>
    <t>22-302</t>
  </si>
  <si>
    <t>壮卓、马心慧</t>
  </si>
  <si>
    <t>22-303</t>
  </si>
  <si>
    <t>毛伟新、盛琴芬、毛佳凝</t>
  </si>
  <si>
    <t>22-304</t>
  </si>
  <si>
    <t>肖灿灿</t>
  </si>
  <si>
    <t>22-305</t>
  </si>
  <si>
    <t>朱晓明、高盘君</t>
  </si>
  <si>
    <t>23-101</t>
  </si>
  <si>
    <t>许逸豪</t>
  </si>
  <si>
    <t>23-102</t>
  </si>
  <si>
    <t>刘庆辉、吴园园</t>
  </si>
  <si>
    <t>23-103</t>
  </si>
  <si>
    <t>钱新、朱春燕</t>
  </si>
  <si>
    <t>23-104</t>
  </si>
  <si>
    <t>徐娴、EGERVARI JURGENFRANZ</t>
  </si>
  <si>
    <t>23-301</t>
  </si>
  <si>
    <t>许逸雯</t>
  </si>
  <si>
    <t>23-302</t>
  </si>
  <si>
    <t>陈成、张益群</t>
  </si>
  <si>
    <t>23-303</t>
  </si>
  <si>
    <t>戎易</t>
  </si>
  <si>
    <t>23-304</t>
  </si>
  <si>
    <t>24-101</t>
  </si>
  <si>
    <t>丁力</t>
  </si>
  <si>
    <t>24-102</t>
  </si>
  <si>
    <t>冯民、杭小芬</t>
  </si>
  <si>
    <t>24-301</t>
  </si>
  <si>
    <t>王仁虎</t>
  </si>
  <si>
    <t>24-302</t>
  </si>
  <si>
    <t>张亮、曹大娟</t>
  </si>
  <si>
    <t>28-102</t>
  </si>
  <si>
    <t>巢玲群、须协成</t>
  </si>
  <si>
    <t>28-103</t>
  </si>
  <si>
    <t>徐波、尹丽君</t>
  </si>
  <si>
    <t>28-104</t>
  </si>
  <si>
    <t>张文婷</t>
  </si>
  <si>
    <t>28-105</t>
  </si>
  <si>
    <t>吴淏、贾李春</t>
  </si>
  <si>
    <t>28-106</t>
  </si>
  <si>
    <t>杭震立、刘春燕</t>
  </si>
  <si>
    <t>28-107</t>
  </si>
  <si>
    <t>苏虹、李小飞</t>
  </si>
  <si>
    <t>28-302</t>
  </si>
  <si>
    <t>方文平、缪亚萍</t>
  </si>
  <si>
    <t>28-303</t>
  </si>
  <si>
    <t>陆林、杨益</t>
  </si>
  <si>
    <t>28-304</t>
  </si>
  <si>
    <t>葛宜艳</t>
  </si>
  <si>
    <t>28-305</t>
  </si>
  <si>
    <t>蔡丽花、杨波</t>
  </si>
  <si>
    <t>28-306</t>
  </si>
  <si>
    <t>王守波、张娜</t>
  </si>
  <si>
    <t>28-307</t>
  </si>
  <si>
    <t>骆乾、薛一宁</t>
  </si>
  <si>
    <t>29-101</t>
  </si>
  <si>
    <t>蔡鸿男</t>
  </si>
  <si>
    <t>29-102</t>
  </si>
  <si>
    <t>汪蕾、陈建</t>
  </si>
  <si>
    <t>29-103</t>
  </si>
  <si>
    <t>盛昌润</t>
  </si>
  <si>
    <t>29-104</t>
  </si>
  <si>
    <t>沈雷、何霞</t>
  </si>
  <si>
    <t>29-301</t>
  </si>
  <si>
    <t>强月飞</t>
  </si>
  <si>
    <t>29-303</t>
  </si>
  <si>
    <t>盛汪、沈燕</t>
  </si>
  <si>
    <t>29-304</t>
  </si>
  <si>
    <t>何秋平</t>
  </si>
  <si>
    <t>30-101</t>
  </si>
  <si>
    <t>王华春、王玉芳</t>
  </si>
  <si>
    <t>30-102</t>
  </si>
  <si>
    <t>30-103</t>
  </si>
  <si>
    <t>季燕萍</t>
  </si>
  <si>
    <t>30-104</t>
  </si>
  <si>
    <t>戚虎林、恽洁</t>
  </si>
  <si>
    <t>30-301</t>
  </si>
  <si>
    <t>陈叶华</t>
  </si>
  <si>
    <t>30-302</t>
  </si>
  <si>
    <t>陈晓波、蒋霄燕</t>
  </si>
  <si>
    <t>30-303</t>
  </si>
  <si>
    <t>谢道林</t>
  </si>
  <si>
    <t>30-304</t>
  </si>
  <si>
    <t>唐小泉</t>
  </si>
  <si>
    <t>31-101</t>
  </si>
  <si>
    <t>贾春、陈妍</t>
  </si>
  <si>
    <t>31-102</t>
  </si>
  <si>
    <t>俞俊杰、朱雪萍</t>
  </si>
  <si>
    <t>31-301</t>
  </si>
  <si>
    <t>陈敏、刘志刚</t>
  </si>
  <si>
    <t>31-302</t>
  </si>
  <si>
    <t>13-102</t>
  </si>
  <si>
    <t>孙剑、汪蓓红</t>
  </si>
  <si>
    <t>13-103</t>
  </si>
  <si>
    <t>朱玉霞</t>
  </si>
  <si>
    <t>13-104</t>
  </si>
  <si>
    <t>蒋晔冰</t>
  </si>
  <si>
    <t>13-105</t>
  </si>
  <si>
    <t>唐睿</t>
  </si>
  <si>
    <t>13-106</t>
  </si>
  <si>
    <t>刘本成</t>
  </si>
  <si>
    <t>13-302</t>
  </si>
  <si>
    <t>13-303</t>
  </si>
  <si>
    <t>陈益、潘海方</t>
  </si>
  <si>
    <t>13-304</t>
  </si>
  <si>
    <t>薛然之</t>
  </si>
  <si>
    <t>13-305</t>
  </si>
  <si>
    <t>高涵</t>
  </si>
  <si>
    <t>13-306</t>
  </si>
  <si>
    <t>王志方、王伟秀</t>
  </si>
  <si>
    <t>14-101</t>
  </si>
  <si>
    <t>刘培军</t>
  </si>
  <si>
    <t>14-102</t>
  </si>
  <si>
    <t>庄玲云</t>
  </si>
  <si>
    <t>14-103</t>
  </si>
  <si>
    <t>包国波</t>
  </si>
  <si>
    <t>14-301</t>
  </si>
  <si>
    <t>刘晓丽</t>
  </si>
  <si>
    <t>14-302</t>
  </si>
  <si>
    <t>胡荫俊</t>
  </si>
  <si>
    <t>14-303</t>
  </si>
  <si>
    <t>壮雨婕</t>
  </si>
  <si>
    <t>15-101</t>
  </si>
  <si>
    <t>赵韩斌、赵姝婷</t>
  </si>
  <si>
    <t>15-102</t>
  </si>
  <si>
    <t>殷炜晟</t>
  </si>
  <si>
    <t>15-103</t>
  </si>
  <si>
    <t>唐仲良、钱荷英</t>
  </si>
  <si>
    <t>15-104</t>
  </si>
  <si>
    <t>尹箭娇、沈飞</t>
  </si>
  <si>
    <t>15-105</t>
  </si>
  <si>
    <t>巢璟</t>
  </si>
  <si>
    <t>15-301</t>
  </si>
  <si>
    <t>罗毓琪</t>
  </si>
  <si>
    <t>15-302</t>
  </si>
  <si>
    <t>周国东</t>
  </si>
  <si>
    <t>15-303</t>
  </si>
  <si>
    <t>牟文洪、洪红</t>
  </si>
  <si>
    <t>15-304</t>
  </si>
  <si>
    <t>谈安琳</t>
  </si>
  <si>
    <t>15-305</t>
  </si>
  <si>
    <t>蒋和平、蒋熹</t>
  </si>
  <si>
    <t>18-103</t>
  </si>
  <si>
    <t>方敏青</t>
  </si>
  <si>
    <t>18-104</t>
  </si>
  <si>
    <t>吴伟中</t>
  </si>
  <si>
    <t>18-105</t>
  </si>
  <si>
    <t>周秋芬、张琳</t>
  </si>
  <si>
    <t>18-302</t>
  </si>
  <si>
    <t>吉才相</t>
  </si>
  <si>
    <t>18-304</t>
  </si>
  <si>
    <t>吴寒</t>
  </si>
  <si>
    <t>18-305</t>
  </si>
  <si>
    <t>汪礼刚</t>
  </si>
  <si>
    <t>1-101</t>
  </si>
  <si>
    <t>沈成</t>
  </si>
  <si>
    <t>1-102</t>
  </si>
  <si>
    <t>朱建华</t>
  </si>
  <si>
    <t>1-103</t>
  </si>
  <si>
    <t>史静华</t>
  </si>
  <si>
    <t>1-105</t>
  </si>
  <si>
    <t>1-106</t>
  </si>
  <si>
    <t>左永红</t>
  </si>
  <si>
    <t>2-101</t>
  </si>
  <si>
    <t>蒋蓝燕、王志峰</t>
  </si>
  <si>
    <t>2-102</t>
  </si>
  <si>
    <t>绪文娟</t>
  </si>
  <si>
    <t>2-103</t>
  </si>
  <si>
    <t>潘柯君</t>
  </si>
  <si>
    <t>3-102</t>
  </si>
  <si>
    <t>刘奕钢、刘云帆</t>
  </si>
  <si>
    <t>3-103</t>
  </si>
  <si>
    <t>吴俊洁</t>
  </si>
  <si>
    <t>4-101</t>
  </si>
  <si>
    <t>李霞</t>
  </si>
  <si>
    <t>4-102</t>
  </si>
  <si>
    <t>刘晶、巢澄</t>
  </si>
  <si>
    <t>4-104</t>
  </si>
  <si>
    <t>安丰玲</t>
  </si>
  <si>
    <t>5-101</t>
  </si>
  <si>
    <t>5-102</t>
  </si>
  <si>
    <t>郑文科</t>
  </si>
  <si>
    <t>5-103</t>
  </si>
  <si>
    <t>卢建刚</t>
  </si>
  <si>
    <t>22-101</t>
  </si>
  <si>
    <t>吴德斌、张敬敬</t>
  </si>
  <si>
    <t>6-103</t>
  </si>
  <si>
    <t>徐伟</t>
  </si>
  <si>
    <t>6-104</t>
  </si>
  <si>
    <t>秦峰、俞琴艳</t>
  </si>
  <si>
    <r>
      <rPr>
        <b/>
        <sz val="10"/>
        <color indexed="8"/>
        <rFont val="宋体"/>
        <family val="3"/>
        <charset val="134"/>
      </rPr>
      <t>客户信息</t>
    </r>
  </si>
  <si>
    <r>
      <rPr>
        <b/>
        <sz val="10"/>
        <color indexed="8"/>
        <rFont val="宋体"/>
        <family val="3"/>
        <charset val="134"/>
      </rPr>
      <t>认购</t>
    </r>
  </si>
  <si>
    <r>
      <rPr>
        <b/>
        <sz val="10"/>
        <color indexed="8"/>
        <rFont val="宋体"/>
        <family val="3"/>
        <charset val="134"/>
      </rPr>
      <t>签约</t>
    </r>
  </si>
  <si>
    <r>
      <rPr>
        <b/>
        <sz val="10"/>
        <color indexed="8"/>
        <rFont val="宋体"/>
        <family val="3"/>
        <charset val="134"/>
      </rPr>
      <t>总房款</t>
    </r>
  </si>
  <si>
    <r>
      <rPr>
        <b/>
        <sz val="10"/>
        <color indexed="8"/>
        <rFont val="宋体"/>
        <family val="3"/>
        <charset val="134"/>
      </rPr>
      <t>已收</t>
    </r>
  </si>
  <si>
    <r>
      <rPr>
        <b/>
        <sz val="10"/>
        <color indexed="8"/>
        <rFont val="宋体"/>
        <family val="3"/>
        <charset val="134"/>
      </rPr>
      <t>销售状态</t>
    </r>
  </si>
  <si>
    <t>商贷</t>
  </si>
  <si>
    <r>
      <rPr>
        <b/>
        <sz val="10"/>
        <color indexed="8"/>
        <rFont val="宋体"/>
        <family val="3"/>
        <charset val="134"/>
      </rPr>
      <t>公积金</t>
    </r>
  </si>
  <si>
    <r>
      <rPr>
        <b/>
        <sz val="10"/>
        <color indexed="8"/>
        <rFont val="宋体"/>
        <family val="3"/>
        <charset val="134"/>
      </rPr>
      <t>贷款合计</t>
    </r>
  </si>
  <si>
    <r>
      <rPr>
        <b/>
        <sz val="10"/>
        <color indexed="8"/>
        <rFont val="宋体"/>
        <family val="3"/>
        <charset val="134"/>
      </rPr>
      <t>置业顾问</t>
    </r>
  </si>
  <si>
    <t>销售状态</t>
  </si>
  <si>
    <t>销售来源</t>
  </si>
  <si>
    <t>分销</t>
  </si>
  <si>
    <t>备案日期</t>
  </si>
  <si>
    <t>信息途径</t>
  </si>
  <si>
    <r>
      <rPr>
        <b/>
        <sz val="10"/>
        <color indexed="8"/>
        <rFont val="宋体"/>
        <family val="3"/>
        <charset val="134"/>
      </rPr>
      <t>序号</t>
    </r>
  </si>
  <si>
    <r>
      <rPr>
        <b/>
        <sz val="10"/>
        <color indexed="8"/>
        <rFont val="宋体"/>
        <family val="3"/>
        <charset val="134"/>
      </rPr>
      <t>房间号</t>
    </r>
    <r>
      <rPr>
        <b/>
        <sz val="10"/>
        <color indexed="8"/>
        <rFont val="Arial"/>
        <family val="2"/>
      </rPr>
      <t>1</t>
    </r>
  </si>
  <si>
    <r>
      <rPr>
        <b/>
        <sz val="10"/>
        <color indexed="8"/>
        <rFont val="宋体"/>
        <family val="3"/>
        <charset val="134"/>
      </rPr>
      <t>客户姓名</t>
    </r>
  </si>
  <si>
    <r>
      <rPr>
        <b/>
        <sz val="10"/>
        <color indexed="8"/>
        <rFont val="宋体"/>
        <family val="3"/>
        <charset val="134"/>
      </rPr>
      <t>认购日期</t>
    </r>
  </si>
  <si>
    <r>
      <rPr>
        <b/>
        <sz val="10"/>
        <color indexed="8"/>
        <rFont val="宋体"/>
        <family val="3"/>
        <charset val="134"/>
      </rPr>
      <t>定金</t>
    </r>
  </si>
  <si>
    <r>
      <rPr>
        <b/>
        <sz val="10"/>
        <color indexed="8"/>
        <rFont val="宋体"/>
        <family val="3"/>
        <charset val="134"/>
      </rPr>
      <t>面积</t>
    </r>
  </si>
  <si>
    <r>
      <rPr>
        <b/>
        <sz val="10"/>
        <color indexed="8"/>
        <rFont val="宋体"/>
        <family val="3"/>
        <charset val="134"/>
      </rPr>
      <t>住宅类型</t>
    </r>
  </si>
  <si>
    <r>
      <rPr>
        <b/>
        <sz val="10"/>
        <color indexed="8"/>
        <rFont val="宋体"/>
        <family val="3"/>
        <charset val="134"/>
      </rPr>
      <t>认购金额</t>
    </r>
  </si>
  <si>
    <r>
      <rPr>
        <b/>
        <sz val="10"/>
        <color indexed="8"/>
        <rFont val="宋体"/>
        <family val="3"/>
        <charset val="134"/>
      </rPr>
      <t>签约日期</t>
    </r>
  </si>
  <si>
    <r>
      <rPr>
        <b/>
        <sz val="10"/>
        <color indexed="8"/>
        <rFont val="宋体"/>
        <family val="3"/>
        <charset val="134"/>
      </rPr>
      <t>签约月份</t>
    </r>
  </si>
  <si>
    <r>
      <rPr>
        <b/>
        <sz val="10"/>
        <color indexed="8"/>
        <rFont val="宋体"/>
        <family val="3"/>
        <charset val="134"/>
      </rPr>
      <t>签约金额</t>
    </r>
  </si>
  <si>
    <r>
      <rPr>
        <b/>
        <sz val="10"/>
        <color indexed="8"/>
        <rFont val="宋体"/>
        <family val="3"/>
        <charset val="134"/>
      </rPr>
      <t>签约单价</t>
    </r>
  </si>
  <si>
    <r>
      <rPr>
        <b/>
        <sz val="10"/>
        <rFont val="宋体"/>
        <family val="3"/>
        <charset val="134"/>
      </rPr>
      <t>首付</t>
    </r>
  </si>
  <si>
    <r>
      <rPr>
        <b/>
        <sz val="10"/>
        <color indexed="8"/>
        <rFont val="宋体"/>
        <family val="3"/>
        <charset val="134"/>
      </rPr>
      <t>现金房款</t>
    </r>
  </si>
  <si>
    <r>
      <rPr>
        <b/>
        <sz val="10"/>
        <color indexed="8"/>
        <rFont val="宋体"/>
        <family val="3"/>
        <charset val="134"/>
      </rPr>
      <t>按揭房款</t>
    </r>
  </si>
  <si>
    <r>
      <rPr>
        <b/>
        <sz val="10"/>
        <color indexed="8"/>
        <rFont val="宋体"/>
        <family val="3"/>
        <charset val="134"/>
      </rPr>
      <t>公积金房款</t>
    </r>
  </si>
  <si>
    <r>
      <rPr>
        <b/>
        <sz val="10"/>
        <color indexed="8"/>
        <rFont val="宋体"/>
        <family val="3"/>
        <charset val="134"/>
      </rPr>
      <t>市场客户现金收款</t>
    </r>
  </si>
  <si>
    <r>
      <rPr>
        <b/>
        <sz val="10"/>
        <color indexed="8"/>
        <rFont val="宋体"/>
        <family val="3"/>
        <charset val="134"/>
      </rPr>
      <t>现金已收（员工</t>
    </r>
    <r>
      <rPr>
        <b/>
        <sz val="10"/>
        <color indexed="8"/>
        <rFont val="Arial"/>
        <family val="2"/>
      </rPr>
      <t>+</t>
    </r>
    <r>
      <rPr>
        <b/>
        <sz val="10"/>
        <color indexed="8"/>
        <rFont val="宋体"/>
        <family val="3"/>
        <charset val="134"/>
      </rPr>
      <t>工抵现金）</t>
    </r>
  </si>
  <si>
    <r>
      <rPr>
        <b/>
        <sz val="10"/>
        <color indexed="8"/>
        <rFont val="宋体"/>
        <family val="3"/>
        <charset val="134"/>
      </rPr>
      <t>工抵收款（工程款）</t>
    </r>
  </si>
  <si>
    <r>
      <rPr>
        <b/>
        <sz val="10"/>
        <color indexed="8"/>
        <rFont val="宋体"/>
        <family val="3"/>
        <charset val="134"/>
      </rPr>
      <t>按揭下款</t>
    </r>
  </si>
  <si>
    <r>
      <rPr>
        <b/>
        <sz val="10"/>
        <color indexed="8"/>
        <rFont val="宋体"/>
        <family val="3"/>
        <charset val="134"/>
      </rPr>
      <t>公积金下款</t>
    </r>
  </si>
  <si>
    <r>
      <rPr>
        <b/>
        <sz val="10"/>
        <color indexed="8"/>
        <rFont val="宋体"/>
        <family val="3"/>
        <charset val="134"/>
      </rPr>
      <t>总已收</t>
    </r>
  </si>
  <si>
    <r>
      <rPr>
        <b/>
        <sz val="10"/>
        <color indexed="8"/>
        <rFont val="宋体"/>
        <family val="3"/>
        <charset val="134"/>
      </rPr>
      <t>总应收</t>
    </r>
  </si>
  <si>
    <r>
      <rPr>
        <b/>
        <sz val="10"/>
        <color indexed="8"/>
        <rFont val="宋体"/>
        <family val="3"/>
        <charset val="134"/>
      </rPr>
      <t>缴款比例</t>
    </r>
  </si>
  <si>
    <r>
      <rPr>
        <b/>
        <sz val="10"/>
        <color indexed="8"/>
        <rFont val="宋体"/>
        <family val="3"/>
        <charset val="134"/>
      </rPr>
      <t>付款方式</t>
    </r>
  </si>
  <si>
    <r>
      <rPr>
        <b/>
        <sz val="10"/>
        <color indexed="8"/>
        <rFont val="宋体"/>
        <family val="3"/>
        <charset val="134"/>
      </rPr>
      <t>按揭方式</t>
    </r>
  </si>
  <si>
    <r>
      <rPr>
        <b/>
        <sz val="10"/>
        <color indexed="8"/>
        <rFont val="宋体"/>
        <family val="3"/>
        <charset val="134"/>
      </rPr>
      <t>因素大类</t>
    </r>
  </si>
  <si>
    <r>
      <rPr>
        <b/>
        <sz val="10"/>
        <color indexed="8"/>
        <rFont val="宋体"/>
        <family val="3"/>
        <charset val="134"/>
      </rPr>
      <t>因素子类</t>
    </r>
  </si>
  <si>
    <r>
      <rPr>
        <b/>
        <sz val="10"/>
        <color indexed="8"/>
        <rFont val="宋体"/>
        <family val="3"/>
        <charset val="134"/>
      </rPr>
      <t>问题跟踪</t>
    </r>
  </si>
  <si>
    <r>
      <rPr>
        <b/>
        <sz val="10"/>
        <color indexed="10"/>
        <rFont val="宋体"/>
        <family val="3"/>
        <charset val="134"/>
      </rPr>
      <t>首付分期预计补款时间</t>
    </r>
  </si>
  <si>
    <r>
      <rPr>
        <b/>
        <sz val="10"/>
        <color indexed="8"/>
        <rFont val="宋体"/>
        <family val="3"/>
        <charset val="134"/>
      </rPr>
      <t>商贷签订日期</t>
    </r>
  </si>
  <si>
    <r>
      <rPr>
        <b/>
        <sz val="10"/>
        <color indexed="8"/>
        <rFont val="宋体"/>
        <family val="3"/>
        <charset val="134"/>
      </rPr>
      <t>商贷件齐日期</t>
    </r>
  </si>
  <si>
    <r>
      <rPr>
        <b/>
        <sz val="10"/>
        <color indexed="8"/>
        <rFont val="宋体"/>
        <family val="3"/>
        <charset val="134"/>
      </rPr>
      <t>商贷放款日期</t>
    </r>
  </si>
  <si>
    <r>
      <rPr>
        <b/>
        <sz val="10"/>
        <color indexed="8"/>
        <rFont val="宋体"/>
        <family val="3"/>
        <charset val="134"/>
      </rPr>
      <t>商贷放款年份</t>
    </r>
  </si>
  <si>
    <r>
      <rPr>
        <b/>
        <sz val="10"/>
        <color indexed="8"/>
        <rFont val="宋体"/>
        <family val="3"/>
        <charset val="134"/>
      </rPr>
      <t>商贷放款月份</t>
    </r>
  </si>
  <si>
    <r>
      <rPr>
        <b/>
        <sz val="10"/>
        <color indexed="8"/>
        <rFont val="宋体"/>
        <family val="3"/>
        <charset val="134"/>
      </rPr>
      <t>商贷银行</t>
    </r>
  </si>
  <si>
    <r>
      <rPr>
        <b/>
        <sz val="10"/>
        <color indexed="8"/>
        <rFont val="宋体"/>
        <family val="3"/>
        <charset val="134"/>
      </rPr>
      <t>商贷金额</t>
    </r>
  </si>
  <si>
    <r>
      <rPr>
        <b/>
        <sz val="10"/>
        <color indexed="8"/>
        <rFont val="宋体"/>
        <family val="3"/>
        <charset val="134"/>
      </rPr>
      <t>公积金签订日期</t>
    </r>
  </si>
  <si>
    <r>
      <rPr>
        <b/>
        <sz val="10"/>
        <color indexed="8"/>
        <rFont val="宋体"/>
        <family val="3"/>
        <charset val="134"/>
      </rPr>
      <t>公积金件齐日期</t>
    </r>
  </si>
  <si>
    <r>
      <rPr>
        <b/>
        <sz val="10"/>
        <color indexed="8"/>
        <rFont val="宋体"/>
        <family val="3"/>
        <charset val="134"/>
      </rPr>
      <t>公积金放款日期</t>
    </r>
  </si>
  <si>
    <r>
      <rPr>
        <b/>
        <sz val="10"/>
        <color indexed="8"/>
        <rFont val="宋体"/>
        <family val="3"/>
        <charset val="134"/>
      </rPr>
      <t>公积金放款年份</t>
    </r>
  </si>
  <si>
    <r>
      <rPr>
        <b/>
        <sz val="10"/>
        <color indexed="8"/>
        <rFont val="宋体"/>
        <family val="3"/>
        <charset val="134"/>
      </rPr>
      <t>公积金放款月份</t>
    </r>
  </si>
  <si>
    <r>
      <rPr>
        <b/>
        <sz val="10"/>
        <color indexed="8"/>
        <rFont val="宋体"/>
        <family val="3"/>
        <charset val="134"/>
      </rPr>
      <t>公积金中心</t>
    </r>
  </si>
  <si>
    <r>
      <rPr>
        <b/>
        <sz val="10"/>
        <color indexed="8"/>
        <rFont val="宋体"/>
        <family val="3"/>
        <charset val="134"/>
      </rPr>
      <t>公积金贷款金额</t>
    </r>
  </si>
  <si>
    <r>
      <rPr>
        <sz val="10"/>
        <rFont val="Arial"/>
        <family val="2"/>
      </rPr>
      <t>39-</t>
    </r>
    <r>
      <rPr>
        <sz val="10"/>
        <rFont val="宋体"/>
        <family val="3"/>
        <charset val="134"/>
      </rPr>
      <t>甲</t>
    </r>
    <r>
      <rPr>
        <sz val="10"/>
        <rFont val="Arial"/>
        <family val="2"/>
      </rPr>
      <t>-1101</t>
    </r>
  </si>
  <si>
    <r>
      <rPr>
        <sz val="10"/>
        <rFont val="宋体"/>
        <family val="3"/>
        <charset val="134"/>
      </rPr>
      <t>张亚</t>
    </r>
  </si>
  <si>
    <r>
      <rPr>
        <sz val="10"/>
        <rFont val="宋体"/>
        <family val="3"/>
        <charset val="134"/>
      </rPr>
      <t>签约</t>
    </r>
  </si>
  <si>
    <r>
      <rPr>
        <sz val="10"/>
        <rFont val="宋体"/>
        <family val="3"/>
        <charset val="134"/>
      </rPr>
      <t>按揭</t>
    </r>
  </si>
  <si>
    <r>
      <rPr>
        <sz val="10"/>
        <rFont val="宋体"/>
        <family val="3"/>
        <charset val="134"/>
      </rPr>
      <t>纯商贷</t>
    </r>
  </si>
  <si>
    <r>
      <rPr>
        <sz val="10"/>
        <rFont val="宋体"/>
        <family val="3"/>
        <charset val="134"/>
      </rPr>
      <t>财务跟催</t>
    </r>
  </si>
  <si>
    <r>
      <rPr>
        <sz val="10"/>
        <rFont val="宋体"/>
        <family val="3"/>
        <charset val="134"/>
      </rPr>
      <t>已放款</t>
    </r>
  </si>
  <si>
    <r>
      <rPr>
        <sz val="10"/>
        <rFont val="宋体"/>
        <family val="3"/>
        <charset val="134"/>
      </rPr>
      <t>江苏银行</t>
    </r>
  </si>
  <si>
    <t>胡晓航</t>
  </si>
  <si>
    <r>
      <rPr>
        <sz val="10"/>
        <rFont val="宋体"/>
        <family val="3"/>
        <charset val="134"/>
      </rPr>
      <t>自销</t>
    </r>
  </si>
  <si>
    <t>全员营销</t>
  </si>
  <si>
    <r>
      <rPr>
        <sz val="10"/>
        <rFont val="Arial"/>
        <family val="2"/>
      </rPr>
      <t>39-</t>
    </r>
    <r>
      <rPr>
        <sz val="10"/>
        <rFont val="宋体"/>
        <family val="3"/>
        <charset val="134"/>
      </rPr>
      <t>甲</t>
    </r>
    <r>
      <rPr>
        <sz val="10"/>
        <rFont val="Arial"/>
        <family val="2"/>
      </rPr>
      <t>-1001</t>
    </r>
  </si>
  <si>
    <r>
      <rPr>
        <sz val="10"/>
        <color indexed="8"/>
        <rFont val="宋体"/>
        <family val="3"/>
        <charset val="134"/>
      </rPr>
      <t>徐旻</t>
    </r>
  </si>
  <si>
    <t>已放款</t>
  </si>
  <si>
    <r>
      <rPr>
        <sz val="10"/>
        <rFont val="宋体"/>
        <family val="3"/>
        <charset val="134"/>
      </rPr>
      <t>南京银行</t>
    </r>
  </si>
  <si>
    <t>曹双丽</t>
  </si>
  <si>
    <t>卓正</t>
  </si>
  <si>
    <r>
      <rPr>
        <sz val="10"/>
        <rFont val="Arial"/>
        <family val="2"/>
      </rPr>
      <t>39-</t>
    </r>
    <r>
      <rPr>
        <sz val="10"/>
        <rFont val="宋体"/>
        <family val="3"/>
        <charset val="134"/>
      </rPr>
      <t>甲</t>
    </r>
    <r>
      <rPr>
        <sz val="10"/>
        <rFont val="Arial"/>
        <family val="2"/>
      </rPr>
      <t>-901</t>
    </r>
  </si>
  <si>
    <r>
      <rPr>
        <sz val="10"/>
        <rFont val="宋体"/>
        <family val="3"/>
        <charset val="134"/>
      </rPr>
      <t>张红云</t>
    </r>
  </si>
  <si>
    <t>中国银行</t>
  </si>
  <si>
    <t>员工房</t>
  </si>
  <si>
    <r>
      <rPr>
        <sz val="10"/>
        <rFont val="Arial"/>
        <family val="2"/>
      </rPr>
      <t>39-</t>
    </r>
    <r>
      <rPr>
        <sz val="10"/>
        <rFont val="宋体"/>
        <family val="3"/>
        <charset val="134"/>
      </rPr>
      <t>甲</t>
    </r>
    <r>
      <rPr>
        <sz val="10"/>
        <rFont val="Arial"/>
        <family val="2"/>
      </rPr>
      <t>-801</t>
    </r>
  </si>
  <si>
    <r>
      <rPr>
        <sz val="10"/>
        <rFont val="宋体"/>
        <family val="3"/>
        <charset val="134"/>
      </rPr>
      <t>严文玉</t>
    </r>
  </si>
  <si>
    <t>石伟刚</t>
  </si>
  <si>
    <r>
      <rPr>
        <sz val="10"/>
        <rFont val="Arial"/>
        <family val="2"/>
      </rPr>
      <t>39-</t>
    </r>
    <r>
      <rPr>
        <sz val="10"/>
        <rFont val="宋体"/>
        <family val="3"/>
        <charset val="134"/>
      </rPr>
      <t>甲</t>
    </r>
    <r>
      <rPr>
        <sz val="10"/>
        <rFont val="Arial"/>
        <family val="2"/>
      </rPr>
      <t>-701</t>
    </r>
  </si>
  <si>
    <r>
      <rPr>
        <sz val="10"/>
        <rFont val="宋体"/>
        <family val="3"/>
        <charset val="134"/>
      </rPr>
      <t>杨波</t>
    </r>
  </si>
  <si>
    <t>建设银行</t>
  </si>
  <si>
    <t>乐银华</t>
  </si>
  <si>
    <r>
      <rPr>
        <sz val="10"/>
        <rFont val="Arial"/>
        <family val="2"/>
      </rPr>
      <t>39-</t>
    </r>
    <r>
      <rPr>
        <sz val="10"/>
        <rFont val="宋体"/>
        <family val="3"/>
        <charset val="134"/>
      </rPr>
      <t>甲</t>
    </r>
    <r>
      <rPr>
        <sz val="10"/>
        <rFont val="Arial"/>
        <family val="2"/>
      </rPr>
      <t>-601</t>
    </r>
  </si>
  <si>
    <r>
      <rPr>
        <sz val="10"/>
        <rFont val="宋体"/>
        <family val="3"/>
        <charset val="134"/>
      </rPr>
      <t>刘晓英</t>
    </r>
  </si>
  <si>
    <r>
      <rPr>
        <sz val="10"/>
        <rFont val="宋体"/>
        <family val="3"/>
        <charset val="134"/>
      </rPr>
      <t>一次性</t>
    </r>
  </si>
  <si>
    <t>樊晶晶</t>
  </si>
  <si>
    <r>
      <rPr>
        <sz val="10"/>
        <rFont val="Arial"/>
        <family val="2"/>
      </rPr>
      <t>39-</t>
    </r>
    <r>
      <rPr>
        <sz val="10"/>
        <rFont val="宋体"/>
        <family val="3"/>
        <charset val="134"/>
      </rPr>
      <t>甲</t>
    </r>
    <r>
      <rPr>
        <sz val="10"/>
        <rFont val="Arial"/>
        <family val="2"/>
      </rPr>
      <t>-501</t>
    </r>
  </si>
  <si>
    <r>
      <rPr>
        <sz val="10"/>
        <rFont val="宋体"/>
        <family val="3"/>
        <charset val="134"/>
      </rPr>
      <t>吴仲华</t>
    </r>
  </si>
  <si>
    <t>张琦</t>
  </si>
  <si>
    <t>自拓</t>
  </si>
  <si>
    <r>
      <rPr>
        <sz val="10"/>
        <rFont val="Arial"/>
        <family val="2"/>
      </rPr>
      <t>39-</t>
    </r>
    <r>
      <rPr>
        <sz val="10"/>
        <rFont val="宋体"/>
        <family val="3"/>
        <charset val="134"/>
      </rPr>
      <t>甲</t>
    </r>
    <r>
      <rPr>
        <sz val="10"/>
        <rFont val="Arial"/>
        <family val="2"/>
      </rPr>
      <t>-401</t>
    </r>
  </si>
  <si>
    <r>
      <rPr>
        <sz val="10"/>
        <rFont val="宋体"/>
        <family val="3"/>
        <charset val="134"/>
      </rPr>
      <t>薛研、施辉</t>
    </r>
  </si>
  <si>
    <t>组合贷</t>
  </si>
  <si>
    <r>
      <rPr>
        <sz val="10"/>
        <rFont val="宋体"/>
        <family val="3"/>
        <charset val="134"/>
      </rPr>
      <t>常州公积金中心</t>
    </r>
  </si>
  <si>
    <t>孙文文</t>
  </si>
  <si>
    <r>
      <rPr>
        <sz val="10"/>
        <rFont val="宋体"/>
        <family val="3"/>
        <charset val="134"/>
      </rPr>
      <t>代理</t>
    </r>
  </si>
  <si>
    <r>
      <rPr>
        <sz val="10"/>
        <rFont val="Arial"/>
        <family val="2"/>
      </rPr>
      <t>39-</t>
    </r>
    <r>
      <rPr>
        <sz val="10"/>
        <rFont val="宋体"/>
        <family val="3"/>
        <charset val="134"/>
      </rPr>
      <t>甲</t>
    </r>
    <r>
      <rPr>
        <sz val="10"/>
        <rFont val="Arial"/>
        <family val="2"/>
      </rPr>
      <t>-301</t>
    </r>
  </si>
  <si>
    <r>
      <rPr>
        <sz val="10"/>
        <rFont val="宋体"/>
        <family val="3"/>
        <charset val="134"/>
      </rPr>
      <t>李向魁</t>
    </r>
  </si>
  <si>
    <r>
      <rPr>
        <sz val="10"/>
        <rFont val="Arial"/>
        <family val="2"/>
      </rPr>
      <t>39-</t>
    </r>
    <r>
      <rPr>
        <sz val="10"/>
        <rFont val="宋体"/>
        <family val="3"/>
        <charset val="134"/>
      </rPr>
      <t>甲</t>
    </r>
    <r>
      <rPr>
        <sz val="10"/>
        <rFont val="Arial"/>
        <family val="2"/>
      </rPr>
      <t>-1102</t>
    </r>
  </si>
  <si>
    <r>
      <rPr>
        <sz val="10"/>
        <rFont val="宋体"/>
        <family val="3"/>
        <charset val="134"/>
      </rPr>
      <t>曹庆</t>
    </r>
  </si>
  <si>
    <r>
      <rPr>
        <sz val="10"/>
        <rFont val="宋体"/>
        <family val="3"/>
        <charset val="134"/>
      </rPr>
      <t>组合贷</t>
    </r>
  </si>
  <si>
    <r>
      <rPr>
        <sz val="10"/>
        <rFont val="宋体"/>
        <family val="3"/>
        <charset val="134"/>
      </rPr>
      <t>交通银行</t>
    </r>
  </si>
  <si>
    <r>
      <rPr>
        <sz val="10"/>
        <rFont val="Arial"/>
        <family val="2"/>
      </rPr>
      <t>39-</t>
    </r>
    <r>
      <rPr>
        <sz val="10"/>
        <rFont val="宋体"/>
        <family val="3"/>
        <charset val="134"/>
      </rPr>
      <t>甲</t>
    </r>
    <r>
      <rPr>
        <sz val="10"/>
        <rFont val="Arial"/>
        <family val="2"/>
      </rPr>
      <t>-1002</t>
    </r>
  </si>
  <si>
    <r>
      <rPr>
        <sz val="10"/>
        <rFont val="宋体"/>
        <family val="3"/>
        <charset val="134"/>
      </rPr>
      <t>张腊根</t>
    </r>
  </si>
  <si>
    <t>王志超</t>
  </si>
  <si>
    <t>自然来访</t>
  </si>
  <si>
    <r>
      <rPr>
        <sz val="10"/>
        <rFont val="Arial"/>
        <family val="2"/>
      </rPr>
      <t>39-</t>
    </r>
    <r>
      <rPr>
        <sz val="10"/>
        <rFont val="宋体"/>
        <family val="3"/>
        <charset val="134"/>
      </rPr>
      <t>甲</t>
    </r>
    <r>
      <rPr>
        <sz val="10"/>
        <rFont val="Arial"/>
        <family val="2"/>
      </rPr>
      <t>-902</t>
    </r>
  </si>
  <si>
    <r>
      <rPr>
        <sz val="10"/>
        <rFont val="宋体"/>
        <family val="3"/>
        <charset val="134"/>
      </rPr>
      <t>蒋雍</t>
    </r>
  </si>
  <si>
    <t>王盈盈</t>
  </si>
  <si>
    <r>
      <rPr>
        <sz val="10"/>
        <rFont val="Arial"/>
        <family val="2"/>
      </rPr>
      <t>39-</t>
    </r>
    <r>
      <rPr>
        <sz val="10"/>
        <rFont val="宋体"/>
        <family val="3"/>
        <charset val="134"/>
      </rPr>
      <t>甲</t>
    </r>
    <r>
      <rPr>
        <sz val="10"/>
        <rFont val="Arial"/>
        <family val="2"/>
      </rPr>
      <t>-802</t>
    </r>
  </si>
  <si>
    <r>
      <rPr>
        <sz val="10"/>
        <rFont val="宋体"/>
        <family val="3"/>
        <charset val="134"/>
      </rPr>
      <t>丁玲</t>
    </r>
  </si>
  <si>
    <t>江苏银行</t>
  </si>
  <si>
    <r>
      <rPr>
        <sz val="10"/>
        <rFont val="Arial"/>
        <family val="2"/>
      </rPr>
      <t>39-</t>
    </r>
    <r>
      <rPr>
        <sz val="10"/>
        <rFont val="宋体"/>
        <family val="3"/>
        <charset val="134"/>
      </rPr>
      <t>甲</t>
    </r>
    <r>
      <rPr>
        <sz val="10"/>
        <rFont val="Arial"/>
        <family val="2"/>
      </rPr>
      <t>-702</t>
    </r>
  </si>
  <si>
    <r>
      <rPr>
        <sz val="10"/>
        <rFont val="宋体"/>
        <family val="3"/>
        <charset val="134"/>
      </rPr>
      <t>贡晶晶、杨俊</t>
    </r>
  </si>
  <si>
    <r>
      <rPr>
        <sz val="10"/>
        <rFont val="宋体"/>
        <family val="3"/>
        <charset val="134"/>
      </rPr>
      <t>中国银行</t>
    </r>
  </si>
  <si>
    <r>
      <rPr>
        <sz val="10"/>
        <rFont val="Arial"/>
        <family val="2"/>
      </rPr>
      <t>39-</t>
    </r>
    <r>
      <rPr>
        <sz val="10"/>
        <rFont val="宋体"/>
        <family val="3"/>
        <charset val="134"/>
      </rPr>
      <t>甲</t>
    </r>
    <r>
      <rPr>
        <sz val="10"/>
        <rFont val="Arial"/>
        <family val="2"/>
      </rPr>
      <t>-602</t>
    </r>
  </si>
  <si>
    <r>
      <rPr>
        <sz val="10"/>
        <rFont val="宋体"/>
        <family val="3"/>
        <charset val="134"/>
      </rPr>
      <t>李敏、裴秀萍</t>
    </r>
  </si>
  <si>
    <t>招商银行</t>
  </si>
  <si>
    <r>
      <rPr>
        <sz val="10"/>
        <rFont val="Arial"/>
        <family val="2"/>
      </rPr>
      <t>39-</t>
    </r>
    <r>
      <rPr>
        <sz val="10"/>
        <rFont val="宋体"/>
        <family val="3"/>
        <charset val="134"/>
      </rPr>
      <t>甲</t>
    </r>
    <r>
      <rPr>
        <sz val="10"/>
        <rFont val="Arial"/>
        <family val="2"/>
      </rPr>
      <t>-502</t>
    </r>
  </si>
  <si>
    <r>
      <rPr>
        <sz val="10"/>
        <rFont val="宋体"/>
        <family val="3"/>
        <charset val="134"/>
      </rPr>
      <t>李涛</t>
    </r>
  </si>
  <si>
    <r>
      <rPr>
        <sz val="10"/>
        <rFont val="Arial"/>
        <family val="2"/>
      </rPr>
      <t>39-</t>
    </r>
    <r>
      <rPr>
        <sz val="10"/>
        <rFont val="宋体"/>
        <family val="3"/>
        <charset val="134"/>
      </rPr>
      <t>甲</t>
    </r>
    <r>
      <rPr>
        <sz val="10"/>
        <rFont val="Arial"/>
        <family val="2"/>
      </rPr>
      <t>-402</t>
    </r>
  </si>
  <si>
    <r>
      <rPr>
        <sz val="10"/>
        <rFont val="宋体"/>
        <family val="3"/>
        <charset val="134"/>
      </rPr>
      <t>邱瑞泓</t>
    </r>
  </si>
  <si>
    <t>沈勇建</t>
  </si>
  <si>
    <r>
      <rPr>
        <sz val="10"/>
        <rFont val="Arial"/>
        <family val="2"/>
      </rPr>
      <t>39-</t>
    </r>
    <r>
      <rPr>
        <sz val="10"/>
        <rFont val="宋体"/>
        <family val="3"/>
        <charset val="134"/>
      </rPr>
      <t>甲</t>
    </r>
    <r>
      <rPr>
        <sz val="10"/>
        <rFont val="Arial"/>
        <family val="2"/>
      </rPr>
      <t>-302</t>
    </r>
  </si>
  <si>
    <r>
      <rPr>
        <sz val="10"/>
        <rFont val="宋体"/>
        <family val="3"/>
        <charset val="134"/>
      </rPr>
      <t>孙剑</t>
    </r>
  </si>
  <si>
    <r>
      <rPr>
        <sz val="10"/>
        <rFont val="Arial"/>
        <family val="2"/>
      </rPr>
      <t>39-</t>
    </r>
    <r>
      <rPr>
        <sz val="10"/>
        <rFont val="宋体"/>
        <family val="3"/>
        <charset val="134"/>
      </rPr>
      <t>甲</t>
    </r>
    <r>
      <rPr>
        <sz val="10"/>
        <rFont val="Arial"/>
        <family val="2"/>
      </rPr>
      <t>-202</t>
    </r>
  </si>
  <si>
    <t>陈贵林</t>
  </si>
  <si>
    <r>
      <rPr>
        <sz val="10"/>
        <rFont val="Arial"/>
        <family val="2"/>
      </rPr>
      <t>39-</t>
    </r>
    <r>
      <rPr>
        <sz val="10"/>
        <rFont val="宋体"/>
        <family val="3"/>
        <charset val="134"/>
      </rPr>
      <t>甲</t>
    </r>
    <r>
      <rPr>
        <sz val="10"/>
        <rFont val="Arial"/>
        <family val="2"/>
      </rPr>
      <t>-102</t>
    </r>
  </si>
  <si>
    <r>
      <rPr>
        <sz val="10"/>
        <rFont val="宋体"/>
        <family val="3"/>
        <charset val="134"/>
      </rPr>
      <t>任启双、乔如</t>
    </r>
  </si>
  <si>
    <r>
      <rPr>
        <sz val="10"/>
        <rFont val="Arial"/>
        <family val="2"/>
      </rPr>
      <t>39-</t>
    </r>
    <r>
      <rPr>
        <sz val="10"/>
        <rFont val="宋体"/>
        <family val="3"/>
        <charset val="134"/>
      </rPr>
      <t>乙</t>
    </r>
    <r>
      <rPr>
        <sz val="10"/>
        <rFont val="Arial"/>
        <family val="2"/>
      </rPr>
      <t>-1101</t>
    </r>
  </si>
  <si>
    <t>张玮</t>
  </si>
  <si>
    <r>
      <rPr>
        <sz val="10"/>
        <rFont val="Arial"/>
        <family val="2"/>
      </rPr>
      <t>39-</t>
    </r>
    <r>
      <rPr>
        <sz val="10"/>
        <rFont val="宋体"/>
        <family val="3"/>
        <charset val="134"/>
      </rPr>
      <t>乙</t>
    </r>
    <r>
      <rPr>
        <sz val="10"/>
        <rFont val="Arial"/>
        <family val="2"/>
      </rPr>
      <t>-1001</t>
    </r>
  </si>
  <si>
    <r>
      <rPr>
        <sz val="10"/>
        <rFont val="宋体"/>
        <family val="3"/>
        <charset val="134"/>
      </rPr>
      <t>李志华</t>
    </r>
  </si>
  <si>
    <r>
      <rPr>
        <sz val="10"/>
        <rFont val="Arial"/>
        <family val="2"/>
      </rPr>
      <t>39-</t>
    </r>
    <r>
      <rPr>
        <sz val="10"/>
        <rFont val="宋体"/>
        <family val="3"/>
        <charset val="134"/>
      </rPr>
      <t>乙</t>
    </r>
    <r>
      <rPr>
        <sz val="10"/>
        <rFont val="Arial"/>
        <family val="2"/>
      </rPr>
      <t>-901</t>
    </r>
  </si>
  <si>
    <r>
      <rPr>
        <sz val="10"/>
        <rFont val="宋体"/>
        <family val="3"/>
        <charset val="134"/>
      </rPr>
      <t>邵义、郭佳丽</t>
    </r>
  </si>
  <si>
    <r>
      <rPr>
        <sz val="10"/>
        <rFont val="Arial"/>
        <family val="2"/>
      </rPr>
      <t>39-</t>
    </r>
    <r>
      <rPr>
        <sz val="10"/>
        <rFont val="宋体"/>
        <family val="3"/>
        <charset val="134"/>
      </rPr>
      <t>乙</t>
    </r>
    <r>
      <rPr>
        <sz val="10"/>
        <rFont val="Arial"/>
        <family val="2"/>
      </rPr>
      <t>-801</t>
    </r>
  </si>
  <si>
    <r>
      <rPr>
        <sz val="10"/>
        <rFont val="宋体"/>
        <family val="3"/>
        <charset val="134"/>
      </rPr>
      <t>戴燕</t>
    </r>
  </si>
  <si>
    <r>
      <rPr>
        <sz val="10"/>
        <rFont val="Arial"/>
        <family val="2"/>
      </rPr>
      <t>39-</t>
    </r>
    <r>
      <rPr>
        <sz val="10"/>
        <rFont val="宋体"/>
        <family val="3"/>
        <charset val="134"/>
      </rPr>
      <t>乙</t>
    </r>
    <r>
      <rPr>
        <sz val="10"/>
        <rFont val="Arial"/>
        <family val="2"/>
      </rPr>
      <t>-701</t>
    </r>
  </si>
  <si>
    <r>
      <rPr>
        <sz val="10"/>
        <rFont val="宋体"/>
        <family val="3"/>
        <charset val="134"/>
      </rPr>
      <t>郑翌</t>
    </r>
  </si>
  <si>
    <r>
      <rPr>
        <sz val="10"/>
        <rFont val="Arial"/>
        <family val="2"/>
      </rPr>
      <t>39-</t>
    </r>
    <r>
      <rPr>
        <sz val="10"/>
        <rFont val="宋体"/>
        <family val="3"/>
        <charset val="134"/>
      </rPr>
      <t>乙</t>
    </r>
    <r>
      <rPr>
        <sz val="10"/>
        <rFont val="Arial"/>
        <family val="2"/>
      </rPr>
      <t>-601</t>
    </r>
  </si>
  <si>
    <r>
      <rPr>
        <sz val="10"/>
        <rFont val="宋体"/>
        <family val="3"/>
        <charset val="134"/>
      </rPr>
      <t>闻丽芬</t>
    </r>
  </si>
  <si>
    <r>
      <rPr>
        <sz val="10"/>
        <rFont val="Arial"/>
        <family val="2"/>
      </rPr>
      <t>39-</t>
    </r>
    <r>
      <rPr>
        <sz val="10"/>
        <rFont val="宋体"/>
        <family val="3"/>
        <charset val="134"/>
      </rPr>
      <t>乙</t>
    </r>
    <r>
      <rPr>
        <sz val="10"/>
        <rFont val="Arial"/>
        <family val="2"/>
      </rPr>
      <t>-501</t>
    </r>
  </si>
  <si>
    <r>
      <rPr>
        <sz val="10"/>
        <rFont val="宋体"/>
        <family val="3"/>
        <charset val="134"/>
      </rPr>
      <t>徐利菊</t>
    </r>
  </si>
  <si>
    <r>
      <rPr>
        <sz val="10"/>
        <rFont val="Arial"/>
        <family val="2"/>
      </rPr>
      <t>39-</t>
    </r>
    <r>
      <rPr>
        <sz val="10"/>
        <rFont val="宋体"/>
        <family val="3"/>
        <charset val="134"/>
      </rPr>
      <t>乙</t>
    </r>
    <r>
      <rPr>
        <sz val="10"/>
        <rFont val="Arial"/>
        <family val="2"/>
      </rPr>
      <t>-401</t>
    </r>
  </si>
  <si>
    <r>
      <rPr>
        <sz val="10"/>
        <rFont val="宋体"/>
        <family val="3"/>
        <charset val="134"/>
      </rPr>
      <t>姜欣宇</t>
    </r>
  </si>
  <si>
    <r>
      <rPr>
        <sz val="10"/>
        <rFont val="Arial"/>
        <family val="2"/>
      </rPr>
      <t>39-</t>
    </r>
    <r>
      <rPr>
        <sz val="10"/>
        <rFont val="宋体"/>
        <family val="3"/>
        <charset val="134"/>
      </rPr>
      <t>乙</t>
    </r>
    <r>
      <rPr>
        <sz val="10"/>
        <rFont val="Arial"/>
        <family val="2"/>
      </rPr>
      <t>-301</t>
    </r>
  </si>
  <si>
    <r>
      <rPr>
        <sz val="10"/>
        <rFont val="宋体"/>
        <family val="3"/>
        <charset val="134"/>
      </rPr>
      <t>何兰</t>
    </r>
  </si>
  <si>
    <t>陈杰</t>
  </si>
  <si>
    <r>
      <rPr>
        <sz val="10"/>
        <rFont val="Arial"/>
        <family val="2"/>
      </rPr>
      <t>39-</t>
    </r>
    <r>
      <rPr>
        <sz val="10"/>
        <rFont val="宋体"/>
        <family val="3"/>
        <charset val="134"/>
      </rPr>
      <t>乙</t>
    </r>
    <r>
      <rPr>
        <sz val="10"/>
        <rFont val="Arial"/>
        <family val="2"/>
      </rPr>
      <t>-201</t>
    </r>
  </si>
  <si>
    <r>
      <rPr>
        <sz val="10"/>
        <rFont val="宋体"/>
        <family val="3"/>
        <charset val="134"/>
      </rPr>
      <t>张远芳、卢桂珍</t>
    </r>
  </si>
  <si>
    <r>
      <rPr>
        <sz val="10"/>
        <rFont val="Arial"/>
        <family val="2"/>
      </rPr>
      <t>39-</t>
    </r>
    <r>
      <rPr>
        <sz val="10"/>
        <rFont val="宋体"/>
        <family val="3"/>
        <charset val="134"/>
      </rPr>
      <t>乙</t>
    </r>
    <r>
      <rPr>
        <sz val="10"/>
        <rFont val="Arial"/>
        <family val="2"/>
      </rPr>
      <t>-101</t>
    </r>
  </si>
  <si>
    <r>
      <rPr>
        <sz val="10"/>
        <rFont val="宋体"/>
        <family val="3"/>
        <charset val="134"/>
      </rPr>
      <t>柳波、言新芳</t>
    </r>
  </si>
  <si>
    <t>媒体</t>
  </si>
  <si>
    <r>
      <rPr>
        <sz val="10"/>
        <rFont val="Arial"/>
        <family val="2"/>
      </rPr>
      <t>39-</t>
    </r>
    <r>
      <rPr>
        <sz val="10"/>
        <rFont val="宋体"/>
        <family val="3"/>
        <charset val="134"/>
      </rPr>
      <t>乙</t>
    </r>
    <r>
      <rPr>
        <sz val="10"/>
        <rFont val="Arial"/>
        <family val="2"/>
      </rPr>
      <t>-1102</t>
    </r>
  </si>
  <si>
    <r>
      <rPr>
        <sz val="10"/>
        <rFont val="宋体"/>
        <family val="3"/>
        <charset val="134"/>
      </rPr>
      <t>王冲</t>
    </r>
  </si>
  <si>
    <r>
      <rPr>
        <sz val="10"/>
        <rFont val="Arial"/>
        <family val="2"/>
      </rPr>
      <t>39-</t>
    </r>
    <r>
      <rPr>
        <sz val="10"/>
        <rFont val="宋体"/>
        <family val="3"/>
        <charset val="134"/>
      </rPr>
      <t>乙</t>
    </r>
    <r>
      <rPr>
        <sz val="10"/>
        <rFont val="Arial"/>
        <family val="2"/>
      </rPr>
      <t>-1002</t>
    </r>
  </si>
  <si>
    <r>
      <rPr>
        <sz val="10"/>
        <rFont val="宋体"/>
        <family val="3"/>
        <charset val="134"/>
      </rPr>
      <t>罗杜洋</t>
    </r>
  </si>
  <si>
    <r>
      <rPr>
        <sz val="10"/>
        <rFont val="Arial"/>
        <family val="2"/>
      </rPr>
      <t>39-</t>
    </r>
    <r>
      <rPr>
        <sz val="10"/>
        <rFont val="宋体"/>
        <family val="3"/>
        <charset val="134"/>
      </rPr>
      <t>乙</t>
    </r>
    <r>
      <rPr>
        <sz val="10"/>
        <rFont val="Arial"/>
        <family val="2"/>
      </rPr>
      <t>-902</t>
    </r>
  </si>
  <si>
    <r>
      <rPr>
        <sz val="10"/>
        <rFont val="宋体"/>
        <family val="3"/>
        <charset val="134"/>
      </rPr>
      <t>王韬</t>
    </r>
  </si>
  <si>
    <r>
      <rPr>
        <sz val="10"/>
        <rFont val="Arial"/>
        <family val="2"/>
      </rPr>
      <t>39-</t>
    </r>
    <r>
      <rPr>
        <sz val="10"/>
        <rFont val="宋体"/>
        <family val="3"/>
        <charset val="134"/>
      </rPr>
      <t>乙</t>
    </r>
    <r>
      <rPr>
        <sz val="10"/>
        <rFont val="Arial"/>
        <family val="2"/>
      </rPr>
      <t>-802</t>
    </r>
  </si>
  <si>
    <r>
      <rPr>
        <sz val="10"/>
        <rFont val="宋体"/>
        <family val="3"/>
        <charset val="134"/>
      </rPr>
      <t>蒋黎</t>
    </r>
  </si>
  <si>
    <r>
      <rPr>
        <sz val="10"/>
        <rFont val="Arial"/>
        <family val="2"/>
      </rPr>
      <t>39-</t>
    </r>
    <r>
      <rPr>
        <sz val="10"/>
        <rFont val="宋体"/>
        <family val="3"/>
        <charset val="134"/>
      </rPr>
      <t>乙</t>
    </r>
    <r>
      <rPr>
        <sz val="10"/>
        <rFont val="Arial"/>
        <family val="2"/>
      </rPr>
      <t>-702</t>
    </r>
  </si>
  <si>
    <r>
      <rPr>
        <sz val="10"/>
        <rFont val="宋体"/>
        <family val="3"/>
        <charset val="134"/>
      </rPr>
      <t>凌玉萍</t>
    </r>
  </si>
  <si>
    <r>
      <rPr>
        <sz val="10"/>
        <rFont val="Arial"/>
        <family val="2"/>
      </rPr>
      <t>39-</t>
    </r>
    <r>
      <rPr>
        <sz val="10"/>
        <rFont val="宋体"/>
        <family val="3"/>
        <charset val="134"/>
      </rPr>
      <t>乙</t>
    </r>
    <r>
      <rPr>
        <sz val="10"/>
        <rFont val="Arial"/>
        <family val="2"/>
      </rPr>
      <t>-602</t>
    </r>
  </si>
  <si>
    <r>
      <rPr>
        <sz val="10"/>
        <rFont val="宋体"/>
        <family val="3"/>
        <charset val="134"/>
      </rPr>
      <t>钱小虎、孙晔隽</t>
    </r>
  </si>
  <si>
    <r>
      <rPr>
        <sz val="10"/>
        <rFont val="Arial"/>
        <family val="2"/>
      </rPr>
      <t>39-</t>
    </r>
    <r>
      <rPr>
        <sz val="10"/>
        <rFont val="宋体"/>
        <family val="3"/>
        <charset val="134"/>
      </rPr>
      <t>乙</t>
    </r>
    <r>
      <rPr>
        <sz val="10"/>
        <rFont val="Arial"/>
        <family val="2"/>
      </rPr>
      <t>-502</t>
    </r>
  </si>
  <si>
    <r>
      <rPr>
        <sz val="10"/>
        <rFont val="宋体"/>
        <family val="3"/>
        <charset val="134"/>
      </rPr>
      <t>谢锋</t>
    </r>
  </si>
  <si>
    <r>
      <rPr>
        <sz val="10"/>
        <rFont val="Arial"/>
        <family val="2"/>
      </rPr>
      <t>39-</t>
    </r>
    <r>
      <rPr>
        <sz val="10"/>
        <rFont val="宋体"/>
        <family val="3"/>
        <charset val="134"/>
      </rPr>
      <t>乙</t>
    </r>
    <r>
      <rPr>
        <sz val="10"/>
        <rFont val="Arial"/>
        <family val="2"/>
      </rPr>
      <t>-402</t>
    </r>
  </si>
  <si>
    <r>
      <rPr>
        <sz val="10"/>
        <rFont val="宋体"/>
        <family val="3"/>
        <charset val="134"/>
      </rPr>
      <t>张玲</t>
    </r>
  </si>
  <si>
    <r>
      <rPr>
        <sz val="10"/>
        <rFont val="Arial"/>
        <family val="2"/>
      </rPr>
      <t>39-</t>
    </r>
    <r>
      <rPr>
        <sz val="10"/>
        <rFont val="宋体"/>
        <family val="3"/>
        <charset val="134"/>
      </rPr>
      <t>乙</t>
    </r>
    <r>
      <rPr>
        <sz val="10"/>
        <rFont val="Arial"/>
        <family val="2"/>
      </rPr>
      <t>-302</t>
    </r>
  </si>
  <si>
    <r>
      <rPr>
        <sz val="10"/>
        <rFont val="宋体"/>
        <family val="3"/>
        <charset val="134"/>
      </rPr>
      <t>胡启柱、龚溢林</t>
    </r>
  </si>
  <si>
    <r>
      <rPr>
        <sz val="10"/>
        <rFont val="宋体"/>
        <family val="3"/>
        <charset val="134"/>
      </rPr>
      <t>农业银行</t>
    </r>
  </si>
  <si>
    <r>
      <rPr>
        <sz val="10"/>
        <rFont val="Arial"/>
        <family val="2"/>
      </rPr>
      <t>39-</t>
    </r>
    <r>
      <rPr>
        <sz val="10"/>
        <rFont val="宋体"/>
        <family val="3"/>
        <charset val="134"/>
      </rPr>
      <t>乙</t>
    </r>
    <r>
      <rPr>
        <sz val="10"/>
        <rFont val="Arial"/>
        <family val="2"/>
      </rPr>
      <t>-202</t>
    </r>
  </si>
  <si>
    <r>
      <rPr>
        <sz val="10"/>
        <rFont val="宋体"/>
        <family val="3"/>
        <charset val="134"/>
      </rPr>
      <t>陈斌、吴金洪</t>
    </r>
  </si>
  <si>
    <r>
      <rPr>
        <sz val="10"/>
        <rFont val="宋体"/>
        <family val="3"/>
        <charset val="134"/>
      </rPr>
      <t>工商银行</t>
    </r>
  </si>
  <si>
    <r>
      <rPr>
        <sz val="10"/>
        <rFont val="Arial"/>
        <family val="2"/>
      </rPr>
      <t>39-</t>
    </r>
    <r>
      <rPr>
        <sz val="10"/>
        <rFont val="宋体"/>
        <family val="3"/>
        <charset val="134"/>
      </rPr>
      <t>乙</t>
    </r>
    <r>
      <rPr>
        <sz val="10"/>
        <rFont val="Arial"/>
        <family val="2"/>
      </rPr>
      <t>-102</t>
    </r>
  </si>
  <si>
    <r>
      <rPr>
        <sz val="10"/>
        <rFont val="宋体"/>
        <family val="3"/>
        <charset val="134"/>
      </rPr>
      <t>闵珂琦</t>
    </r>
  </si>
  <si>
    <r>
      <rPr>
        <sz val="10"/>
        <rFont val="Arial"/>
        <family val="2"/>
      </rPr>
      <t>39-</t>
    </r>
    <r>
      <rPr>
        <sz val="10"/>
        <rFont val="宋体"/>
        <family val="3"/>
        <charset val="134"/>
      </rPr>
      <t>丙</t>
    </r>
    <r>
      <rPr>
        <sz val="10"/>
        <rFont val="Arial"/>
        <family val="2"/>
      </rPr>
      <t>-1101</t>
    </r>
  </si>
  <si>
    <r>
      <rPr>
        <sz val="10"/>
        <rFont val="宋体"/>
        <family val="3"/>
        <charset val="134"/>
      </rPr>
      <t>刘淼</t>
    </r>
  </si>
  <si>
    <t>财务跟催</t>
  </si>
  <si>
    <r>
      <rPr>
        <sz val="10"/>
        <rFont val="Arial"/>
        <family val="2"/>
      </rPr>
      <t>39-</t>
    </r>
    <r>
      <rPr>
        <sz val="10"/>
        <rFont val="宋体"/>
        <family val="3"/>
        <charset val="134"/>
      </rPr>
      <t>丙</t>
    </r>
    <r>
      <rPr>
        <sz val="10"/>
        <rFont val="Arial"/>
        <family val="2"/>
      </rPr>
      <t>-1001</t>
    </r>
  </si>
  <si>
    <r>
      <rPr>
        <sz val="10"/>
        <rFont val="宋体"/>
        <family val="3"/>
        <charset val="134"/>
      </rPr>
      <t>张毅</t>
    </r>
  </si>
  <si>
    <t>网络</t>
  </si>
  <si>
    <r>
      <rPr>
        <sz val="10"/>
        <rFont val="Arial"/>
        <family val="2"/>
      </rPr>
      <t>39-</t>
    </r>
    <r>
      <rPr>
        <sz val="10"/>
        <rFont val="宋体"/>
        <family val="3"/>
        <charset val="134"/>
      </rPr>
      <t>丙</t>
    </r>
    <r>
      <rPr>
        <sz val="10"/>
        <rFont val="Arial"/>
        <family val="2"/>
      </rPr>
      <t>-901</t>
    </r>
  </si>
  <si>
    <r>
      <rPr>
        <sz val="10"/>
        <rFont val="宋体"/>
        <family val="3"/>
        <charset val="134"/>
      </rPr>
      <t>孙傅芸</t>
    </r>
  </si>
  <si>
    <r>
      <rPr>
        <sz val="10"/>
        <rFont val="宋体"/>
        <family val="3"/>
        <charset val="134"/>
      </rPr>
      <t>纯公积金</t>
    </r>
  </si>
  <si>
    <r>
      <rPr>
        <sz val="10"/>
        <rFont val="Arial"/>
        <family val="2"/>
      </rPr>
      <t>39-</t>
    </r>
    <r>
      <rPr>
        <sz val="10"/>
        <rFont val="宋体"/>
        <family val="3"/>
        <charset val="134"/>
      </rPr>
      <t>丙</t>
    </r>
    <r>
      <rPr>
        <sz val="10"/>
        <rFont val="Arial"/>
        <family val="2"/>
      </rPr>
      <t>-801</t>
    </r>
  </si>
  <si>
    <r>
      <rPr>
        <sz val="10"/>
        <rFont val="宋体"/>
        <family val="3"/>
        <charset val="134"/>
      </rPr>
      <t>李承宏、纪佩来</t>
    </r>
  </si>
  <si>
    <r>
      <rPr>
        <sz val="10"/>
        <rFont val="Arial"/>
        <family val="2"/>
      </rPr>
      <t>39-</t>
    </r>
    <r>
      <rPr>
        <sz val="10"/>
        <rFont val="宋体"/>
        <family val="3"/>
        <charset val="134"/>
      </rPr>
      <t>丙</t>
    </r>
    <r>
      <rPr>
        <sz val="10"/>
        <rFont val="Arial"/>
        <family val="2"/>
      </rPr>
      <t>-701</t>
    </r>
  </si>
  <si>
    <r>
      <rPr>
        <sz val="10"/>
        <rFont val="宋体"/>
        <family val="3"/>
        <charset val="134"/>
      </rPr>
      <t>符彩琴</t>
    </r>
  </si>
  <si>
    <r>
      <rPr>
        <sz val="10"/>
        <rFont val="Arial"/>
        <family val="2"/>
      </rPr>
      <t>39-</t>
    </r>
    <r>
      <rPr>
        <sz val="10"/>
        <rFont val="宋体"/>
        <family val="3"/>
        <charset val="134"/>
      </rPr>
      <t>丙</t>
    </r>
    <r>
      <rPr>
        <sz val="10"/>
        <rFont val="Arial"/>
        <family val="2"/>
      </rPr>
      <t>-601</t>
    </r>
  </si>
  <si>
    <r>
      <rPr>
        <sz val="10"/>
        <rFont val="宋体"/>
        <family val="3"/>
        <charset val="134"/>
      </rPr>
      <t>张姝馨</t>
    </r>
  </si>
  <si>
    <r>
      <rPr>
        <sz val="10"/>
        <rFont val="Arial"/>
        <family val="2"/>
      </rPr>
      <t>39-</t>
    </r>
    <r>
      <rPr>
        <sz val="10"/>
        <rFont val="宋体"/>
        <family val="3"/>
        <charset val="134"/>
      </rPr>
      <t>丙</t>
    </r>
    <r>
      <rPr>
        <sz val="10"/>
        <rFont val="Arial"/>
        <family val="2"/>
      </rPr>
      <t>-501</t>
    </r>
  </si>
  <si>
    <r>
      <rPr>
        <sz val="10"/>
        <rFont val="Arial"/>
        <family val="2"/>
      </rPr>
      <t>39-</t>
    </r>
    <r>
      <rPr>
        <sz val="10"/>
        <rFont val="宋体"/>
        <family val="3"/>
        <charset val="134"/>
      </rPr>
      <t>丙</t>
    </r>
    <r>
      <rPr>
        <sz val="10"/>
        <rFont val="Arial"/>
        <family val="2"/>
      </rPr>
      <t>-401</t>
    </r>
  </si>
  <si>
    <r>
      <rPr>
        <sz val="10"/>
        <rFont val="Arial"/>
        <family val="2"/>
      </rPr>
      <t>39-</t>
    </r>
    <r>
      <rPr>
        <sz val="10"/>
        <rFont val="宋体"/>
        <family val="3"/>
        <charset val="134"/>
      </rPr>
      <t>丙</t>
    </r>
    <r>
      <rPr>
        <sz val="10"/>
        <rFont val="Arial"/>
        <family val="2"/>
      </rPr>
      <t>-301</t>
    </r>
  </si>
  <si>
    <r>
      <rPr>
        <sz val="10"/>
        <rFont val="宋体"/>
        <family val="3"/>
        <charset val="134"/>
      </rPr>
      <t>夏丽君</t>
    </r>
  </si>
  <si>
    <r>
      <rPr>
        <sz val="10"/>
        <rFont val="Arial"/>
        <family val="2"/>
      </rPr>
      <t>39-</t>
    </r>
    <r>
      <rPr>
        <sz val="10"/>
        <rFont val="宋体"/>
        <family val="3"/>
        <charset val="134"/>
      </rPr>
      <t>丙</t>
    </r>
    <r>
      <rPr>
        <sz val="10"/>
        <rFont val="Arial"/>
        <family val="2"/>
      </rPr>
      <t>-201</t>
    </r>
  </si>
  <si>
    <r>
      <rPr>
        <sz val="10"/>
        <rFont val="宋体"/>
        <family val="3"/>
        <charset val="134"/>
      </rPr>
      <t>李朵、徐洋龙</t>
    </r>
  </si>
  <si>
    <r>
      <rPr>
        <sz val="10"/>
        <rFont val="Arial"/>
        <family val="2"/>
      </rPr>
      <t>39-</t>
    </r>
    <r>
      <rPr>
        <sz val="10"/>
        <rFont val="宋体"/>
        <family val="3"/>
        <charset val="134"/>
      </rPr>
      <t>丙</t>
    </r>
    <r>
      <rPr>
        <sz val="10"/>
        <rFont val="Arial"/>
        <family val="2"/>
      </rPr>
      <t>-101</t>
    </r>
  </si>
  <si>
    <r>
      <rPr>
        <sz val="10"/>
        <rFont val="宋体"/>
        <family val="3"/>
        <charset val="134"/>
      </rPr>
      <t>陶亚燕</t>
    </r>
  </si>
  <si>
    <r>
      <rPr>
        <sz val="10"/>
        <rFont val="Arial"/>
        <family val="2"/>
      </rPr>
      <t>39-</t>
    </r>
    <r>
      <rPr>
        <sz val="10"/>
        <rFont val="宋体"/>
        <family val="3"/>
        <charset val="134"/>
      </rPr>
      <t>丙</t>
    </r>
    <r>
      <rPr>
        <sz val="10"/>
        <rFont val="Arial"/>
        <family val="2"/>
      </rPr>
      <t>-1102</t>
    </r>
  </si>
  <si>
    <r>
      <rPr>
        <sz val="10"/>
        <rFont val="宋体"/>
        <family val="3"/>
        <charset val="134"/>
      </rPr>
      <t>张小超</t>
    </r>
  </si>
  <si>
    <r>
      <rPr>
        <sz val="10"/>
        <rFont val="Arial"/>
        <family val="2"/>
      </rPr>
      <t>39-</t>
    </r>
    <r>
      <rPr>
        <sz val="10"/>
        <rFont val="宋体"/>
        <family val="3"/>
        <charset val="134"/>
      </rPr>
      <t>丙</t>
    </r>
    <r>
      <rPr>
        <sz val="10"/>
        <rFont val="Arial"/>
        <family val="2"/>
      </rPr>
      <t>-1002</t>
    </r>
  </si>
  <si>
    <r>
      <rPr>
        <sz val="10"/>
        <rFont val="宋体"/>
        <family val="3"/>
        <charset val="134"/>
      </rPr>
      <t>潘莉晶</t>
    </r>
  </si>
  <si>
    <r>
      <rPr>
        <sz val="10"/>
        <rFont val="Arial"/>
        <family val="2"/>
      </rPr>
      <t>39-</t>
    </r>
    <r>
      <rPr>
        <sz val="10"/>
        <rFont val="宋体"/>
        <family val="3"/>
        <charset val="134"/>
      </rPr>
      <t>丙</t>
    </r>
    <r>
      <rPr>
        <sz val="10"/>
        <rFont val="Arial"/>
        <family val="2"/>
      </rPr>
      <t>-902</t>
    </r>
  </si>
  <si>
    <r>
      <rPr>
        <sz val="10"/>
        <rFont val="宋体"/>
        <family val="3"/>
        <charset val="134"/>
      </rPr>
      <t>干建萍</t>
    </r>
  </si>
  <si>
    <r>
      <rPr>
        <sz val="10"/>
        <rFont val="Arial"/>
        <family val="2"/>
      </rPr>
      <t>39-</t>
    </r>
    <r>
      <rPr>
        <sz val="10"/>
        <rFont val="宋体"/>
        <family val="3"/>
        <charset val="134"/>
      </rPr>
      <t>丙</t>
    </r>
    <r>
      <rPr>
        <sz val="10"/>
        <rFont val="Arial"/>
        <family val="2"/>
      </rPr>
      <t>-802</t>
    </r>
  </si>
  <si>
    <r>
      <rPr>
        <sz val="10"/>
        <rFont val="宋体"/>
        <family val="3"/>
        <charset val="134"/>
      </rPr>
      <t>陈锡东</t>
    </r>
  </si>
  <si>
    <r>
      <rPr>
        <sz val="10"/>
        <rFont val="Arial"/>
        <family val="2"/>
      </rPr>
      <t>39-</t>
    </r>
    <r>
      <rPr>
        <sz val="10"/>
        <rFont val="宋体"/>
        <family val="3"/>
        <charset val="134"/>
      </rPr>
      <t>丙</t>
    </r>
    <r>
      <rPr>
        <sz val="10"/>
        <rFont val="Arial"/>
        <family val="2"/>
      </rPr>
      <t>-702</t>
    </r>
  </si>
  <si>
    <r>
      <rPr>
        <sz val="10"/>
        <rFont val="宋体"/>
        <family val="3"/>
        <charset val="134"/>
      </rPr>
      <t>陈莲锁</t>
    </r>
  </si>
  <si>
    <r>
      <rPr>
        <sz val="10"/>
        <rFont val="Arial"/>
        <family val="2"/>
      </rPr>
      <t>39-</t>
    </r>
    <r>
      <rPr>
        <sz val="10"/>
        <rFont val="宋体"/>
        <family val="3"/>
        <charset val="134"/>
      </rPr>
      <t>丙</t>
    </r>
    <r>
      <rPr>
        <sz val="10"/>
        <rFont val="Arial"/>
        <family val="2"/>
      </rPr>
      <t>-602</t>
    </r>
  </si>
  <si>
    <r>
      <rPr>
        <sz val="10"/>
        <rFont val="宋体"/>
        <family val="3"/>
        <charset val="134"/>
      </rPr>
      <t>蒋海红</t>
    </r>
  </si>
  <si>
    <r>
      <rPr>
        <sz val="10"/>
        <rFont val="Arial"/>
        <family val="2"/>
      </rPr>
      <t>39-</t>
    </r>
    <r>
      <rPr>
        <sz val="10"/>
        <rFont val="宋体"/>
        <family val="3"/>
        <charset val="134"/>
      </rPr>
      <t>丙</t>
    </r>
    <r>
      <rPr>
        <sz val="10"/>
        <rFont val="Arial"/>
        <family val="2"/>
      </rPr>
      <t>-502</t>
    </r>
  </si>
  <si>
    <r>
      <rPr>
        <sz val="10"/>
        <rFont val="宋体"/>
        <family val="3"/>
        <charset val="134"/>
      </rPr>
      <t>顾静</t>
    </r>
  </si>
  <si>
    <r>
      <rPr>
        <sz val="10"/>
        <rFont val="Arial"/>
        <family val="2"/>
      </rPr>
      <t>39-</t>
    </r>
    <r>
      <rPr>
        <sz val="10"/>
        <rFont val="宋体"/>
        <family val="3"/>
        <charset val="134"/>
      </rPr>
      <t>丙</t>
    </r>
    <r>
      <rPr>
        <sz val="10"/>
        <rFont val="Arial"/>
        <family val="2"/>
      </rPr>
      <t>-402</t>
    </r>
  </si>
  <si>
    <r>
      <rPr>
        <sz val="10"/>
        <rFont val="Arial"/>
        <family val="2"/>
      </rPr>
      <t>39-</t>
    </r>
    <r>
      <rPr>
        <sz val="10"/>
        <rFont val="宋体"/>
        <family val="3"/>
        <charset val="134"/>
      </rPr>
      <t>丙</t>
    </r>
    <r>
      <rPr>
        <sz val="10"/>
        <rFont val="Arial"/>
        <family val="2"/>
      </rPr>
      <t>-302</t>
    </r>
  </si>
  <si>
    <r>
      <rPr>
        <sz val="10"/>
        <rFont val="宋体"/>
        <family val="3"/>
        <charset val="134"/>
      </rPr>
      <t>李光舟</t>
    </r>
  </si>
  <si>
    <r>
      <rPr>
        <sz val="10"/>
        <rFont val="Arial"/>
        <family val="2"/>
      </rPr>
      <t>39-</t>
    </r>
    <r>
      <rPr>
        <sz val="10"/>
        <rFont val="宋体"/>
        <family val="3"/>
        <charset val="134"/>
      </rPr>
      <t>丙</t>
    </r>
    <r>
      <rPr>
        <sz val="10"/>
        <rFont val="Arial"/>
        <family val="2"/>
      </rPr>
      <t>-202</t>
    </r>
  </si>
  <si>
    <r>
      <rPr>
        <sz val="10"/>
        <rFont val="宋体"/>
        <family val="3"/>
        <charset val="134"/>
      </rPr>
      <t>周守明</t>
    </r>
  </si>
  <si>
    <r>
      <rPr>
        <sz val="10"/>
        <rFont val="宋体"/>
        <family val="3"/>
        <charset val="134"/>
      </rPr>
      <t>招商银行</t>
    </r>
  </si>
  <si>
    <r>
      <rPr>
        <sz val="10"/>
        <rFont val="Arial"/>
        <family val="2"/>
      </rPr>
      <t>39-</t>
    </r>
    <r>
      <rPr>
        <sz val="10"/>
        <rFont val="宋体"/>
        <family val="3"/>
        <charset val="134"/>
      </rPr>
      <t>丙</t>
    </r>
    <r>
      <rPr>
        <sz val="10"/>
        <rFont val="Arial"/>
        <family val="2"/>
      </rPr>
      <t>-102</t>
    </r>
  </si>
  <si>
    <r>
      <rPr>
        <sz val="10"/>
        <rFont val="宋体"/>
        <family val="3"/>
        <charset val="134"/>
      </rPr>
      <t>程伟</t>
    </r>
  </si>
  <si>
    <r>
      <rPr>
        <sz val="10"/>
        <rFont val="Arial"/>
        <family val="2"/>
      </rPr>
      <t>44-</t>
    </r>
    <r>
      <rPr>
        <sz val="10"/>
        <rFont val="宋体"/>
        <family val="3"/>
        <charset val="134"/>
      </rPr>
      <t>甲-1101</t>
    </r>
  </si>
  <si>
    <r>
      <rPr>
        <sz val="10"/>
        <rFont val="宋体"/>
        <family val="3"/>
        <charset val="134"/>
      </rPr>
      <t>干叶飞</t>
    </r>
  </si>
  <si>
    <r>
      <rPr>
        <sz val="10"/>
        <rFont val="宋体"/>
        <family val="3"/>
        <charset val="134"/>
      </rPr>
      <t>聂敬忠</t>
    </r>
  </si>
  <si>
    <r>
      <rPr>
        <sz val="10"/>
        <rFont val="Arial"/>
        <family val="2"/>
      </rPr>
      <t>44-</t>
    </r>
    <r>
      <rPr>
        <sz val="10"/>
        <rFont val="宋体"/>
        <family val="3"/>
        <charset val="134"/>
      </rPr>
      <t>甲</t>
    </r>
    <r>
      <rPr>
        <sz val="10"/>
        <rFont val="Arial"/>
        <family val="2"/>
      </rPr>
      <t>-901</t>
    </r>
  </si>
  <si>
    <r>
      <rPr>
        <sz val="10"/>
        <rFont val="宋体"/>
        <family val="3"/>
        <charset val="134"/>
      </rPr>
      <t>徐不畏</t>
    </r>
  </si>
  <si>
    <t>按揭</t>
  </si>
  <si>
    <r>
      <rPr>
        <sz val="10"/>
        <rFont val="Arial"/>
        <family val="2"/>
      </rPr>
      <t>44-</t>
    </r>
    <r>
      <rPr>
        <sz val="10"/>
        <rFont val="宋体"/>
        <family val="3"/>
        <charset val="134"/>
      </rPr>
      <t>甲</t>
    </r>
    <r>
      <rPr>
        <sz val="10"/>
        <rFont val="Arial"/>
        <family val="2"/>
      </rPr>
      <t>-801</t>
    </r>
  </si>
  <si>
    <r>
      <rPr>
        <sz val="10"/>
        <rFont val="宋体"/>
        <family val="3"/>
        <charset val="134"/>
      </rPr>
      <t>聂敬礼</t>
    </r>
  </si>
  <si>
    <r>
      <rPr>
        <sz val="10"/>
        <rFont val="Arial"/>
        <family val="2"/>
      </rPr>
      <t>44-</t>
    </r>
    <r>
      <rPr>
        <sz val="10"/>
        <rFont val="宋体"/>
        <family val="3"/>
        <charset val="134"/>
      </rPr>
      <t>甲</t>
    </r>
    <r>
      <rPr>
        <sz val="10"/>
        <rFont val="Arial"/>
        <family val="2"/>
      </rPr>
      <t>-701</t>
    </r>
  </si>
  <si>
    <r>
      <rPr>
        <sz val="10"/>
        <rFont val="宋体"/>
        <family val="3"/>
        <charset val="134"/>
      </rPr>
      <t>杨阳</t>
    </r>
  </si>
  <si>
    <r>
      <rPr>
        <sz val="10"/>
        <rFont val="Arial"/>
        <family val="2"/>
      </rPr>
      <t>44-</t>
    </r>
    <r>
      <rPr>
        <sz val="10"/>
        <rFont val="宋体"/>
        <family val="3"/>
        <charset val="134"/>
      </rPr>
      <t>甲</t>
    </r>
    <r>
      <rPr>
        <sz val="10"/>
        <rFont val="Arial"/>
        <family val="2"/>
      </rPr>
      <t>-601</t>
    </r>
  </si>
  <si>
    <r>
      <rPr>
        <sz val="10"/>
        <rFont val="宋体"/>
        <family val="3"/>
        <charset val="134"/>
      </rPr>
      <t>蒋春燕、张兴大</t>
    </r>
  </si>
  <si>
    <r>
      <rPr>
        <sz val="10"/>
        <rFont val="Arial"/>
        <family val="2"/>
      </rPr>
      <t>44-</t>
    </r>
    <r>
      <rPr>
        <sz val="10"/>
        <rFont val="宋体"/>
        <family val="3"/>
        <charset val="134"/>
      </rPr>
      <t>甲</t>
    </r>
    <r>
      <rPr>
        <sz val="10"/>
        <rFont val="Arial"/>
        <family val="2"/>
      </rPr>
      <t>-501</t>
    </r>
  </si>
  <si>
    <r>
      <rPr>
        <sz val="10"/>
        <rFont val="宋体"/>
        <family val="3"/>
        <charset val="134"/>
      </rPr>
      <t>韩俊容</t>
    </r>
  </si>
  <si>
    <r>
      <rPr>
        <sz val="10"/>
        <rFont val="Arial"/>
        <family val="2"/>
      </rPr>
      <t>44-</t>
    </r>
    <r>
      <rPr>
        <sz val="10"/>
        <rFont val="宋体"/>
        <family val="3"/>
        <charset val="134"/>
      </rPr>
      <t>甲</t>
    </r>
    <r>
      <rPr>
        <sz val="10"/>
        <rFont val="Arial"/>
        <family val="2"/>
      </rPr>
      <t>-401</t>
    </r>
  </si>
  <si>
    <r>
      <rPr>
        <sz val="10"/>
        <rFont val="宋体"/>
        <family val="3"/>
        <charset val="134"/>
      </rPr>
      <t>王飞</t>
    </r>
  </si>
  <si>
    <r>
      <rPr>
        <sz val="10"/>
        <rFont val="Arial"/>
        <family val="2"/>
      </rPr>
      <t>44-</t>
    </r>
    <r>
      <rPr>
        <sz val="10"/>
        <rFont val="宋体"/>
        <family val="3"/>
        <charset val="134"/>
      </rPr>
      <t>甲</t>
    </r>
    <r>
      <rPr>
        <sz val="10"/>
        <rFont val="Arial"/>
        <family val="2"/>
      </rPr>
      <t>-301</t>
    </r>
  </si>
  <si>
    <r>
      <rPr>
        <sz val="10"/>
        <rFont val="宋体"/>
        <family val="3"/>
        <charset val="134"/>
      </rPr>
      <t>吕城</t>
    </r>
  </si>
  <si>
    <r>
      <rPr>
        <sz val="10"/>
        <rFont val="Arial"/>
        <family val="2"/>
      </rPr>
      <t>44-</t>
    </r>
    <r>
      <rPr>
        <sz val="10"/>
        <rFont val="宋体"/>
        <family val="3"/>
        <charset val="134"/>
      </rPr>
      <t>甲</t>
    </r>
    <r>
      <rPr>
        <sz val="10"/>
        <rFont val="Arial"/>
        <family val="2"/>
      </rPr>
      <t>-1102</t>
    </r>
  </si>
  <si>
    <r>
      <rPr>
        <sz val="10"/>
        <rFont val="宋体"/>
        <family val="3"/>
        <charset val="134"/>
      </rPr>
      <t>许军立</t>
    </r>
  </si>
  <si>
    <r>
      <rPr>
        <sz val="10"/>
        <rFont val="Arial"/>
        <family val="2"/>
      </rPr>
      <t>44-</t>
    </r>
    <r>
      <rPr>
        <sz val="10"/>
        <rFont val="宋体"/>
        <family val="3"/>
        <charset val="134"/>
      </rPr>
      <t>甲</t>
    </r>
    <r>
      <rPr>
        <sz val="10"/>
        <rFont val="Arial"/>
        <family val="2"/>
      </rPr>
      <t>-1002</t>
    </r>
  </si>
  <si>
    <r>
      <rPr>
        <sz val="10"/>
        <rFont val="宋体"/>
        <family val="3"/>
        <charset val="134"/>
      </rPr>
      <t>丁小洁</t>
    </r>
  </si>
  <si>
    <t>李昱欣</t>
  </si>
  <si>
    <r>
      <rPr>
        <sz val="10"/>
        <rFont val="Arial"/>
        <family val="2"/>
      </rPr>
      <t>44-</t>
    </r>
    <r>
      <rPr>
        <sz val="10"/>
        <rFont val="宋体"/>
        <family val="3"/>
        <charset val="134"/>
      </rPr>
      <t>甲</t>
    </r>
    <r>
      <rPr>
        <sz val="10"/>
        <rFont val="Arial"/>
        <family val="2"/>
      </rPr>
      <t>-902</t>
    </r>
  </si>
  <si>
    <r>
      <rPr>
        <sz val="10"/>
        <rFont val="宋体"/>
        <family val="3"/>
        <charset val="134"/>
      </rPr>
      <t>贺翠兰</t>
    </r>
  </si>
  <si>
    <r>
      <rPr>
        <sz val="10"/>
        <rFont val="Arial"/>
        <family val="2"/>
      </rPr>
      <t>44-</t>
    </r>
    <r>
      <rPr>
        <sz val="10"/>
        <rFont val="宋体"/>
        <family val="3"/>
        <charset val="134"/>
      </rPr>
      <t>甲</t>
    </r>
    <r>
      <rPr>
        <sz val="10"/>
        <rFont val="Arial"/>
        <family val="2"/>
      </rPr>
      <t>-802</t>
    </r>
  </si>
  <si>
    <r>
      <rPr>
        <sz val="10"/>
        <rFont val="Arial"/>
        <family val="2"/>
      </rPr>
      <t>44-</t>
    </r>
    <r>
      <rPr>
        <sz val="10"/>
        <rFont val="宋体"/>
        <family val="3"/>
        <charset val="134"/>
      </rPr>
      <t>甲</t>
    </r>
    <r>
      <rPr>
        <sz val="10"/>
        <rFont val="Arial"/>
        <family val="2"/>
      </rPr>
      <t>-702</t>
    </r>
  </si>
  <si>
    <r>
      <rPr>
        <sz val="10"/>
        <rFont val="宋体"/>
        <family val="3"/>
        <charset val="134"/>
      </rPr>
      <t>苏琳、孙斌</t>
    </r>
  </si>
  <si>
    <r>
      <rPr>
        <sz val="10"/>
        <rFont val="Arial"/>
        <family val="2"/>
      </rPr>
      <t>44-</t>
    </r>
    <r>
      <rPr>
        <sz val="10"/>
        <rFont val="宋体"/>
        <family val="3"/>
        <charset val="134"/>
      </rPr>
      <t>甲</t>
    </r>
    <r>
      <rPr>
        <sz val="10"/>
        <rFont val="Arial"/>
        <family val="2"/>
      </rPr>
      <t>-602</t>
    </r>
  </si>
  <si>
    <r>
      <rPr>
        <sz val="10"/>
        <rFont val="宋体"/>
        <family val="3"/>
        <charset val="134"/>
      </rPr>
      <t>曾献华</t>
    </r>
  </si>
  <si>
    <r>
      <rPr>
        <sz val="10"/>
        <rFont val="Arial"/>
        <family val="2"/>
      </rPr>
      <t>44-</t>
    </r>
    <r>
      <rPr>
        <sz val="10"/>
        <rFont val="宋体"/>
        <family val="3"/>
        <charset val="134"/>
      </rPr>
      <t>甲</t>
    </r>
    <r>
      <rPr>
        <sz val="10"/>
        <rFont val="Arial"/>
        <family val="2"/>
      </rPr>
      <t>-502</t>
    </r>
  </si>
  <si>
    <r>
      <rPr>
        <sz val="10"/>
        <rFont val="宋体"/>
        <family val="3"/>
        <charset val="134"/>
      </rPr>
      <t>傅伟</t>
    </r>
  </si>
  <si>
    <r>
      <rPr>
        <sz val="10"/>
        <rFont val="Arial"/>
        <family val="2"/>
      </rPr>
      <t>44-</t>
    </r>
    <r>
      <rPr>
        <sz val="10"/>
        <rFont val="宋体"/>
        <family val="3"/>
        <charset val="134"/>
      </rPr>
      <t>甲</t>
    </r>
    <r>
      <rPr>
        <sz val="10"/>
        <rFont val="Arial"/>
        <family val="2"/>
      </rPr>
      <t>-402</t>
    </r>
  </si>
  <si>
    <r>
      <rPr>
        <sz val="10"/>
        <rFont val="宋体"/>
        <family val="3"/>
        <charset val="134"/>
      </rPr>
      <t>陈瑾</t>
    </r>
  </si>
  <si>
    <r>
      <rPr>
        <sz val="10"/>
        <rFont val="Arial"/>
        <family val="2"/>
      </rPr>
      <t>44-</t>
    </r>
    <r>
      <rPr>
        <sz val="10"/>
        <rFont val="宋体"/>
        <family val="3"/>
        <charset val="134"/>
      </rPr>
      <t>甲</t>
    </r>
    <r>
      <rPr>
        <sz val="10"/>
        <rFont val="Arial"/>
        <family val="2"/>
      </rPr>
      <t>-302</t>
    </r>
  </si>
  <si>
    <r>
      <rPr>
        <sz val="10"/>
        <rFont val="宋体"/>
        <family val="3"/>
        <charset val="134"/>
      </rPr>
      <t>黎宏平、甘秋菊</t>
    </r>
  </si>
  <si>
    <r>
      <rPr>
        <sz val="10"/>
        <rFont val="Arial"/>
        <family val="2"/>
      </rPr>
      <t>44-</t>
    </r>
    <r>
      <rPr>
        <sz val="10"/>
        <rFont val="宋体"/>
        <family val="3"/>
        <charset val="134"/>
      </rPr>
      <t>甲</t>
    </r>
    <r>
      <rPr>
        <sz val="10"/>
        <rFont val="Arial"/>
        <family val="2"/>
      </rPr>
      <t>-202</t>
    </r>
  </si>
  <si>
    <r>
      <rPr>
        <sz val="10"/>
        <rFont val="宋体"/>
        <family val="3"/>
        <charset val="134"/>
      </rPr>
      <t>陆兵</t>
    </r>
  </si>
  <si>
    <r>
      <rPr>
        <sz val="10"/>
        <rFont val="Arial"/>
        <family val="2"/>
      </rPr>
      <t>44-</t>
    </r>
    <r>
      <rPr>
        <sz val="10"/>
        <rFont val="宋体"/>
        <family val="3"/>
        <charset val="134"/>
      </rPr>
      <t>乙</t>
    </r>
    <r>
      <rPr>
        <sz val="10"/>
        <rFont val="Arial"/>
        <family val="2"/>
      </rPr>
      <t>-1101</t>
    </r>
  </si>
  <si>
    <r>
      <rPr>
        <sz val="10"/>
        <rFont val="宋体"/>
        <family val="3"/>
        <charset val="134"/>
      </rPr>
      <t>朱婷、郭彤</t>
    </r>
  </si>
  <si>
    <r>
      <rPr>
        <sz val="10"/>
        <rFont val="Arial"/>
        <family val="2"/>
      </rPr>
      <t>44-</t>
    </r>
    <r>
      <rPr>
        <sz val="10"/>
        <rFont val="宋体"/>
        <family val="3"/>
        <charset val="134"/>
      </rPr>
      <t>乙</t>
    </r>
    <r>
      <rPr>
        <sz val="10"/>
        <rFont val="Arial"/>
        <family val="2"/>
      </rPr>
      <t>-1001</t>
    </r>
  </si>
  <si>
    <r>
      <rPr>
        <sz val="10"/>
        <rFont val="宋体"/>
        <family val="3"/>
        <charset val="134"/>
      </rPr>
      <t>林丹光</t>
    </r>
  </si>
  <si>
    <r>
      <rPr>
        <sz val="10"/>
        <rFont val="Arial"/>
        <family val="2"/>
      </rPr>
      <t>44-</t>
    </r>
    <r>
      <rPr>
        <sz val="10"/>
        <rFont val="宋体"/>
        <family val="3"/>
        <charset val="134"/>
      </rPr>
      <t>乙</t>
    </r>
    <r>
      <rPr>
        <sz val="10"/>
        <rFont val="Arial"/>
        <family val="2"/>
      </rPr>
      <t>-901</t>
    </r>
  </si>
  <si>
    <r>
      <rPr>
        <sz val="10"/>
        <rFont val="宋体"/>
        <family val="3"/>
        <charset val="134"/>
      </rPr>
      <t>刘建国</t>
    </r>
  </si>
  <si>
    <r>
      <rPr>
        <sz val="10"/>
        <rFont val="Arial"/>
        <family val="2"/>
      </rPr>
      <t>44-</t>
    </r>
    <r>
      <rPr>
        <sz val="10"/>
        <rFont val="宋体"/>
        <family val="3"/>
        <charset val="134"/>
      </rPr>
      <t>乙</t>
    </r>
    <r>
      <rPr>
        <sz val="10"/>
        <rFont val="Arial"/>
        <family val="2"/>
      </rPr>
      <t>-801</t>
    </r>
  </si>
  <si>
    <r>
      <rPr>
        <sz val="10"/>
        <rFont val="宋体"/>
        <family val="3"/>
        <charset val="134"/>
      </rPr>
      <t>毕勇</t>
    </r>
  </si>
  <si>
    <r>
      <rPr>
        <sz val="10"/>
        <rFont val="Arial"/>
        <family val="2"/>
      </rPr>
      <t>44-</t>
    </r>
    <r>
      <rPr>
        <sz val="10"/>
        <rFont val="宋体"/>
        <family val="3"/>
        <charset val="134"/>
      </rPr>
      <t>乙</t>
    </r>
    <r>
      <rPr>
        <sz val="10"/>
        <rFont val="Arial"/>
        <family val="2"/>
      </rPr>
      <t>-701</t>
    </r>
  </si>
  <si>
    <r>
      <rPr>
        <sz val="10"/>
        <rFont val="宋体"/>
        <family val="3"/>
        <charset val="134"/>
      </rPr>
      <t>王华</t>
    </r>
  </si>
  <si>
    <r>
      <rPr>
        <sz val="10"/>
        <rFont val="Arial"/>
        <family val="2"/>
      </rPr>
      <t>44-</t>
    </r>
    <r>
      <rPr>
        <sz val="10"/>
        <rFont val="宋体"/>
        <family val="3"/>
        <charset val="134"/>
      </rPr>
      <t>乙</t>
    </r>
    <r>
      <rPr>
        <sz val="10"/>
        <rFont val="Arial"/>
        <family val="2"/>
      </rPr>
      <t>-601</t>
    </r>
  </si>
  <si>
    <r>
      <rPr>
        <sz val="10"/>
        <rFont val="宋体"/>
        <family val="3"/>
        <charset val="134"/>
      </rPr>
      <t>谢才强</t>
    </r>
  </si>
  <si>
    <r>
      <rPr>
        <sz val="10"/>
        <rFont val="Arial"/>
        <family val="2"/>
      </rPr>
      <t>44-</t>
    </r>
    <r>
      <rPr>
        <sz val="10"/>
        <rFont val="宋体"/>
        <family val="3"/>
        <charset val="134"/>
      </rPr>
      <t>乙</t>
    </r>
    <r>
      <rPr>
        <sz val="10"/>
        <rFont val="Arial"/>
        <family val="2"/>
      </rPr>
      <t>-501</t>
    </r>
  </si>
  <si>
    <r>
      <rPr>
        <sz val="10"/>
        <rFont val="宋体"/>
        <family val="3"/>
        <charset val="134"/>
      </rPr>
      <t>邹琳</t>
    </r>
  </si>
  <si>
    <t>南京银行</t>
  </si>
  <si>
    <r>
      <rPr>
        <sz val="10"/>
        <rFont val="Arial"/>
        <family val="2"/>
      </rPr>
      <t>44-</t>
    </r>
    <r>
      <rPr>
        <sz val="10"/>
        <rFont val="宋体"/>
        <family val="3"/>
        <charset val="134"/>
      </rPr>
      <t>乙</t>
    </r>
    <r>
      <rPr>
        <sz val="10"/>
        <rFont val="Arial"/>
        <family val="2"/>
      </rPr>
      <t>-401</t>
    </r>
  </si>
  <si>
    <r>
      <rPr>
        <sz val="10"/>
        <rFont val="宋体"/>
        <family val="3"/>
        <charset val="134"/>
      </rPr>
      <t>赵斌</t>
    </r>
  </si>
  <si>
    <r>
      <rPr>
        <sz val="10"/>
        <rFont val="Arial"/>
        <family val="2"/>
      </rPr>
      <t>44-</t>
    </r>
    <r>
      <rPr>
        <sz val="10"/>
        <rFont val="宋体"/>
        <family val="3"/>
        <charset val="134"/>
      </rPr>
      <t>乙</t>
    </r>
    <r>
      <rPr>
        <sz val="10"/>
        <rFont val="Arial"/>
        <family val="2"/>
      </rPr>
      <t>-301</t>
    </r>
  </si>
  <si>
    <r>
      <rPr>
        <sz val="10"/>
        <rFont val="宋体"/>
        <family val="3"/>
        <charset val="134"/>
      </rPr>
      <t>周俊</t>
    </r>
  </si>
  <si>
    <r>
      <rPr>
        <sz val="10"/>
        <rFont val="Arial"/>
        <family val="2"/>
      </rPr>
      <t>44-</t>
    </r>
    <r>
      <rPr>
        <sz val="10"/>
        <rFont val="宋体"/>
        <family val="3"/>
        <charset val="134"/>
      </rPr>
      <t>乙</t>
    </r>
    <r>
      <rPr>
        <sz val="10"/>
        <rFont val="Arial"/>
        <family val="2"/>
      </rPr>
      <t>-201</t>
    </r>
  </si>
  <si>
    <r>
      <rPr>
        <sz val="10"/>
        <rFont val="Arial"/>
        <family val="2"/>
      </rPr>
      <t>44-</t>
    </r>
    <r>
      <rPr>
        <sz val="10"/>
        <rFont val="宋体"/>
        <family val="3"/>
        <charset val="134"/>
      </rPr>
      <t>乙</t>
    </r>
    <r>
      <rPr>
        <sz val="10"/>
        <rFont val="Arial"/>
        <family val="2"/>
      </rPr>
      <t>-1102</t>
    </r>
  </si>
  <si>
    <r>
      <rPr>
        <sz val="10"/>
        <rFont val="宋体"/>
        <family val="3"/>
        <charset val="134"/>
      </rPr>
      <t>濮泽昱、濮小波</t>
    </r>
  </si>
  <si>
    <r>
      <rPr>
        <sz val="10"/>
        <rFont val="Arial"/>
        <family val="2"/>
      </rPr>
      <t>44-</t>
    </r>
    <r>
      <rPr>
        <sz val="10"/>
        <rFont val="宋体"/>
        <family val="3"/>
        <charset val="134"/>
      </rPr>
      <t>乙</t>
    </r>
    <r>
      <rPr>
        <sz val="10"/>
        <rFont val="Arial"/>
        <family val="2"/>
      </rPr>
      <t>-1002</t>
    </r>
  </si>
  <si>
    <r>
      <rPr>
        <sz val="10"/>
        <rFont val="宋体"/>
        <family val="3"/>
        <charset val="134"/>
      </rPr>
      <t>黄洪</t>
    </r>
  </si>
  <si>
    <r>
      <rPr>
        <sz val="10"/>
        <rFont val="Arial"/>
        <family val="2"/>
      </rPr>
      <t>44-</t>
    </r>
    <r>
      <rPr>
        <sz val="10"/>
        <rFont val="宋体"/>
        <family val="3"/>
        <charset val="134"/>
      </rPr>
      <t>乙</t>
    </r>
    <r>
      <rPr>
        <sz val="10"/>
        <rFont val="Arial"/>
        <family val="2"/>
      </rPr>
      <t>-902</t>
    </r>
  </si>
  <si>
    <r>
      <rPr>
        <sz val="10"/>
        <rFont val="Arial"/>
        <family val="2"/>
      </rPr>
      <t>44-</t>
    </r>
    <r>
      <rPr>
        <sz val="10"/>
        <rFont val="宋体"/>
        <family val="3"/>
        <charset val="134"/>
      </rPr>
      <t>乙</t>
    </r>
    <r>
      <rPr>
        <sz val="10"/>
        <rFont val="Arial"/>
        <family val="2"/>
      </rPr>
      <t>-802</t>
    </r>
  </si>
  <si>
    <r>
      <rPr>
        <sz val="10"/>
        <rFont val="宋体"/>
        <family val="3"/>
        <charset val="134"/>
      </rPr>
      <t>沈奕</t>
    </r>
  </si>
  <si>
    <r>
      <rPr>
        <sz val="10"/>
        <rFont val="Arial"/>
        <family val="2"/>
      </rPr>
      <t>44-</t>
    </r>
    <r>
      <rPr>
        <sz val="10"/>
        <rFont val="宋体"/>
        <family val="3"/>
        <charset val="134"/>
      </rPr>
      <t>乙</t>
    </r>
    <r>
      <rPr>
        <sz val="10"/>
        <rFont val="Arial"/>
        <family val="2"/>
      </rPr>
      <t>-702</t>
    </r>
  </si>
  <si>
    <r>
      <rPr>
        <sz val="10"/>
        <rFont val="Arial"/>
        <family val="2"/>
      </rPr>
      <t>44-</t>
    </r>
    <r>
      <rPr>
        <sz val="10"/>
        <rFont val="宋体"/>
        <family val="3"/>
        <charset val="134"/>
      </rPr>
      <t>乙</t>
    </r>
    <r>
      <rPr>
        <sz val="10"/>
        <rFont val="Arial"/>
        <family val="2"/>
      </rPr>
      <t>-602</t>
    </r>
  </si>
  <si>
    <r>
      <rPr>
        <sz val="10"/>
        <rFont val="宋体"/>
        <family val="3"/>
        <charset val="134"/>
      </rPr>
      <t>张苏洋</t>
    </r>
  </si>
  <si>
    <r>
      <rPr>
        <sz val="10"/>
        <rFont val="宋体"/>
        <family val="3"/>
        <charset val="134"/>
      </rPr>
      <t>周芷涵</t>
    </r>
  </si>
  <si>
    <r>
      <rPr>
        <sz val="10"/>
        <rFont val="宋体"/>
        <family val="3"/>
        <charset val="134"/>
      </rPr>
      <t>薛云鹏</t>
    </r>
  </si>
  <si>
    <r>
      <rPr>
        <sz val="10"/>
        <rFont val="Arial"/>
        <family val="2"/>
      </rPr>
      <t>44-</t>
    </r>
    <r>
      <rPr>
        <sz val="10"/>
        <rFont val="宋体"/>
        <family val="3"/>
        <charset val="134"/>
      </rPr>
      <t>乙-302</t>
    </r>
  </si>
  <si>
    <r>
      <rPr>
        <sz val="10"/>
        <rFont val="宋体"/>
        <family val="3"/>
        <charset val="134"/>
      </rPr>
      <t>瞿晓犇</t>
    </r>
  </si>
  <si>
    <r>
      <rPr>
        <sz val="10"/>
        <rFont val="Arial"/>
        <family val="2"/>
      </rPr>
      <t>44-</t>
    </r>
    <r>
      <rPr>
        <sz val="10"/>
        <rFont val="宋体"/>
        <family val="3"/>
        <charset val="134"/>
      </rPr>
      <t>乙</t>
    </r>
    <r>
      <rPr>
        <sz val="10"/>
        <rFont val="Arial"/>
        <family val="2"/>
      </rPr>
      <t>-202</t>
    </r>
  </si>
  <si>
    <r>
      <rPr>
        <sz val="10"/>
        <rFont val="Arial"/>
        <family val="2"/>
      </rPr>
      <t>44-</t>
    </r>
    <r>
      <rPr>
        <sz val="10"/>
        <rFont val="宋体"/>
        <family val="3"/>
        <charset val="134"/>
      </rPr>
      <t>丙</t>
    </r>
    <r>
      <rPr>
        <sz val="10"/>
        <rFont val="Arial"/>
        <family val="2"/>
      </rPr>
      <t>-1101</t>
    </r>
  </si>
  <si>
    <r>
      <rPr>
        <sz val="10"/>
        <rFont val="宋体"/>
        <family val="3"/>
        <charset val="134"/>
      </rPr>
      <t>黄梅</t>
    </r>
  </si>
  <si>
    <t>常州公积金中心</t>
  </si>
  <si>
    <r>
      <rPr>
        <sz val="10"/>
        <rFont val="Arial"/>
        <family val="2"/>
      </rPr>
      <t>44-</t>
    </r>
    <r>
      <rPr>
        <sz val="10"/>
        <rFont val="宋体"/>
        <family val="3"/>
        <charset val="134"/>
      </rPr>
      <t>丙</t>
    </r>
    <r>
      <rPr>
        <sz val="10"/>
        <rFont val="Arial"/>
        <family val="2"/>
      </rPr>
      <t>-1001</t>
    </r>
  </si>
  <si>
    <r>
      <rPr>
        <sz val="10"/>
        <rFont val="Arial"/>
        <family val="2"/>
      </rPr>
      <t>44-</t>
    </r>
    <r>
      <rPr>
        <sz val="10"/>
        <rFont val="宋体"/>
        <family val="3"/>
        <charset val="134"/>
      </rPr>
      <t>丙</t>
    </r>
    <r>
      <rPr>
        <sz val="10"/>
        <rFont val="Arial"/>
        <family val="2"/>
      </rPr>
      <t>-901</t>
    </r>
  </si>
  <si>
    <r>
      <rPr>
        <sz val="10"/>
        <rFont val="宋体"/>
        <family val="3"/>
        <charset val="134"/>
      </rPr>
      <t>彭海琴</t>
    </r>
  </si>
  <si>
    <r>
      <rPr>
        <sz val="10"/>
        <rFont val="Arial"/>
        <family val="2"/>
      </rPr>
      <t>44-</t>
    </r>
    <r>
      <rPr>
        <sz val="10"/>
        <rFont val="宋体"/>
        <family val="3"/>
        <charset val="134"/>
      </rPr>
      <t>丙</t>
    </r>
    <r>
      <rPr>
        <sz val="10"/>
        <rFont val="Arial"/>
        <family val="2"/>
      </rPr>
      <t>-801</t>
    </r>
  </si>
  <si>
    <r>
      <rPr>
        <sz val="10"/>
        <rFont val="宋体"/>
        <family val="3"/>
        <charset val="134"/>
      </rPr>
      <t>刘兰英</t>
    </r>
  </si>
  <si>
    <r>
      <rPr>
        <sz val="10"/>
        <rFont val="Arial"/>
        <family val="2"/>
      </rPr>
      <t>44-</t>
    </r>
    <r>
      <rPr>
        <sz val="10"/>
        <rFont val="宋体"/>
        <family val="3"/>
        <charset val="134"/>
      </rPr>
      <t>丙</t>
    </r>
    <r>
      <rPr>
        <sz val="10"/>
        <rFont val="Arial"/>
        <family val="2"/>
      </rPr>
      <t>-701</t>
    </r>
  </si>
  <si>
    <r>
      <rPr>
        <sz val="10"/>
        <rFont val="宋体"/>
        <family val="3"/>
        <charset val="134"/>
      </rPr>
      <t>夏大清</t>
    </r>
  </si>
  <si>
    <r>
      <rPr>
        <sz val="10"/>
        <rFont val="Arial"/>
        <family val="2"/>
      </rPr>
      <t>44-</t>
    </r>
    <r>
      <rPr>
        <sz val="10"/>
        <rFont val="宋体"/>
        <family val="3"/>
        <charset val="134"/>
      </rPr>
      <t>丙</t>
    </r>
    <r>
      <rPr>
        <sz val="10"/>
        <rFont val="Arial"/>
        <family val="2"/>
      </rPr>
      <t>-601</t>
    </r>
  </si>
  <si>
    <r>
      <rPr>
        <sz val="10"/>
        <rFont val="宋体"/>
        <family val="3"/>
        <charset val="134"/>
      </rPr>
      <t>陆启浩、董永珍</t>
    </r>
  </si>
  <si>
    <r>
      <rPr>
        <sz val="10"/>
        <rFont val="Arial"/>
        <family val="2"/>
      </rPr>
      <t>44-</t>
    </r>
    <r>
      <rPr>
        <sz val="10"/>
        <rFont val="宋体"/>
        <family val="3"/>
        <charset val="134"/>
      </rPr>
      <t>丙</t>
    </r>
    <r>
      <rPr>
        <sz val="10"/>
        <rFont val="Arial"/>
        <family val="2"/>
      </rPr>
      <t>-501</t>
    </r>
  </si>
  <si>
    <r>
      <rPr>
        <sz val="10"/>
        <rFont val="宋体"/>
        <family val="3"/>
        <charset val="134"/>
      </rPr>
      <t>陈平</t>
    </r>
  </si>
  <si>
    <r>
      <rPr>
        <sz val="10"/>
        <rFont val="Arial"/>
        <family val="2"/>
      </rPr>
      <t>44-</t>
    </r>
    <r>
      <rPr>
        <sz val="10"/>
        <rFont val="宋体"/>
        <family val="3"/>
        <charset val="134"/>
      </rPr>
      <t>丙</t>
    </r>
    <r>
      <rPr>
        <sz val="10"/>
        <rFont val="Arial"/>
        <family val="2"/>
      </rPr>
      <t>-401</t>
    </r>
  </si>
  <si>
    <r>
      <rPr>
        <sz val="10"/>
        <rFont val="宋体"/>
        <family val="3"/>
        <charset val="134"/>
      </rPr>
      <t>潘文君</t>
    </r>
  </si>
  <si>
    <r>
      <rPr>
        <sz val="10"/>
        <rFont val="Arial"/>
        <family val="2"/>
      </rPr>
      <t>44-</t>
    </r>
    <r>
      <rPr>
        <sz val="10"/>
        <rFont val="宋体"/>
        <family val="3"/>
        <charset val="134"/>
      </rPr>
      <t>丙</t>
    </r>
    <r>
      <rPr>
        <sz val="10"/>
        <rFont val="Arial"/>
        <family val="2"/>
      </rPr>
      <t>-301</t>
    </r>
  </si>
  <si>
    <r>
      <rPr>
        <sz val="10"/>
        <rFont val="宋体"/>
        <family val="3"/>
        <charset val="134"/>
      </rPr>
      <t>何煚</t>
    </r>
  </si>
  <si>
    <r>
      <rPr>
        <sz val="10"/>
        <rFont val="Arial"/>
        <family val="2"/>
      </rPr>
      <t>44-</t>
    </r>
    <r>
      <rPr>
        <sz val="10"/>
        <rFont val="宋体"/>
        <family val="3"/>
        <charset val="134"/>
      </rPr>
      <t>丙</t>
    </r>
    <r>
      <rPr>
        <sz val="10"/>
        <rFont val="Arial"/>
        <family val="2"/>
      </rPr>
      <t>-201</t>
    </r>
  </si>
  <si>
    <r>
      <rPr>
        <sz val="10"/>
        <rFont val="宋体"/>
        <family val="3"/>
        <charset val="134"/>
      </rPr>
      <t>刘锋朱泽莲</t>
    </r>
  </si>
  <si>
    <r>
      <rPr>
        <sz val="10"/>
        <rFont val="Arial"/>
        <family val="2"/>
      </rPr>
      <t>44-</t>
    </r>
    <r>
      <rPr>
        <sz val="10"/>
        <rFont val="宋体"/>
        <family val="3"/>
        <charset val="134"/>
      </rPr>
      <t>丙</t>
    </r>
    <r>
      <rPr>
        <sz val="10"/>
        <rFont val="Arial"/>
        <family val="2"/>
      </rPr>
      <t>-1102</t>
    </r>
  </si>
  <si>
    <t>一次性</t>
  </si>
  <si>
    <r>
      <rPr>
        <sz val="10"/>
        <rFont val="Arial"/>
        <family val="2"/>
      </rPr>
      <t>44-</t>
    </r>
    <r>
      <rPr>
        <sz val="10"/>
        <rFont val="宋体"/>
        <family val="3"/>
        <charset val="134"/>
      </rPr>
      <t>丙</t>
    </r>
    <r>
      <rPr>
        <sz val="10"/>
        <rFont val="Arial"/>
        <family val="2"/>
      </rPr>
      <t>-1002</t>
    </r>
  </si>
  <si>
    <r>
      <rPr>
        <sz val="10"/>
        <rFont val="宋体"/>
        <family val="3"/>
        <charset val="134"/>
      </rPr>
      <t>田秋兴</t>
    </r>
  </si>
  <si>
    <r>
      <rPr>
        <sz val="10"/>
        <rFont val="Arial"/>
        <family val="2"/>
      </rPr>
      <t>44-</t>
    </r>
    <r>
      <rPr>
        <sz val="10"/>
        <rFont val="宋体"/>
        <family val="3"/>
        <charset val="134"/>
      </rPr>
      <t>丙</t>
    </r>
    <r>
      <rPr>
        <sz val="10"/>
        <rFont val="Arial"/>
        <family val="2"/>
      </rPr>
      <t>-902</t>
    </r>
  </si>
  <si>
    <r>
      <rPr>
        <sz val="10"/>
        <rFont val="宋体"/>
        <family val="3"/>
        <charset val="134"/>
      </rPr>
      <t>周冬艳</t>
    </r>
  </si>
  <si>
    <r>
      <rPr>
        <sz val="10"/>
        <rFont val="Arial"/>
        <family val="2"/>
      </rPr>
      <t>44-</t>
    </r>
    <r>
      <rPr>
        <sz val="10"/>
        <rFont val="宋体"/>
        <family val="3"/>
        <charset val="134"/>
      </rPr>
      <t>丙</t>
    </r>
    <r>
      <rPr>
        <sz val="10"/>
        <rFont val="Arial"/>
        <family val="2"/>
      </rPr>
      <t>-802</t>
    </r>
  </si>
  <si>
    <r>
      <rPr>
        <sz val="10"/>
        <rFont val="宋体"/>
        <family val="3"/>
        <charset val="134"/>
      </rPr>
      <t>钱兰</t>
    </r>
  </si>
  <si>
    <r>
      <rPr>
        <sz val="10"/>
        <rFont val="Arial"/>
        <family val="2"/>
      </rPr>
      <t>44-</t>
    </r>
    <r>
      <rPr>
        <sz val="10"/>
        <rFont val="宋体"/>
        <family val="3"/>
        <charset val="134"/>
      </rPr>
      <t>丙</t>
    </r>
    <r>
      <rPr>
        <sz val="10"/>
        <rFont val="Arial"/>
        <family val="2"/>
      </rPr>
      <t>-702</t>
    </r>
  </si>
  <si>
    <r>
      <rPr>
        <sz val="10"/>
        <rFont val="Arial"/>
        <family val="2"/>
      </rPr>
      <t>44-</t>
    </r>
    <r>
      <rPr>
        <sz val="10"/>
        <rFont val="宋体"/>
        <family val="3"/>
        <charset val="134"/>
      </rPr>
      <t>丙</t>
    </r>
    <r>
      <rPr>
        <sz val="10"/>
        <rFont val="Arial"/>
        <family val="2"/>
      </rPr>
      <t>-602</t>
    </r>
  </si>
  <si>
    <r>
      <rPr>
        <sz val="10"/>
        <rFont val="宋体"/>
        <family val="3"/>
        <charset val="134"/>
      </rPr>
      <t>韩海烽、张云亚</t>
    </r>
  </si>
  <si>
    <r>
      <rPr>
        <sz val="10"/>
        <rFont val="Arial"/>
        <family val="2"/>
      </rPr>
      <t>44-</t>
    </r>
    <r>
      <rPr>
        <sz val="10"/>
        <rFont val="宋体"/>
        <family val="3"/>
        <charset val="134"/>
      </rPr>
      <t>丙</t>
    </r>
    <r>
      <rPr>
        <sz val="10"/>
        <rFont val="Arial"/>
        <family val="2"/>
      </rPr>
      <t>-502</t>
    </r>
  </si>
  <si>
    <r>
      <rPr>
        <sz val="10"/>
        <color indexed="8"/>
        <rFont val="宋体"/>
        <family val="3"/>
        <charset val="134"/>
      </rPr>
      <t>查建芳</t>
    </r>
  </si>
  <si>
    <r>
      <rPr>
        <sz val="10"/>
        <rFont val="Arial"/>
        <family val="2"/>
      </rPr>
      <t>44-</t>
    </r>
    <r>
      <rPr>
        <sz val="10"/>
        <rFont val="宋体"/>
        <family val="3"/>
        <charset val="134"/>
      </rPr>
      <t>丙</t>
    </r>
    <r>
      <rPr>
        <sz val="10"/>
        <rFont val="Arial"/>
        <family val="2"/>
      </rPr>
      <t>-402</t>
    </r>
  </si>
  <si>
    <r>
      <rPr>
        <sz val="10"/>
        <rFont val="宋体"/>
        <family val="3"/>
        <charset val="134"/>
      </rPr>
      <t>丁云、李岳峰</t>
    </r>
  </si>
  <si>
    <r>
      <rPr>
        <sz val="10"/>
        <rFont val="Arial"/>
        <family val="2"/>
      </rPr>
      <t>44-</t>
    </r>
    <r>
      <rPr>
        <sz val="10"/>
        <rFont val="宋体"/>
        <family val="3"/>
        <charset val="134"/>
      </rPr>
      <t>丙</t>
    </r>
    <r>
      <rPr>
        <sz val="10"/>
        <rFont val="Arial"/>
        <family val="2"/>
      </rPr>
      <t>-302</t>
    </r>
  </si>
  <si>
    <r>
      <rPr>
        <sz val="10"/>
        <rFont val="宋体"/>
        <family val="3"/>
        <charset val="134"/>
      </rPr>
      <t>张薇雯</t>
    </r>
  </si>
  <si>
    <r>
      <rPr>
        <sz val="10"/>
        <rFont val="Arial"/>
        <family val="2"/>
      </rPr>
      <t>44-</t>
    </r>
    <r>
      <rPr>
        <sz val="10"/>
        <rFont val="宋体"/>
        <family val="3"/>
        <charset val="134"/>
      </rPr>
      <t>丙</t>
    </r>
    <r>
      <rPr>
        <sz val="10"/>
        <rFont val="Arial"/>
        <family val="2"/>
      </rPr>
      <t>-202</t>
    </r>
  </si>
  <si>
    <r>
      <rPr>
        <sz val="10"/>
        <rFont val="宋体"/>
        <family val="3"/>
        <charset val="134"/>
      </rPr>
      <t>余霞</t>
    </r>
  </si>
  <si>
    <r>
      <rPr>
        <sz val="10"/>
        <rFont val="宋体"/>
        <family val="3"/>
        <charset val="134"/>
      </rPr>
      <t>件齐</t>
    </r>
    <r>
      <rPr>
        <sz val="10"/>
        <rFont val="Arial"/>
        <family val="2"/>
      </rPr>
      <t>-</t>
    </r>
    <r>
      <rPr>
        <sz val="10"/>
        <rFont val="宋体"/>
        <family val="3"/>
        <charset val="134"/>
      </rPr>
      <t>银行按揭</t>
    </r>
    <r>
      <rPr>
        <sz val="10"/>
        <rFont val="Arial"/>
        <family val="2"/>
      </rPr>
      <t>-</t>
    </r>
    <r>
      <rPr>
        <sz val="10"/>
        <rFont val="宋体"/>
        <family val="3"/>
        <charset val="134"/>
      </rPr>
      <t>待发起审批</t>
    </r>
  </si>
  <si>
    <r>
      <rPr>
        <sz val="10"/>
        <rFont val="Arial"/>
        <family val="2"/>
      </rPr>
      <t>40-</t>
    </r>
    <r>
      <rPr>
        <sz val="10"/>
        <rFont val="宋体"/>
        <family val="3"/>
        <charset val="134"/>
      </rPr>
      <t>甲</t>
    </r>
    <r>
      <rPr>
        <sz val="10"/>
        <rFont val="Arial"/>
        <family val="2"/>
      </rPr>
      <t>-101</t>
    </r>
  </si>
  <si>
    <t>老带新</t>
  </si>
  <si>
    <r>
      <rPr>
        <sz val="10"/>
        <rFont val="Arial"/>
        <family val="2"/>
      </rPr>
      <t>40-</t>
    </r>
    <r>
      <rPr>
        <sz val="10"/>
        <rFont val="宋体"/>
        <family val="3"/>
        <charset val="134"/>
      </rPr>
      <t>甲</t>
    </r>
    <r>
      <rPr>
        <sz val="10"/>
        <rFont val="Arial"/>
        <family val="2"/>
      </rPr>
      <t>-201</t>
    </r>
  </si>
  <si>
    <t>纯商贷</t>
  </si>
  <si>
    <r>
      <rPr>
        <sz val="10"/>
        <rFont val="Arial"/>
        <family val="2"/>
      </rPr>
      <t>40-</t>
    </r>
    <r>
      <rPr>
        <sz val="10"/>
        <rFont val="宋体"/>
        <family val="3"/>
        <charset val="134"/>
      </rPr>
      <t>甲</t>
    </r>
    <r>
      <rPr>
        <sz val="10"/>
        <rFont val="Arial"/>
        <family val="2"/>
      </rPr>
      <t>-301</t>
    </r>
  </si>
  <si>
    <r>
      <rPr>
        <sz val="10"/>
        <rFont val="Arial"/>
        <family val="2"/>
      </rPr>
      <t>40-</t>
    </r>
    <r>
      <rPr>
        <sz val="10"/>
        <rFont val="宋体"/>
        <family val="3"/>
        <charset val="134"/>
      </rPr>
      <t>甲</t>
    </r>
    <r>
      <rPr>
        <sz val="10"/>
        <rFont val="Arial"/>
        <family val="2"/>
      </rPr>
      <t>-401</t>
    </r>
  </si>
  <si>
    <t>工商银行</t>
  </si>
  <si>
    <r>
      <rPr>
        <sz val="10"/>
        <rFont val="Arial"/>
        <family val="2"/>
      </rPr>
      <t>40-</t>
    </r>
    <r>
      <rPr>
        <sz val="10"/>
        <rFont val="宋体"/>
        <family val="3"/>
        <charset val="134"/>
      </rPr>
      <t>甲</t>
    </r>
    <r>
      <rPr>
        <sz val="10"/>
        <rFont val="Arial"/>
        <family val="2"/>
      </rPr>
      <t>-501</t>
    </r>
  </si>
  <si>
    <r>
      <rPr>
        <sz val="10"/>
        <rFont val="宋体"/>
        <family val="3"/>
        <charset val="134"/>
      </rPr>
      <t>张彬、郭昆</t>
    </r>
  </si>
  <si>
    <r>
      <rPr>
        <sz val="10"/>
        <rFont val="Arial"/>
        <family val="2"/>
      </rPr>
      <t>40-</t>
    </r>
    <r>
      <rPr>
        <sz val="10"/>
        <rFont val="宋体"/>
        <family val="3"/>
        <charset val="134"/>
      </rPr>
      <t>甲</t>
    </r>
    <r>
      <rPr>
        <sz val="10"/>
        <rFont val="Arial"/>
        <family val="2"/>
      </rPr>
      <t>-601</t>
    </r>
  </si>
  <si>
    <r>
      <rPr>
        <sz val="10"/>
        <rFont val="Arial"/>
        <family val="2"/>
      </rPr>
      <t>40-</t>
    </r>
    <r>
      <rPr>
        <sz val="10"/>
        <rFont val="宋体"/>
        <family val="3"/>
        <charset val="134"/>
      </rPr>
      <t>甲</t>
    </r>
    <r>
      <rPr>
        <sz val="10"/>
        <rFont val="Arial"/>
        <family val="2"/>
      </rPr>
      <t>-701</t>
    </r>
  </si>
  <si>
    <r>
      <rPr>
        <sz val="10"/>
        <rFont val="宋体"/>
        <family val="3"/>
        <charset val="134"/>
      </rPr>
      <t>高静怡</t>
    </r>
  </si>
  <si>
    <r>
      <rPr>
        <sz val="10"/>
        <rFont val="Arial"/>
        <family val="2"/>
      </rPr>
      <t>40-</t>
    </r>
    <r>
      <rPr>
        <sz val="10"/>
        <rFont val="宋体"/>
        <family val="3"/>
        <charset val="134"/>
      </rPr>
      <t>甲</t>
    </r>
    <r>
      <rPr>
        <sz val="10"/>
        <rFont val="Arial"/>
        <family val="2"/>
      </rPr>
      <t>-801</t>
    </r>
  </si>
  <si>
    <r>
      <rPr>
        <sz val="10"/>
        <rFont val="宋体"/>
        <family val="3"/>
        <charset val="134"/>
      </rPr>
      <t>沈克文、周琴</t>
    </r>
  </si>
  <si>
    <r>
      <rPr>
        <sz val="10"/>
        <rFont val="Arial"/>
        <family val="2"/>
      </rPr>
      <t>40-</t>
    </r>
    <r>
      <rPr>
        <sz val="10"/>
        <rFont val="宋体"/>
        <family val="3"/>
        <charset val="134"/>
      </rPr>
      <t>甲</t>
    </r>
    <r>
      <rPr>
        <sz val="10"/>
        <rFont val="Arial"/>
        <family val="2"/>
      </rPr>
      <t>-901</t>
    </r>
  </si>
  <si>
    <r>
      <rPr>
        <sz val="10"/>
        <rFont val="宋体"/>
        <family val="3"/>
        <charset val="134"/>
      </rPr>
      <t>马益飞</t>
    </r>
  </si>
  <si>
    <r>
      <rPr>
        <sz val="10"/>
        <rFont val="Arial"/>
        <family val="2"/>
      </rPr>
      <t>40-</t>
    </r>
    <r>
      <rPr>
        <sz val="10"/>
        <rFont val="宋体"/>
        <family val="3"/>
        <charset val="134"/>
      </rPr>
      <t>甲</t>
    </r>
    <r>
      <rPr>
        <sz val="10"/>
        <rFont val="Arial"/>
        <family val="2"/>
      </rPr>
      <t>-1001</t>
    </r>
  </si>
  <si>
    <r>
      <rPr>
        <sz val="10"/>
        <rFont val="宋体"/>
        <family val="3"/>
        <charset val="134"/>
      </rPr>
      <t>朱振、周晓慧</t>
    </r>
  </si>
  <si>
    <r>
      <rPr>
        <sz val="10"/>
        <rFont val="Arial"/>
        <family val="2"/>
      </rPr>
      <t>40-</t>
    </r>
    <r>
      <rPr>
        <sz val="10"/>
        <rFont val="宋体"/>
        <family val="3"/>
        <charset val="134"/>
      </rPr>
      <t>甲</t>
    </r>
    <r>
      <rPr>
        <sz val="10"/>
        <rFont val="Arial"/>
        <family val="2"/>
      </rPr>
      <t>-1101</t>
    </r>
  </si>
  <si>
    <r>
      <rPr>
        <sz val="10"/>
        <rFont val="Arial"/>
        <family val="2"/>
      </rPr>
      <t>40-</t>
    </r>
    <r>
      <rPr>
        <sz val="10"/>
        <rFont val="宋体"/>
        <family val="3"/>
        <charset val="134"/>
      </rPr>
      <t>甲</t>
    </r>
    <r>
      <rPr>
        <sz val="10"/>
        <rFont val="Arial"/>
        <family val="2"/>
      </rPr>
      <t>-102</t>
    </r>
  </si>
  <si>
    <r>
      <rPr>
        <sz val="10"/>
        <rFont val="宋体"/>
        <family val="3"/>
        <charset val="134"/>
      </rPr>
      <t>壮琪、周敏</t>
    </r>
  </si>
  <si>
    <r>
      <rPr>
        <sz val="10"/>
        <rFont val="宋体"/>
        <family val="3"/>
        <charset val="134"/>
      </rPr>
      <t>建设银行</t>
    </r>
  </si>
  <si>
    <r>
      <rPr>
        <sz val="10"/>
        <rFont val="Arial"/>
        <family val="2"/>
      </rPr>
      <t>40-</t>
    </r>
    <r>
      <rPr>
        <sz val="10"/>
        <rFont val="宋体"/>
        <family val="3"/>
        <charset val="134"/>
      </rPr>
      <t>甲</t>
    </r>
    <r>
      <rPr>
        <sz val="10"/>
        <rFont val="Arial"/>
        <family val="2"/>
      </rPr>
      <t>-202</t>
    </r>
  </si>
  <si>
    <r>
      <rPr>
        <sz val="10"/>
        <rFont val="Arial"/>
        <family val="2"/>
      </rPr>
      <t>40-</t>
    </r>
    <r>
      <rPr>
        <sz val="10"/>
        <rFont val="宋体"/>
        <family val="3"/>
        <charset val="134"/>
      </rPr>
      <t>甲</t>
    </r>
    <r>
      <rPr>
        <sz val="10"/>
        <rFont val="Arial"/>
        <family val="2"/>
      </rPr>
      <t>-302</t>
    </r>
  </si>
  <si>
    <r>
      <rPr>
        <sz val="10"/>
        <rFont val="宋体"/>
        <family val="3"/>
        <charset val="134"/>
      </rPr>
      <t>李卫</t>
    </r>
  </si>
  <si>
    <r>
      <rPr>
        <sz val="10"/>
        <rFont val="Arial"/>
        <family val="2"/>
      </rPr>
      <t>40-</t>
    </r>
    <r>
      <rPr>
        <sz val="10"/>
        <rFont val="宋体"/>
        <family val="3"/>
        <charset val="134"/>
      </rPr>
      <t>甲</t>
    </r>
    <r>
      <rPr>
        <sz val="10"/>
        <rFont val="Arial"/>
        <family val="2"/>
      </rPr>
      <t>-402</t>
    </r>
  </si>
  <si>
    <r>
      <rPr>
        <sz val="10"/>
        <rFont val="Arial"/>
        <family val="2"/>
      </rPr>
      <t>40-</t>
    </r>
    <r>
      <rPr>
        <sz val="10"/>
        <rFont val="宋体"/>
        <family val="3"/>
        <charset val="134"/>
      </rPr>
      <t>甲</t>
    </r>
    <r>
      <rPr>
        <sz val="10"/>
        <rFont val="Arial"/>
        <family val="2"/>
      </rPr>
      <t>-502</t>
    </r>
  </si>
  <si>
    <r>
      <rPr>
        <sz val="10"/>
        <rFont val="宋体"/>
        <family val="3"/>
        <charset val="134"/>
      </rPr>
      <t>秦超、王晶雨</t>
    </r>
  </si>
  <si>
    <t>黄晓蕾</t>
  </si>
  <si>
    <r>
      <rPr>
        <sz val="10"/>
        <rFont val="Arial"/>
        <family val="2"/>
      </rPr>
      <t>40-</t>
    </r>
    <r>
      <rPr>
        <sz val="10"/>
        <rFont val="宋体"/>
        <family val="3"/>
        <charset val="134"/>
      </rPr>
      <t>甲</t>
    </r>
    <r>
      <rPr>
        <sz val="10"/>
        <rFont val="Arial"/>
        <family val="2"/>
      </rPr>
      <t>-602</t>
    </r>
  </si>
  <si>
    <t>纯公积金</t>
  </si>
  <si>
    <r>
      <rPr>
        <sz val="10"/>
        <rFont val="Arial"/>
        <family val="2"/>
      </rPr>
      <t>40-</t>
    </r>
    <r>
      <rPr>
        <sz val="10"/>
        <rFont val="宋体"/>
        <family val="3"/>
        <charset val="134"/>
      </rPr>
      <t>甲</t>
    </r>
    <r>
      <rPr>
        <sz val="10"/>
        <rFont val="Arial"/>
        <family val="2"/>
      </rPr>
      <t>-702</t>
    </r>
  </si>
  <si>
    <r>
      <rPr>
        <sz val="10"/>
        <rFont val="宋体"/>
        <family val="3"/>
        <charset val="134"/>
      </rPr>
      <t>王芳</t>
    </r>
  </si>
  <si>
    <r>
      <rPr>
        <sz val="10"/>
        <rFont val="Arial"/>
        <family val="2"/>
      </rPr>
      <t>40-</t>
    </r>
    <r>
      <rPr>
        <sz val="10"/>
        <rFont val="宋体"/>
        <family val="3"/>
        <charset val="134"/>
      </rPr>
      <t>甲</t>
    </r>
    <r>
      <rPr>
        <sz val="10"/>
        <rFont val="Arial"/>
        <family val="2"/>
      </rPr>
      <t>-802</t>
    </r>
  </si>
  <si>
    <r>
      <rPr>
        <sz val="10"/>
        <rFont val="宋体"/>
        <family val="3"/>
        <charset val="134"/>
      </rPr>
      <t>赵颖</t>
    </r>
  </si>
  <si>
    <r>
      <rPr>
        <sz val="10"/>
        <rFont val="Arial"/>
        <family val="2"/>
      </rPr>
      <t>40-</t>
    </r>
    <r>
      <rPr>
        <sz val="10"/>
        <rFont val="宋体"/>
        <family val="3"/>
        <charset val="134"/>
      </rPr>
      <t>甲</t>
    </r>
    <r>
      <rPr>
        <sz val="10"/>
        <rFont val="Arial"/>
        <family val="2"/>
      </rPr>
      <t>-902</t>
    </r>
  </si>
  <si>
    <r>
      <rPr>
        <sz val="10"/>
        <rFont val="宋体"/>
        <family val="3"/>
        <charset val="134"/>
      </rPr>
      <t>恽晓明、苏秋</t>
    </r>
  </si>
  <si>
    <r>
      <rPr>
        <sz val="10"/>
        <rFont val="Arial"/>
        <family val="2"/>
      </rPr>
      <t>40-</t>
    </r>
    <r>
      <rPr>
        <sz val="10"/>
        <rFont val="宋体"/>
        <family val="3"/>
        <charset val="134"/>
      </rPr>
      <t>甲</t>
    </r>
    <r>
      <rPr>
        <sz val="10"/>
        <rFont val="Arial"/>
        <family val="2"/>
      </rPr>
      <t>-1002</t>
    </r>
  </si>
  <si>
    <r>
      <rPr>
        <sz val="10"/>
        <rFont val="宋体"/>
        <family val="3"/>
        <charset val="134"/>
      </rPr>
      <t>高玲玲</t>
    </r>
  </si>
  <si>
    <r>
      <rPr>
        <sz val="10"/>
        <rFont val="Arial"/>
        <family val="2"/>
      </rPr>
      <t>40-</t>
    </r>
    <r>
      <rPr>
        <sz val="10"/>
        <rFont val="宋体"/>
        <family val="3"/>
        <charset val="134"/>
      </rPr>
      <t>甲</t>
    </r>
    <r>
      <rPr>
        <sz val="10"/>
        <rFont val="Arial"/>
        <family val="2"/>
      </rPr>
      <t>-1102</t>
    </r>
  </si>
  <si>
    <t>邓丽娜</t>
  </si>
  <si>
    <r>
      <rPr>
        <sz val="10"/>
        <rFont val="Arial"/>
        <family val="2"/>
      </rPr>
      <t>40-</t>
    </r>
    <r>
      <rPr>
        <sz val="10"/>
        <rFont val="宋体"/>
        <family val="3"/>
        <charset val="134"/>
      </rPr>
      <t>乙</t>
    </r>
    <r>
      <rPr>
        <sz val="10"/>
        <rFont val="Arial"/>
        <family val="2"/>
      </rPr>
      <t>-101</t>
    </r>
  </si>
  <si>
    <r>
      <rPr>
        <sz val="10"/>
        <rFont val="宋体"/>
        <family val="3"/>
        <charset val="134"/>
      </rPr>
      <t>肖红霞</t>
    </r>
  </si>
  <si>
    <r>
      <rPr>
        <sz val="10"/>
        <rFont val="Arial"/>
        <family val="2"/>
      </rPr>
      <t>40-</t>
    </r>
    <r>
      <rPr>
        <sz val="10"/>
        <rFont val="宋体"/>
        <family val="3"/>
        <charset val="134"/>
      </rPr>
      <t>乙</t>
    </r>
    <r>
      <rPr>
        <sz val="10"/>
        <rFont val="Arial"/>
        <family val="2"/>
      </rPr>
      <t>-201</t>
    </r>
  </si>
  <si>
    <t>交通银行</t>
  </si>
  <si>
    <r>
      <rPr>
        <sz val="10"/>
        <rFont val="Arial"/>
        <family val="2"/>
      </rPr>
      <t>40-</t>
    </r>
    <r>
      <rPr>
        <sz val="10"/>
        <rFont val="宋体"/>
        <family val="3"/>
        <charset val="134"/>
      </rPr>
      <t>乙</t>
    </r>
    <r>
      <rPr>
        <sz val="10"/>
        <rFont val="Arial"/>
        <family val="2"/>
      </rPr>
      <t>-301</t>
    </r>
  </si>
  <si>
    <t>陈晶</t>
  </si>
  <si>
    <r>
      <rPr>
        <sz val="10"/>
        <rFont val="Arial"/>
        <family val="2"/>
      </rPr>
      <t>40-</t>
    </r>
    <r>
      <rPr>
        <sz val="10"/>
        <rFont val="宋体"/>
        <family val="3"/>
        <charset val="134"/>
      </rPr>
      <t>乙</t>
    </r>
    <r>
      <rPr>
        <sz val="10"/>
        <rFont val="Arial"/>
        <family val="2"/>
      </rPr>
      <t>-401</t>
    </r>
  </si>
  <si>
    <r>
      <rPr>
        <sz val="10"/>
        <rFont val="宋体"/>
        <family val="3"/>
        <charset val="134"/>
      </rPr>
      <t>王晓伟、上小英</t>
    </r>
  </si>
  <si>
    <r>
      <rPr>
        <sz val="10"/>
        <rFont val="Arial"/>
        <family val="2"/>
      </rPr>
      <t>40-</t>
    </r>
    <r>
      <rPr>
        <sz val="10"/>
        <rFont val="宋体"/>
        <family val="3"/>
        <charset val="134"/>
      </rPr>
      <t>乙</t>
    </r>
    <r>
      <rPr>
        <sz val="10"/>
        <rFont val="Arial"/>
        <family val="2"/>
      </rPr>
      <t>-501</t>
    </r>
  </si>
  <si>
    <r>
      <rPr>
        <sz val="10"/>
        <rFont val="宋体"/>
        <family val="3"/>
        <charset val="134"/>
      </rPr>
      <t>刘康、刘丹纯</t>
    </r>
  </si>
  <si>
    <r>
      <rPr>
        <sz val="10"/>
        <rFont val="Arial"/>
        <family val="2"/>
      </rPr>
      <t>40-</t>
    </r>
    <r>
      <rPr>
        <sz val="10"/>
        <rFont val="宋体"/>
        <family val="3"/>
        <charset val="134"/>
      </rPr>
      <t>乙</t>
    </r>
    <r>
      <rPr>
        <sz val="10"/>
        <rFont val="Arial"/>
        <family val="2"/>
      </rPr>
      <t>-601</t>
    </r>
  </si>
  <si>
    <r>
      <rPr>
        <sz val="10"/>
        <rFont val="宋体"/>
        <family val="3"/>
        <charset val="134"/>
      </rPr>
      <t>潘杨、陆娟芬</t>
    </r>
  </si>
  <si>
    <r>
      <rPr>
        <sz val="10"/>
        <rFont val="Arial"/>
        <family val="2"/>
      </rPr>
      <t>40-</t>
    </r>
    <r>
      <rPr>
        <sz val="10"/>
        <rFont val="宋体"/>
        <family val="3"/>
        <charset val="134"/>
      </rPr>
      <t>乙</t>
    </r>
    <r>
      <rPr>
        <sz val="10"/>
        <rFont val="Arial"/>
        <family val="2"/>
      </rPr>
      <t>-701</t>
    </r>
  </si>
  <si>
    <r>
      <rPr>
        <sz val="10"/>
        <rFont val="宋体"/>
        <family val="3"/>
        <charset val="134"/>
      </rPr>
      <t>李赟、丁路</t>
    </r>
  </si>
  <si>
    <r>
      <rPr>
        <sz val="10"/>
        <rFont val="Arial"/>
        <family val="2"/>
      </rPr>
      <t>40-</t>
    </r>
    <r>
      <rPr>
        <sz val="10"/>
        <rFont val="宋体"/>
        <family val="3"/>
        <charset val="134"/>
      </rPr>
      <t>乙</t>
    </r>
    <r>
      <rPr>
        <sz val="10"/>
        <rFont val="Arial"/>
        <family val="2"/>
      </rPr>
      <t>-801</t>
    </r>
  </si>
  <si>
    <r>
      <rPr>
        <sz val="10"/>
        <rFont val="宋体"/>
        <family val="3"/>
        <charset val="134"/>
      </rPr>
      <t>董小娟、解平毅</t>
    </r>
  </si>
  <si>
    <r>
      <rPr>
        <sz val="10"/>
        <rFont val="Arial"/>
        <family val="2"/>
      </rPr>
      <t>40-</t>
    </r>
    <r>
      <rPr>
        <sz val="10"/>
        <rFont val="宋体"/>
        <family val="3"/>
        <charset val="134"/>
      </rPr>
      <t>乙</t>
    </r>
    <r>
      <rPr>
        <sz val="10"/>
        <rFont val="Arial"/>
        <family val="2"/>
      </rPr>
      <t>-901</t>
    </r>
  </si>
  <si>
    <r>
      <rPr>
        <sz val="10"/>
        <rFont val="宋体"/>
        <family val="3"/>
        <charset val="134"/>
      </rPr>
      <t>李刚、王丙芳</t>
    </r>
  </si>
  <si>
    <r>
      <rPr>
        <sz val="10"/>
        <rFont val="Arial"/>
        <family val="2"/>
      </rPr>
      <t>40-</t>
    </r>
    <r>
      <rPr>
        <sz val="10"/>
        <rFont val="宋体"/>
        <family val="3"/>
        <charset val="134"/>
      </rPr>
      <t>乙</t>
    </r>
    <r>
      <rPr>
        <sz val="10"/>
        <rFont val="Arial"/>
        <family val="2"/>
      </rPr>
      <t>-1001</t>
    </r>
  </si>
  <si>
    <r>
      <rPr>
        <sz val="10"/>
        <rFont val="宋体"/>
        <family val="3"/>
        <charset val="134"/>
      </rPr>
      <t>刘伟明</t>
    </r>
  </si>
  <si>
    <r>
      <rPr>
        <sz val="10"/>
        <rFont val="Arial"/>
        <family val="2"/>
      </rPr>
      <t>40-</t>
    </r>
    <r>
      <rPr>
        <sz val="10"/>
        <rFont val="宋体"/>
        <family val="3"/>
        <charset val="134"/>
      </rPr>
      <t>乙</t>
    </r>
    <r>
      <rPr>
        <sz val="10"/>
        <rFont val="Arial"/>
        <family val="2"/>
      </rPr>
      <t>-1101</t>
    </r>
  </si>
  <si>
    <r>
      <rPr>
        <sz val="10"/>
        <rFont val="Arial"/>
        <family val="2"/>
      </rPr>
      <t>40-</t>
    </r>
    <r>
      <rPr>
        <sz val="10"/>
        <rFont val="宋体"/>
        <family val="3"/>
        <charset val="134"/>
      </rPr>
      <t>乙</t>
    </r>
    <r>
      <rPr>
        <sz val="10"/>
        <rFont val="Arial"/>
        <family val="2"/>
      </rPr>
      <t>-102</t>
    </r>
  </si>
  <si>
    <r>
      <rPr>
        <sz val="10"/>
        <rFont val="宋体"/>
        <family val="3"/>
        <charset val="134"/>
      </rPr>
      <t>栾巍、牟娇</t>
    </r>
  </si>
  <si>
    <r>
      <rPr>
        <sz val="10"/>
        <rFont val="Arial"/>
        <family val="2"/>
      </rPr>
      <t>40-</t>
    </r>
    <r>
      <rPr>
        <sz val="10"/>
        <rFont val="宋体"/>
        <family val="3"/>
        <charset val="134"/>
      </rPr>
      <t>乙</t>
    </r>
    <r>
      <rPr>
        <sz val="10"/>
        <rFont val="Arial"/>
        <family val="2"/>
      </rPr>
      <t>-202</t>
    </r>
  </si>
  <si>
    <r>
      <rPr>
        <sz val="10"/>
        <rFont val="Arial"/>
        <family val="2"/>
      </rPr>
      <t>40-</t>
    </r>
    <r>
      <rPr>
        <sz val="10"/>
        <rFont val="宋体"/>
        <family val="3"/>
        <charset val="134"/>
      </rPr>
      <t>乙</t>
    </r>
    <r>
      <rPr>
        <sz val="10"/>
        <rFont val="Arial"/>
        <family val="2"/>
      </rPr>
      <t>-302</t>
    </r>
  </si>
  <si>
    <r>
      <rPr>
        <sz val="10"/>
        <rFont val="宋体"/>
        <family val="3"/>
        <charset val="134"/>
      </rPr>
      <t>杨玲玉</t>
    </r>
  </si>
  <si>
    <r>
      <rPr>
        <sz val="10"/>
        <rFont val="Arial"/>
        <family val="2"/>
      </rPr>
      <t>40-</t>
    </r>
    <r>
      <rPr>
        <sz val="10"/>
        <rFont val="宋体"/>
        <family val="3"/>
        <charset val="134"/>
      </rPr>
      <t>乙</t>
    </r>
    <r>
      <rPr>
        <sz val="10"/>
        <rFont val="Arial"/>
        <family val="2"/>
      </rPr>
      <t>-402</t>
    </r>
  </si>
  <si>
    <r>
      <rPr>
        <sz val="10"/>
        <rFont val="Arial"/>
        <family val="2"/>
      </rPr>
      <t>40-</t>
    </r>
    <r>
      <rPr>
        <sz val="10"/>
        <rFont val="宋体"/>
        <family val="3"/>
        <charset val="134"/>
      </rPr>
      <t>乙</t>
    </r>
    <r>
      <rPr>
        <sz val="10"/>
        <rFont val="Arial"/>
        <family val="2"/>
      </rPr>
      <t>-502</t>
    </r>
  </si>
  <si>
    <r>
      <rPr>
        <sz val="10"/>
        <rFont val="宋体"/>
        <family val="3"/>
        <charset val="134"/>
      </rPr>
      <t>薛时杰、杨梦璐</t>
    </r>
  </si>
  <si>
    <r>
      <rPr>
        <sz val="10"/>
        <rFont val="Arial"/>
        <family val="2"/>
      </rPr>
      <t>40-</t>
    </r>
    <r>
      <rPr>
        <sz val="10"/>
        <rFont val="宋体"/>
        <family val="3"/>
        <charset val="134"/>
      </rPr>
      <t>乙</t>
    </r>
    <r>
      <rPr>
        <sz val="10"/>
        <rFont val="Arial"/>
        <family val="2"/>
      </rPr>
      <t>-602</t>
    </r>
  </si>
  <si>
    <r>
      <rPr>
        <sz val="10"/>
        <rFont val="Arial"/>
        <family val="2"/>
      </rPr>
      <t>40-</t>
    </r>
    <r>
      <rPr>
        <sz val="10"/>
        <rFont val="宋体"/>
        <family val="3"/>
        <charset val="134"/>
      </rPr>
      <t>乙</t>
    </r>
    <r>
      <rPr>
        <sz val="10"/>
        <rFont val="Arial"/>
        <family val="2"/>
      </rPr>
      <t>-702</t>
    </r>
  </si>
  <si>
    <r>
      <rPr>
        <sz val="10"/>
        <rFont val="Arial"/>
        <family val="2"/>
      </rPr>
      <t>40-</t>
    </r>
    <r>
      <rPr>
        <sz val="10"/>
        <rFont val="宋体"/>
        <family val="3"/>
        <charset val="134"/>
      </rPr>
      <t>乙</t>
    </r>
    <r>
      <rPr>
        <sz val="10"/>
        <rFont val="Arial"/>
        <family val="2"/>
      </rPr>
      <t>-802</t>
    </r>
  </si>
  <si>
    <r>
      <rPr>
        <sz val="10"/>
        <rFont val="Arial"/>
        <family val="2"/>
      </rPr>
      <t>40-</t>
    </r>
    <r>
      <rPr>
        <sz val="10"/>
        <rFont val="宋体"/>
        <family val="3"/>
        <charset val="134"/>
      </rPr>
      <t>乙</t>
    </r>
    <r>
      <rPr>
        <sz val="10"/>
        <rFont val="Arial"/>
        <family val="2"/>
      </rPr>
      <t>-902</t>
    </r>
  </si>
  <si>
    <r>
      <rPr>
        <sz val="10"/>
        <rFont val="宋体"/>
        <family val="3"/>
        <charset val="134"/>
      </rPr>
      <t>陈康</t>
    </r>
  </si>
  <si>
    <r>
      <rPr>
        <sz val="10"/>
        <rFont val="Arial"/>
        <family val="2"/>
      </rPr>
      <t>40-</t>
    </r>
    <r>
      <rPr>
        <sz val="10"/>
        <rFont val="宋体"/>
        <family val="3"/>
        <charset val="134"/>
      </rPr>
      <t>乙</t>
    </r>
    <r>
      <rPr>
        <sz val="10"/>
        <rFont val="Arial"/>
        <family val="2"/>
      </rPr>
      <t>-1002</t>
    </r>
  </si>
  <si>
    <r>
      <rPr>
        <sz val="10"/>
        <rFont val="宋体"/>
        <family val="3"/>
        <charset val="134"/>
      </rPr>
      <t>罗婷</t>
    </r>
  </si>
  <si>
    <r>
      <rPr>
        <sz val="10"/>
        <rFont val="Arial"/>
        <family val="2"/>
      </rPr>
      <t>40-</t>
    </r>
    <r>
      <rPr>
        <sz val="10"/>
        <rFont val="宋体"/>
        <family val="3"/>
        <charset val="134"/>
      </rPr>
      <t>乙</t>
    </r>
    <r>
      <rPr>
        <sz val="10"/>
        <rFont val="Arial"/>
        <family val="2"/>
      </rPr>
      <t>-1102</t>
    </r>
  </si>
  <si>
    <t>营销跟催</t>
  </si>
  <si>
    <t>按揭未办理-未签按揭合同</t>
  </si>
  <si>
    <r>
      <rPr>
        <sz val="10"/>
        <rFont val="Arial"/>
        <family val="2"/>
      </rPr>
      <t>40-</t>
    </r>
    <r>
      <rPr>
        <sz val="10"/>
        <rFont val="宋体"/>
        <family val="3"/>
        <charset val="134"/>
      </rPr>
      <t>丙</t>
    </r>
    <r>
      <rPr>
        <sz val="10"/>
        <rFont val="Arial"/>
        <family val="2"/>
      </rPr>
      <t>-101</t>
    </r>
  </si>
  <si>
    <t>件齐-银行按揭-待发起审批</t>
  </si>
  <si>
    <t>中国银行钟楼支行</t>
  </si>
  <si>
    <r>
      <rPr>
        <sz val="10"/>
        <rFont val="Arial"/>
        <family val="2"/>
      </rPr>
      <t>40-</t>
    </r>
    <r>
      <rPr>
        <sz val="10"/>
        <rFont val="宋体"/>
        <family val="3"/>
        <charset val="134"/>
      </rPr>
      <t>丙</t>
    </r>
    <r>
      <rPr>
        <sz val="10"/>
        <rFont val="Arial"/>
        <family val="2"/>
      </rPr>
      <t>-201</t>
    </r>
  </si>
  <si>
    <r>
      <rPr>
        <sz val="10"/>
        <rFont val="Arial"/>
        <family val="2"/>
      </rPr>
      <t>40-</t>
    </r>
    <r>
      <rPr>
        <sz val="10"/>
        <rFont val="宋体"/>
        <family val="3"/>
        <charset val="134"/>
      </rPr>
      <t>丙</t>
    </r>
    <r>
      <rPr>
        <sz val="10"/>
        <rFont val="Arial"/>
        <family val="2"/>
      </rPr>
      <t>-301</t>
    </r>
  </si>
  <si>
    <r>
      <rPr>
        <sz val="10"/>
        <rFont val="Arial"/>
        <family val="2"/>
      </rPr>
      <t>40-</t>
    </r>
    <r>
      <rPr>
        <sz val="10"/>
        <rFont val="宋体"/>
        <family val="3"/>
        <charset val="134"/>
      </rPr>
      <t>丙</t>
    </r>
    <r>
      <rPr>
        <sz val="10"/>
        <rFont val="Arial"/>
        <family val="2"/>
      </rPr>
      <t>-401</t>
    </r>
  </si>
  <si>
    <r>
      <rPr>
        <sz val="10"/>
        <rFont val="Arial"/>
        <family val="2"/>
      </rPr>
      <t>40-</t>
    </r>
    <r>
      <rPr>
        <sz val="10"/>
        <rFont val="宋体"/>
        <family val="3"/>
        <charset val="134"/>
      </rPr>
      <t>丙</t>
    </r>
    <r>
      <rPr>
        <sz val="10"/>
        <rFont val="Arial"/>
        <family val="2"/>
      </rPr>
      <t>-501</t>
    </r>
  </si>
  <si>
    <r>
      <rPr>
        <sz val="10"/>
        <rFont val="Arial"/>
        <family val="2"/>
      </rPr>
      <t>40-</t>
    </r>
    <r>
      <rPr>
        <sz val="10"/>
        <rFont val="宋体"/>
        <family val="3"/>
        <charset val="134"/>
      </rPr>
      <t>丙</t>
    </r>
    <r>
      <rPr>
        <sz val="10"/>
        <rFont val="Arial"/>
        <family val="2"/>
      </rPr>
      <t>-601</t>
    </r>
  </si>
  <si>
    <r>
      <rPr>
        <sz val="10"/>
        <rFont val="Arial"/>
        <family val="2"/>
      </rPr>
      <t>40-</t>
    </r>
    <r>
      <rPr>
        <sz val="10"/>
        <rFont val="宋体"/>
        <family val="3"/>
        <charset val="134"/>
      </rPr>
      <t>丙</t>
    </r>
    <r>
      <rPr>
        <sz val="10"/>
        <rFont val="Arial"/>
        <family val="2"/>
      </rPr>
      <t>-701</t>
    </r>
  </si>
  <si>
    <r>
      <rPr>
        <sz val="10"/>
        <rFont val="宋体"/>
        <family val="3"/>
        <charset val="134"/>
      </rPr>
      <t>严嘉、邵洁</t>
    </r>
  </si>
  <si>
    <r>
      <rPr>
        <sz val="10"/>
        <rFont val="Arial"/>
        <family val="2"/>
      </rPr>
      <t>40-</t>
    </r>
    <r>
      <rPr>
        <sz val="10"/>
        <rFont val="宋体"/>
        <family val="3"/>
        <charset val="134"/>
      </rPr>
      <t>丙</t>
    </r>
    <r>
      <rPr>
        <sz val="10"/>
        <rFont val="Arial"/>
        <family val="2"/>
      </rPr>
      <t>-801</t>
    </r>
  </si>
  <si>
    <r>
      <rPr>
        <sz val="10"/>
        <rFont val="Arial"/>
        <family val="2"/>
      </rPr>
      <t>40-</t>
    </r>
    <r>
      <rPr>
        <sz val="10"/>
        <rFont val="宋体"/>
        <family val="3"/>
        <charset val="134"/>
      </rPr>
      <t>丙</t>
    </r>
    <r>
      <rPr>
        <sz val="10"/>
        <rFont val="Arial"/>
        <family val="2"/>
      </rPr>
      <t>-901</t>
    </r>
  </si>
  <si>
    <r>
      <rPr>
        <sz val="10"/>
        <rFont val="宋体"/>
        <family val="3"/>
        <charset val="134"/>
      </rPr>
      <t>柳杨</t>
    </r>
  </si>
  <si>
    <r>
      <rPr>
        <sz val="10"/>
        <rFont val="Arial"/>
        <family val="2"/>
      </rPr>
      <t>40-</t>
    </r>
    <r>
      <rPr>
        <sz val="10"/>
        <rFont val="宋体"/>
        <family val="3"/>
        <charset val="134"/>
      </rPr>
      <t>丙</t>
    </r>
    <r>
      <rPr>
        <sz val="10"/>
        <rFont val="Arial"/>
        <family val="2"/>
      </rPr>
      <t>-1001</t>
    </r>
  </si>
  <si>
    <r>
      <rPr>
        <sz val="10"/>
        <rFont val="Arial"/>
        <family val="2"/>
      </rPr>
      <t>40-</t>
    </r>
    <r>
      <rPr>
        <sz val="10"/>
        <rFont val="宋体"/>
        <family val="3"/>
        <charset val="134"/>
      </rPr>
      <t>丙</t>
    </r>
    <r>
      <rPr>
        <sz val="10"/>
        <rFont val="Arial"/>
        <family val="2"/>
      </rPr>
      <t>-1101</t>
    </r>
  </si>
  <si>
    <r>
      <rPr>
        <sz val="10"/>
        <rFont val="Arial"/>
        <family val="2"/>
      </rPr>
      <t>40-</t>
    </r>
    <r>
      <rPr>
        <sz val="10"/>
        <rFont val="宋体"/>
        <family val="3"/>
        <charset val="134"/>
      </rPr>
      <t>丙</t>
    </r>
    <r>
      <rPr>
        <sz val="10"/>
        <rFont val="Arial"/>
        <family val="2"/>
      </rPr>
      <t>-102</t>
    </r>
  </si>
  <si>
    <r>
      <rPr>
        <sz val="10"/>
        <rFont val="Arial"/>
        <family val="2"/>
      </rPr>
      <t>40-</t>
    </r>
    <r>
      <rPr>
        <sz val="10"/>
        <rFont val="宋体"/>
        <family val="3"/>
        <charset val="134"/>
      </rPr>
      <t>丙</t>
    </r>
    <r>
      <rPr>
        <sz val="10"/>
        <rFont val="Arial"/>
        <family val="2"/>
      </rPr>
      <t>-202</t>
    </r>
  </si>
  <si>
    <t>农业银行</t>
  </si>
  <si>
    <r>
      <rPr>
        <sz val="10"/>
        <rFont val="Arial"/>
        <family val="2"/>
      </rPr>
      <t>40-</t>
    </r>
    <r>
      <rPr>
        <sz val="10"/>
        <rFont val="宋体"/>
        <family val="3"/>
        <charset val="134"/>
      </rPr>
      <t>丙</t>
    </r>
    <r>
      <rPr>
        <sz val="10"/>
        <rFont val="Arial"/>
        <family val="2"/>
      </rPr>
      <t>-302</t>
    </r>
  </si>
  <si>
    <r>
      <rPr>
        <sz val="10"/>
        <rFont val="Arial"/>
        <family val="2"/>
      </rPr>
      <t>40-</t>
    </r>
    <r>
      <rPr>
        <sz val="10"/>
        <rFont val="宋体"/>
        <family val="3"/>
        <charset val="134"/>
      </rPr>
      <t>丙</t>
    </r>
    <r>
      <rPr>
        <sz val="10"/>
        <rFont val="Arial"/>
        <family val="2"/>
      </rPr>
      <t>-402</t>
    </r>
  </si>
  <si>
    <r>
      <rPr>
        <sz val="10"/>
        <rFont val="Arial"/>
        <family val="2"/>
      </rPr>
      <t>40-</t>
    </r>
    <r>
      <rPr>
        <sz val="10"/>
        <rFont val="宋体"/>
        <family val="3"/>
        <charset val="134"/>
      </rPr>
      <t>丙</t>
    </r>
    <r>
      <rPr>
        <sz val="10"/>
        <rFont val="Arial"/>
        <family val="2"/>
      </rPr>
      <t>-502</t>
    </r>
  </si>
  <si>
    <r>
      <rPr>
        <sz val="10"/>
        <rFont val="宋体"/>
        <family val="3"/>
        <charset val="134"/>
      </rPr>
      <t>陆晓飞、朱杭金</t>
    </r>
  </si>
  <si>
    <r>
      <rPr>
        <sz val="10"/>
        <rFont val="Arial"/>
        <family val="2"/>
      </rPr>
      <t>40-</t>
    </r>
    <r>
      <rPr>
        <sz val="10"/>
        <rFont val="宋体"/>
        <family val="3"/>
        <charset val="134"/>
      </rPr>
      <t>丙</t>
    </r>
    <r>
      <rPr>
        <sz val="10"/>
        <rFont val="Arial"/>
        <family val="2"/>
      </rPr>
      <t>-602</t>
    </r>
  </si>
  <si>
    <r>
      <rPr>
        <sz val="10"/>
        <rFont val="Arial"/>
        <family val="2"/>
      </rPr>
      <t>40-</t>
    </r>
    <r>
      <rPr>
        <sz val="10"/>
        <rFont val="宋体"/>
        <family val="3"/>
        <charset val="134"/>
      </rPr>
      <t>丙</t>
    </r>
    <r>
      <rPr>
        <sz val="10"/>
        <rFont val="Arial"/>
        <family val="2"/>
      </rPr>
      <t>-702</t>
    </r>
  </si>
  <si>
    <r>
      <rPr>
        <sz val="10"/>
        <rFont val="宋体"/>
        <family val="3"/>
        <charset val="134"/>
      </rPr>
      <t>薛芬、吴凯</t>
    </r>
  </si>
  <si>
    <r>
      <rPr>
        <sz val="10"/>
        <rFont val="Arial"/>
        <family val="2"/>
      </rPr>
      <t>40-</t>
    </r>
    <r>
      <rPr>
        <sz val="10"/>
        <rFont val="宋体"/>
        <family val="3"/>
        <charset val="134"/>
      </rPr>
      <t>丙</t>
    </r>
    <r>
      <rPr>
        <sz val="10"/>
        <rFont val="Arial"/>
        <family val="2"/>
      </rPr>
      <t>-802</t>
    </r>
  </si>
  <si>
    <r>
      <rPr>
        <sz val="10"/>
        <rFont val="宋体"/>
        <family val="3"/>
        <charset val="134"/>
      </rPr>
      <t>彭广民、周海萍</t>
    </r>
  </si>
  <si>
    <r>
      <rPr>
        <sz val="10"/>
        <rFont val="Arial"/>
        <family val="2"/>
      </rPr>
      <t>40-</t>
    </r>
    <r>
      <rPr>
        <sz val="10"/>
        <rFont val="宋体"/>
        <family val="3"/>
        <charset val="134"/>
      </rPr>
      <t>丙</t>
    </r>
    <r>
      <rPr>
        <sz val="10"/>
        <rFont val="Arial"/>
        <family val="2"/>
      </rPr>
      <t>-902</t>
    </r>
  </si>
  <si>
    <r>
      <rPr>
        <sz val="10"/>
        <rFont val="宋体"/>
        <family val="3"/>
        <charset val="134"/>
      </rPr>
      <t>张浩、杨佳静</t>
    </r>
  </si>
  <si>
    <r>
      <rPr>
        <sz val="10"/>
        <rFont val="Arial"/>
        <family val="2"/>
      </rPr>
      <t>40-</t>
    </r>
    <r>
      <rPr>
        <sz val="10"/>
        <rFont val="宋体"/>
        <family val="3"/>
        <charset val="134"/>
      </rPr>
      <t>丙</t>
    </r>
    <r>
      <rPr>
        <sz val="10"/>
        <rFont val="Arial"/>
        <family val="2"/>
      </rPr>
      <t>-1002</t>
    </r>
  </si>
  <si>
    <r>
      <rPr>
        <sz val="10"/>
        <rFont val="宋体"/>
        <family val="3"/>
        <charset val="134"/>
      </rPr>
      <t>陈飞、胡惠蓉</t>
    </r>
  </si>
  <si>
    <r>
      <rPr>
        <sz val="10"/>
        <rFont val="Arial"/>
        <family val="2"/>
      </rPr>
      <t>40-</t>
    </r>
    <r>
      <rPr>
        <sz val="10"/>
        <rFont val="宋体"/>
        <family val="3"/>
        <charset val="134"/>
      </rPr>
      <t>丙</t>
    </r>
    <r>
      <rPr>
        <sz val="10"/>
        <rFont val="Arial"/>
        <family val="2"/>
      </rPr>
      <t>-1102</t>
    </r>
  </si>
  <si>
    <r>
      <rPr>
        <sz val="10"/>
        <rFont val="Arial"/>
        <family val="2"/>
      </rPr>
      <t>45-</t>
    </r>
    <r>
      <rPr>
        <sz val="10"/>
        <rFont val="宋体"/>
        <family val="3"/>
        <charset val="134"/>
      </rPr>
      <t>甲</t>
    </r>
    <r>
      <rPr>
        <sz val="10"/>
        <rFont val="Arial"/>
        <family val="2"/>
      </rPr>
      <t>-201</t>
    </r>
  </si>
  <si>
    <r>
      <rPr>
        <sz val="10"/>
        <rFont val="Arial"/>
        <family val="2"/>
      </rPr>
      <t>45-</t>
    </r>
    <r>
      <rPr>
        <sz val="10"/>
        <rFont val="宋体"/>
        <family val="3"/>
        <charset val="134"/>
      </rPr>
      <t>甲</t>
    </r>
    <r>
      <rPr>
        <sz val="10"/>
        <rFont val="Arial"/>
        <family val="2"/>
      </rPr>
      <t>-301</t>
    </r>
  </si>
  <si>
    <r>
      <rPr>
        <sz val="10"/>
        <rFont val="Arial"/>
        <family val="2"/>
      </rPr>
      <t>45-</t>
    </r>
    <r>
      <rPr>
        <sz val="10"/>
        <rFont val="宋体"/>
        <family val="3"/>
        <charset val="134"/>
      </rPr>
      <t>甲</t>
    </r>
    <r>
      <rPr>
        <sz val="10"/>
        <rFont val="Arial"/>
        <family val="2"/>
      </rPr>
      <t>-401</t>
    </r>
  </si>
  <si>
    <r>
      <rPr>
        <sz val="10"/>
        <rFont val="Arial"/>
        <family val="2"/>
      </rPr>
      <t>45-</t>
    </r>
    <r>
      <rPr>
        <sz val="10"/>
        <rFont val="宋体"/>
        <family val="3"/>
        <charset val="134"/>
      </rPr>
      <t>甲</t>
    </r>
    <r>
      <rPr>
        <sz val="10"/>
        <rFont val="Arial"/>
        <family val="2"/>
      </rPr>
      <t>-501</t>
    </r>
  </si>
  <si>
    <r>
      <rPr>
        <sz val="10"/>
        <rFont val="Arial"/>
        <family val="2"/>
      </rPr>
      <t>45-</t>
    </r>
    <r>
      <rPr>
        <sz val="10"/>
        <rFont val="宋体"/>
        <family val="3"/>
        <charset val="134"/>
      </rPr>
      <t>甲</t>
    </r>
    <r>
      <rPr>
        <sz val="10"/>
        <rFont val="Arial"/>
        <family val="2"/>
      </rPr>
      <t>-601</t>
    </r>
  </si>
  <si>
    <r>
      <rPr>
        <sz val="10"/>
        <rFont val="Arial"/>
        <family val="2"/>
      </rPr>
      <t>45-</t>
    </r>
    <r>
      <rPr>
        <sz val="10"/>
        <rFont val="宋体"/>
        <family val="3"/>
        <charset val="134"/>
      </rPr>
      <t>甲</t>
    </r>
    <r>
      <rPr>
        <sz val="10"/>
        <rFont val="Arial"/>
        <family val="2"/>
      </rPr>
      <t>-701</t>
    </r>
  </si>
  <si>
    <r>
      <rPr>
        <sz val="10"/>
        <rFont val="宋体"/>
        <family val="3"/>
        <charset val="134"/>
      </rPr>
      <t>杨晓光、虞新燕</t>
    </r>
  </si>
  <si>
    <r>
      <rPr>
        <sz val="10"/>
        <rFont val="Arial"/>
        <family val="2"/>
      </rPr>
      <t>45-</t>
    </r>
    <r>
      <rPr>
        <sz val="10"/>
        <rFont val="宋体"/>
        <family val="3"/>
        <charset val="134"/>
      </rPr>
      <t>甲</t>
    </r>
    <r>
      <rPr>
        <sz val="10"/>
        <rFont val="Arial"/>
        <family val="2"/>
      </rPr>
      <t>-801</t>
    </r>
  </si>
  <si>
    <r>
      <rPr>
        <sz val="10"/>
        <rFont val="Arial"/>
        <family val="2"/>
      </rPr>
      <t>45-</t>
    </r>
    <r>
      <rPr>
        <sz val="10"/>
        <rFont val="宋体"/>
        <family val="3"/>
        <charset val="134"/>
      </rPr>
      <t>甲</t>
    </r>
    <r>
      <rPr>
        <sz val="10"/>
        <rFont val="Arial"/>
        <family val="2"/>
      </rPr>
      <t>-901</t>
    </r>
  </si>
  <si>
    <r>
      <rPr>
        <sz val="10"/>
        <rFont val="Arial"/>
        <family val="2"/>
      </rPr>
      <t>45-</t>
    </r>
    <r>
      <rPr>
        <sz val="10"/>
        <rFont val="宋体"/>
        <family val="3"/>
        <charset val="134"/>
      </rPr>
      <t>甲</t>
    </r>
    <r>
      <rPr>
        <sz val="10"/>
        <rFont val="Arial"/>
        <family val="2"/>
      </rPr>
      <t>-1001</t>
    </r>
  </si>
  <si>
    <r>
      <rPr>
        <sz val="10"/>
        <rFont val="Arial"/>
        <family val="2"/>
      </rPr>
      <t>45-</t>
    </r>
    <r>
      <rPr>
        <sz val="10"/>
        <rFont val="宋体"/>
        <family val="3"/>
        <charset val="134"/>
      </rPr>
      <t>甲</t>
    </r>
    <r>
      <rPr>
        <sz val="10"/>
        <rFont val="Arial"/>
        <family val="2"/>
      </rPr>
      <t>-1101</t>
    </r>
  </si>
  <si>
    <r>
      <rPr>
        <sz val="10"/>
        <rFont val="Arial"/>
        <family val="2"/>
      </rPr>
      <t>45-</t>
    </r>
    <r>
      <rPr>
        <sz val="10"/>
        <rFont val="宋体"/>
        <family val="3"/>
        <charset val="134"/>
      </rPr>
      <t>甲</t>
    </r>
    <r>
      <rPr>
        <sz val="10"/>
        <rFont val="Arial"/>
        <family val="2"/>
      </rPr>
      <t>-202</t>
    </r>
  </si>
  <si>
    <r>
      <rPr>
        <sz val="10"/>
        <rFont val="Arial"/>
        <family val="2"/>
      </rPr>
      <t>45-</t>
    </r>
    <r>
      <rPr>
        <sz val="10"/>
        <rFont val="宋体"/>
        <family val="3"/>
        <charset val="134"/>
      </rPr>
      <t>甲</t>
    </r>
    <r>
      <rPr>
        <sz val="10"/>
        <rFont val="Arial"/>
        <family val="2"/>
      </rPr>
      <t>-302</t>
    </r>
  </si>
  <si>
    <r>
      <rPr>
        <sz val="10"/>
        <rFont val="宋体"/>
        <family val="3"/>
        <charset val="134"/>
      </rPr>
      <t>张琳</t>
    </r>
  </si>
  <si>
    <r>
      <rPr>
        <sz val="10"/>
        <rFont val="Arial"/>
        <family val="2"/>
      </rPr>
      <t>45-</t>
    </r>
    <r>
      <rPr>
        <sz val="10"/>
        <rFont val="宋体"/>
        <family val="3"/>
        <charset val="134"/>
      </rPr>
      <t>甲</t>
    </r>
    <r>
      <rPr>
        <sz val="10"/>
        <rFont val="Arial"/>
        <family val="2"/>
      </rPr>
      <t>-402</t>
    </r>
  </si>
  <si>
    <r>
      <rPr>
        <sz val="10"/>
        <rFont val="Arial"/>
        <family val="2"/>
      </rPr>
      <t>45-</t>
    </r>
    <r>
      <rPr>
        <sz val="10"/>
        <rFont val="宋体"/>
        <family val="3"/>
        <charset val="134"/>
      </rPr>
      <t>甲</t>
    </r>
    <r>
      <rPr>
        <sz val="10"/>
        <rFont val="Arial"/>
        <family val="2"/>
      </rPr>
      <t>-502</t>
    </r>
  </si>
  <si>
    <r>
      <rPr>
        <sz val="10"/>
        <rFont val="宋体"/>
        <family val="3"/>
        <charset val="134"/>
      </rPr>
      <t>沈小霞</t>
    </r>
  </si>
  <si>
    <r>
      <rPr>
        <sz val="10"/>
        <rFont val="Arial"/>
        <family val="2"/>
      </rPr>
      <t>45-</t>
    </r>
    <r>
      <rPr>
        <sz val="10"/>
        <rFont val="宋体"/>
        <family val="3"/>
        <charset val="134"/>
      </rPr>
      <t>甲</t>
    </r>
    <r>
      <rPr>
        <sz val="10"/>
        <rFont val="Arial"/>
        <family val="2"/>
      </rPr>
      <t>-602</t>
    </r>
  </si>
  <si>
    <r>
      <rPr>
        <sz val="10"/>
        <rFont val="Arial"/>
        <family val="2"/>
      </rPr>
      <t>45-</t>
    </r>
    <r>
      <rPr>
        <sz val="10"/>
        <rFont val="宋体"/>
        <family val="3"/>
        <charset val="134"/>
      </rPr>
      <t>甲</t>
    </r>
    <r>
      <rPr>
        <sz val="10"/>
        <rFont val="Arial"/>
        <family val="2"/>
      </rPr>
      <t>-702</t>
    </r>
  </si>
  <si>
    <r>
      <rPr>
        <sz val="10"/>
        <rFont val="宋体"/>
        <family val="3"/>
        <charset val="134"/>
      </rPr>
      <t>邓可明、李玲月、邓毅超</t>
    </r>
  </si>
  <si>
    <r>
      <rPr>
        <sz val="10"/>
        <rFont val="Arial"/>
        <family val="2"/>
      </rPr>
      <t>45-</t>
    </r>
    <r>
      <rPr>
        <sz val="10"/>
        <rFont val="宋体"/>
        <family val="3"/>
        <charset val="134"/>
      </rPr>
      <t>甲</t>
    </r>
    <r>
      <rPr>
        <sz val="10"/>
        <rFont val="Arial"/>
        <family val="2"/>
      </rPr>
      <t>-802</t>
    </r>
  </si>
  <si>
    <r>
      <rPr>
        <sz val="10"/>
        <rFont val="Arial"/>
        <family val="2"/>
      </rPr>
      <t>45-</t>
    </r>
    <r>
      <rPr>
        <sz val="10"/>
        <rFont val="宋体"/>
        <family val="3"/>
        <charset val="134"/>
      </rPr>
      <t>甲</t>
    </r>
    <r>
      <rPr>
        <sz val="10"/>
        <rFont val="Arial"/>
        <family val="2"/>
      </rPr>
      <t>-902</t>
    </r>
  </si>
  <si>
    <r>
      <rPr>
        <sz val="10"/>
        <rFont val="Arial"/>
        <family val="2"/>
      </rPr>
      <t>45-</t>
    </r>
    <r>
      <rPr>
        <sz val="10"/>
        <rFont val="宋体"/>
        <family val="3"/>
        <charset val="134"/>
      </rPr>
      <t>甲</t>
    </r>
    <r>
      <rPr>
        <sz val="10"/>
        <rFont val="Arial"/>
        <family val="2"/>
      </rPr>
      <t>-1002</t>
    </r>
  </si>
  <si>
    <r>
      <rPr>
        <sz val="10"/>
        <rFont val="Arial"/>
        <family val="2"/>
      </rPr>
      <t>45-</t>
    </r>
    <r>
      <rPr>
        <sz val="10"/>
        <rFont val="宋体"/>
        <family val="3"/>
        <charset val="134"/>
      </rPr>
      <t>甲</t>
    </r>
    <r>
      <rPr>
        <sz val="10"/>
        <rFont val="Arial"/>
        <family val="2"/>
      </rPr>
      <t>-1102</t>
    </r>
  </si>
  <si>
    <r>
      <rPr>
        <sz val="10"/>
        <rFont val="Arial"/>
        <family val="2"/>
      </rPr>
      <t>45-</t>
    </r>
    <r>
      <rPr>
        <sz val="10"/>
        <rFont val="宋体"/>
        <family val="3"/>
        <charset val="134"/>
      </rPr>
      <t>乙</t>
    </r>
    <r>
      <rPr>
        <sz val="10"/>
        <rFont val="Arial"/>
        <family val="2"/>
      </rPr>
      <t>-201</t>
    </r>
  </si>
  <si>
    <r>
      <rPr>
        <sz val="10"/>
        <rFont val="Arial"/>
        <family val="2"/>
      </rPr>
      <t>45-</t>
    </r>
    <r>
      <rPr>
        <sz val="10"/>
        <rFont val="宋体"/>
        <family val="3"/>
        <charset val="134"/>
      </rPr>
      <t>乙</t>
    </r>
    <r>
      <rPr>
        <sz val="10"/>
        <rFont val="Arial"/>
        <family val="2"/>
      </rPr>
      <t>-301</t>
    </r>
  </si>
  <si>
    <r>
      <rPr>
        <sz val="10"/>
        <rFont val="Arial"/>
        <family val="2"/>
      </rPr>
      <t>45-</t>
    </r>
    <r>
      <rPr>
        <sz val="10"/>
        <rFont val="宋体"/>
        <family val="3"/>
        <charset val="134"/>
      </rPr>
      <t>乙</t>
    </r>
    <r>
      <rPr>
        <sz val="10"/>
        <rFont val="Arial"/>
        <family val="2"/>
      </rPr>
      <t>-401</t>
    </r>
  </si>
  <si>
    <r>
      <rPr>
        <sz val="10"/>
        <rFont val="Arial"/>
        <family val="2"/>
      </rPr>
      <t>45-</t>
    </r>
    <r>
      <rPr>
        <sz val="10"/>
        <rFont val="宋体"/>
        <family val="3"/>
        <charset val="134"/>
      </rPr>
      <t>乙</t>
    </r>
    <r>
      <rPr>
        <sz val="10"/>
        <rFont val="Arial"/>
        <family val="2"/>
      </rPr>
      <t>-501</t>
    </r>
  </si>
  <si>
    <r>
      <rPr>
        <sz val="10"/>
        <rFont val="Arial"/>
        <family val="2"/>
      </rPr>
      <t>45-</t>
    </r>
    <r>
      <rPr>
        <sz val="10"/>
        <rFont val="宋体"/>
        <family val="3"/>
        <charset val="134"/>
      </rPr>
      <t>乙</t>
    </r>
    <r>
      <rPr>
        <sz val="10"/>
        <rFont val="Arial"/>
        <family val="2"/>
      </rPr>
      <t>-601</t>
    </r>
  </si>
  <si>
    <r>
      <rPr>
        <sz val="10"/>
        <rFont val="Arial"/>
        <family val="2"/>
      </rPr>
      <t>45-</t>
    </r>
    <r>
      <rPr>
        <sz val="10"/>
        <rFont val="宋体"/>
        <family val="3"/>
        <charset val="134"/>
      </rPr>
      <t>乙</t>
    </r>
    <r>
      <rPr>
        <sz val="10"/>
        <rFont val="Arial"/>
        <family val="2"/>
      </rPr>
      <t>-701</t>
    </r>
  </si>
  <si>
    <r>
      <rPr>
        <sz val="10"/>
        <rFont val="宋体"/>
        <family val="3"/>
        <charset val="134"/>
      </rPr>
      <t>陈刚、杨莉亚</t>
    </r>
  </si>
  <si>
    <r>
      <rPr>
        <sz val="10"/>
        <rFont val="Arial"/>
        <family val="2"/>
      </rPr>
      <t>45-</t>
    </r>
    <r>
      <rPr>
        <sz val="10"/>
        <rFont val="宋体"/>
        <family val="3"/>
        <charset val="134"/>
      </rPr>
      <t>乙</t>
    </r>
    <r>
      <rPr>
        <sz val="10"/>
        <rFont val="Arial"/>
        <family val="2"/>
      </rPr>
      <t>-801</t>
    </r>
  </si>
  <si>
    <r>
      <rPr>
        <sz val="10"/>
        <rFont val="Arial"/>
        <family val="2"/>
      </rPr>
      <t>45-</t>
    </r>
    <r>
      <rPr>
        <sz val="10"/>
        <rFont val="宋体"/>
        <family val="3"/>
        <charset val="134"/>
      </rPr>
      <t>乙</t>
    </r>
    <r>
      <rPr>
        <sz val="10"/>
        <rFont val="Arial"/>
        <family val="2"/>
      </rPr>
      <t>-901</t>
    </r>
  </si>
  <si>
    <r>
      <rPr>
        <sz val="10"/>
        <rFont val="宋体"/>
        <family val="3"/>
        <charset val="134"/>
      </rPr>
      <t>胡来元</t>
    </r>
  </si>
  <si>
    <r>
      <rPr>
        <sz val="10"/>
        <rFont val="Arial"/>
        <family val="2"/>
      </rPr>
      <t>45-</t>
    </r>
    <r>
      <rPr>
        <sz val="10"/>
        <rFont val="宋体"/>
        <family val="3"/>
        <charset val="134"/>
      </rPr>
      <t>乙</t>
    </r>
    <r>
      <rPr>
        <sz val="10"/>
        <rFont val="Arial"/>
        <family val="2"/>
      </rPr>
      <t>-1001</t>
    </r>
  </si>
  <si>
    <r>
      <rPr>
        <sz val="10"/>
        <rFont val="宋体"/>
        <family val="3"/>
        <charset val="134"/>
      </rPr>
      <t>芦婷</t>
    </r>
  </si>
  <si>
    <r>
      <rPr>
        <sz val="10"/>
        <rFont val="Arial"/>
        <family val="2"/>
      </rPr>
      <t>45-</t>
    </r>
    <r>
      <rPr>
        <sz val="10"/>
        <rFont val="宋体"/>
        <family val="3"/>
        <charset val="134"/>
      </rPr>
      <t>乙</t>
    </r>
    <r>
      <rPr>
        <sz val="10"/>
        <rFont val="Arial"/>
        <family val="2"/>
      </rPr>
      <t>-1101</t>
    </r>
  </si>
  <si>
    <r>
      <rPr>
        <sz val="10"/>
        <rFont val="Arial"/>
        <family val="2"/>
      </rPr>
      <t>45-</t>
    </r>
    <r>
      <rPr>
        <sz val="10"/>
        <rFont val="宋体"/>
        <family val="3"/>
        <charset val="134"/>
      </rPr>
      <t>乙</t>
    </r>
    <r>
      <rPr>
        <sz val="10"/>
        <rFont val="Arial"/>
        <family val="2"/>
      </rPr>
      <t>-202</t>
    </r>
  </si>
  <si>
    <r>
      <rPr>
        <sz val="10"/>
        <rFont val="Arial"/>
        <family val="2"/>
      </rPr>
      <t>45-</t>
    </r>
    <r>
      <rPr>
        <sz val="10"/>
        <rFont val="宋体"/>
        <family val="3"/>
        <charset val="134"/>
      </rPr>
      <t>乙</t>
    </r>
    <r>
      <rPr>
        <sz val="10"/>
        <rFont val="Arial"/>
        <family val="2"/>
      </rPr>
      <t>-302</t>
    </r>
  </si>
  <si>
    <r>
      <rPr>
        <sz val="10"/>
        <rFont val="Arial"/>
        <family val="2"/>
      </rPr>
      <t>45-</t>
    </r>
    <r>
      <rPr>
        <sz val="10"/>
        <rFont val="宋体"/>
        <family val="3"/>
        <charset val="134"/>
      </rPr>
      <t>乙</t>
    </r>
    <r>
      <rPr>
        <sz val="10"/>
        <rFont val="Arial"/>
        <family val="2"/>
      </rPr>
      <t>-402</t>
    </r>
  </si>
  <si>
    <r>
      <rPr>
        <sz val="10"/>
        <rFont val="Arial"/>
        <family val="2"/>
      </rPr>
      <t>45-</t>
    </r>
    <r>
      <rPr>
        <sz val="10"/>
        <rFont val="宋体"/>
        <family val="3"/>
        <charset val="134"/>
      </rPr>
      <t>乙</t>
    </r>
    <r>
      <rPr>
        <sz val="10"/>
        <rFont val="Arial"/>
        <family val="2"/>
      </rPr>
      <t>-502</t>
    </r>
  </si>
  <si>
    <r>
      <rPr>
        <sz val="10"/>
        <rFont val="Arial"/>
        <family val="2"/>
      </rPr>
      <t>45-</t>
    </r>
    <r>
      <rPr>
        <sz val="10"/>
        <rFont val="宋体"/>
        <family val="3"/>
        <charset val="134"/>
      </rPr>
      <t>乙</t>
    </r>
    <r>
      <rPr>
        <sz val="10"/>
        <rFont val="Arial"/>
        <family val="2"/>
      </rPr>
      <t>-602</t>
    </r>
  </si>
  <si>
    <r>
      <rPr>
        <sz val="10"/>
        <rFont val="Arial"/>
        <family val="2"/>
      </rPr>
      <t>45-</t>
    </r>
    <r>
      <rPr>
        <sz val="10"/>
        <rFont val="宋体"/>
        <family val="3"/>
        <charset val="134"/>
      </rPr>
      <t>乙</t>
    </r>
    <r>
      <rPr>
        <sz val="10"/>
        <rFont val="Arial"/>
        <family val="2"/>
      </rPr>
      <t>-702</t>
    </r>
  </si>
  <si>
    <r>
      <rPr>
        <sz val="10"/>
        <rFont val="Arial"/>
        <family val="2"/>
      </rPr>
      <t>45-</t>
    </r>
    <r>
      <rPr>
        <sz val="10"/>
        <rFont val="宋体"/>
        <family val="3"/>
        <charset val="134"/>
      </rPr>
      <t>乙</t>
    </r>
    <r>
      <rPr>
        <sz val="10"/>
        <rFont val="Arial"/>
        <family val="2"/>
      </rPr>
      <t>-802</t>
    </r>
  </si>
  <si>
    <r>
      <rPr>
        <sz val="10"/>
        <rFont val="Arial"/>
        <family val="2"/>
      </rPr>
      <t>45-</t>
    </r>
    <r>
      <rPr>
        <sz val="10"/>
        <rFont val="宋体"/>
        <family val="3"/>
        <charset val="134"/>
      </rPr>
      <t>乙</t>
    </r>
    <r>
      <rPr>
        <sz val="10"/>
        <rFont val="Arial"/>
        <family val="2"/>
      </rPr>
      <t>-902</t>
    </r>
  </si>
  <si>
    <r>
      <rPr>
        <sz val="10"/>
        <rFont val="宋体"/>
        <family val="3"/>
        <charset val="134"/>
      </rPr>
      <t>梁花容</t>
    </r>
  </si>
  <si>
    <r>
      <rPr>
        <sz val="10"/>
        <rFont val="Arial"/>
        <family val="2"/>
      </rPr>
      <t>45-</t>
    </r>
    <r>
      <rPr>
        <sz val="10"/>
        <rFont val="宋体"/>
        <family val="3"/>
        <charset val="134"/>
      </rPr>
      <t>乙</t>
    </r>
    <r>
      <rPr>
        <sz val="10"/>
        <rFont val="Arial"/>
        <family val="2"/>
      </rPr>
      <t>-1002</t>
    </r>
  </si>
  <si>
    <r>
      <rPr>
        <sz val="10"/>
        <rFont val="宋体"/>
        <family val="3"/>
        <charset val="134"/>
      </rPr>
      <t>龙卫丽</t>
    </r>
  </si>
  <si>
    <r>
      <rPr>
        <sz val="10"/>
        <rFont val="Arial"/>
        <family val="2"/>
      </rPr>
      <t>45-</t>
    </r>
    <r>
      <rPr>
        <sz val="10"/>
        <rFont val="宋体"/>
        <family val="3"/>
        <charset val="134"/>
      </rPr>
      <t>乙</t>
    </r>
    <r>
      <rPr>
        <sz val="10"/>
        <rFont val="Arial"/>
        <family val="2"/>
      </rPr>
      <t>-1102</t>
    </r>
  </si>
  <si>
    <r>
      <rPr>
        <sz val="10"/>
        <rFont val="Arial"/>
        <family val="2"/>
      </rPr>
      <t>45-</t>
    </r>
    <r>
      <rPr>
        <sz val="10"/>
        <rFont val="宋体"/>
        <family val="3"/>
        <charset val="134"/>
      </rPr>
      <t>丙</t>
    </r>
    <r>
      <rPr>
        <sz val="10"/>
        <rFont val="Arial"/>
        <family val="2"/>
      </rPr>
      <t>-201</t>
    </r>
  </si>
  <si>
    <r>
      <rPr>
        <sz val="10"/>
        <rFont val="Arial"/>
        <family val="2"/>
      </rPr>
      <t>45-</t>
    </r>
    <r>
      <rPr>
        <sz val="10"/>
        <rFont val="宋体"/>
        <family val="3"/>
        <charset val="134"/>
      </rPr>
      <t>丙</t>
    </r>
    <r>
      <rPr>
        <sz val="10"/>
        <rFont val="Arial"/>
        <family val="2"/>
      </rPr>
      <t>-301</t>
    </r>
  </si>
  <si>
    <r>
      <rPr>
        <sz val="10"/>
        <rFont val="Arial"/>
        <family val="2"/>
      </rPr>
      <t>45-</t>
    </r>
    <r>
      <rPr>
        <sz val="10"/>
        <rFont val="宋体"/>
        <family val="3"/>
        <charset val="134"/>
      </rPr>
      <t>丙</t>
    </r>
    <r>
      <rPr>
        <sz val="10"/>
        <rFont val="Arial"/>
        <family val="2"/>
      </rPr>
      <t>-401</t>
    </r>
  </si>
  <si>
    <r>
      <rPr>
        <sz val="10"/>
        <rFont val="Arial"/>
        <family val="2"/>
      </rPr>
      <t>45-</t>
    </r>
    <r>
      <rPr>
        <sz val="10"/>
        <rFont val="宋体"/>
        <family val="3"/>
        <charset val="134"/>
      </rPr>
      <t>丙</t>
    </r>
    <r>
      <rPr>
        <sz val="10"/>
        <rFont val="Arial"/>
        <family val="2"/>
      </rPr>
      <t>-501</t>
    </r>
  </si>
  <si>
    <t>周榕</t>
  </si>
  <si>
    <r>
      <rPr>
        <sz val="10"/>
        <rFont val="Arial"/>
        <family val="2"/>
      </rPr>
      <t>45-</t>
    </r>
    <r>
      <rPr>
        <sz val="10"/>
        <rFont val="宋体"/>
        <family val="3"/>
        <charset val="134"/>
      </rPr>
      <t>丙</t>
    </r>
    <r>
      <rPr>
        <sz val="10"/>
        <rFont val="Arial"/>
        <family val="2"/>
      </rPr>
      <t>-601</t>
    </r>
  </si>
  <si>
    <r>
      <rPr>
        <sz val="10"/>
        <rFont val="Arial"/>
        <family val="2"/>
      </rPr>
      <t>45-</t>
    </r>
    <r>
      <rPr>
        <sz val="10"/>
        <rFont val="宋体"/>
        <family val="3"/>
        <charset val="134"/>
      </rPr>
      <t>丙</t>
    </r>
    <r>
      <rPr>
        <sz val="10"/>
        <rFont val="Arial"/>
        <family val="2"/>
      </rPr>
      <t>-701</t>
    </r>
  </si>
  <si>
    <r>
      <rPr>
        <sz val="10"/>
        <rFont val="Arial"/>
        <family val="2"/>
      </rPr>
      <t>45-</t>
    </r>
    <r>
      <rPr>
        <sz val="10"/>
        <rFont val="宋体"/>
        <family val="3"/>
        <charset val="134"/>
      </rPr>
      <t>丙</t>
    </r>
    <r>
      <rPr>
        <sz val="10"/>
        <rFont val="Arial"/>
        <family val="2"/>
      </rPr>
      <t>-801</t>
    </r>
  </si>
  <si>
    <r>
      <rPr>
        <sz val="10"/>
        <rFont val="Arial"/>
        <family val="2"/>
      </rPr>
      <t>45-</t>
    </r>
    <r>
      <rPr>
        <sz val="10"/>
        <rFont val="宋体"/>
        <family val="3"/>
        <charset val="134"/>
      </rPr>
      <t>丙</t>
    </r>
    <r>
      <rPr>
        <sz val="10"/>
        <rFont val="Arial"/>
        <family val="2"/>
      </rPr>
      <t>-901</t>
    </r>
  </si>
  <si>
    <r>
      <rPr>
        <sz val="10"/>
        <rFont val="Arial"/>
        <family val="2"/>
      </rPr>
      <t>45-</t>
    </r>
    <r>
      <rPr>
        <sz val="10"/>
        <rFont val="宋体"/>
        <family val="3"/>
        <charset val="134"/>
      </rPr>
      <t>丙</t>
    </r>
    <r>
      <rPr>
        <sz val="10"/>
        <rFont val="Arial"/>
        <family val="2"/>
      </rPr>
      <t>-1001</t>
    </r>
  </si>
  <si>
    <r>
      <rPr>
        <sz val="10"/>
        <rFont val="Arial"/>
        <family val="2"/>
      </rPr>
      <t>45-</t>
    </r>
    <r>
      <rPr>
        <sz val="10"/>
        <rFont val="宋体"/>
        <family val="3"/>
        <charset val="134"/>
      </rPr>
      <t>丙</t>
    </r>
    <r>
      <rPr>
        <sz val="10"/>
        <rFont val="Arial"/>
        <family val="2"/>
      </rPr>
      <t>-1101</t>
    </r>
  </si>
  <si>
    <r>
      <rPr>
        <sz val="10"/>
        <rFont val="Arial"/>
        <family val="2"/>
      </rPr>
      <t>45-</t>
    </r>
    <r>
      <rPr>
        <sz val="10"/>
        <rFont val="宋体"/>
        <family val="3"/>
        <charset val="134"/>
      </rPr>
      <t>丙</t>
    </r>
    <r>
      <rPr>
        <sz val="10"/>
        <rFont val="Arial"/>
        <family val="2"/>
      </rPr>
      <t>-202</t>
    </r>
  </si>
  <si>
    <r>
      <rPr>
        <sz val="10"/>
        <rFont val="Arial"/>
        <family val="2"/>
      </rPr>
      <t>45-</t>
    </r>
    <r>
      <rPr>
        <sz val="10"/>
        <rFont val="宋体"/>
        <family val="3"/>
        <charset val="134"/>
      </rPr>
      <t>丙</t>
    </r>
    <r>
      <rPr>
        <sz val="10"/>
        <rFont val="Arial"/>
        <family val="2"/>
      </rPr>
      <t>-302</t>
    </r>
  </si>
  <si>
    <r>
      <rPr>
        <sz val="10"/>
        <rFont val="Arial"/>
        <family val="2"/>
      </rPr>
      <t>45-</t>
    </r>
    <r>
      <rPr>
        <sz val="10"/>
        <rFont val="宋体"/>
        <family val="3"/>
        <charset val="134"/>
      </rPr>
      <t>丙</t>
    </r>
    <r>
      <rPr>
        <sz val="10"/>
        <rFont val="Arial"/>
        <family val="2"/>
      </rPr>
      <t>-402</t>
    </r>
  </si>
  <si>
    <r>
      <rPr>
        <sz val="10"/>
        <rFont val="Arial"/>
        <family val="2"/>
      </rPr>
      <t>45-</t>
    </r>
    <r>
      <rPr>
        <sz val="10"/>
        <rFont val="宋体"/>
        <family val="3"/>
        <charset val="134"/>
      </rPr>
      <t>丙</t>
    </r>
    <r>
      <rPr>
        <sz val="10"/>
        <rFont val="Arial"/>
        <family val="2"/>
      </rPr>
      <t>-502</t>
    </r>
  </si>
  <si>
    <r>
      <rPr>
        <sz val="10"/>
        <rFont val="Arial"/>
        <family val="2"/>
      </rPr>
      <t>45-</t>
    </r>
    <r>
      <rPr>
        <sz val="10"/>
        <rFont val="宋体"/>
        <family val="3"/>
        <charset val="134"/>
      </rPr>
      <t>丙</t>
    </r>
    <r>
      <rPr>
        <sz val="10"/>
        <rFont val="Arial"/>
        <family val="2"/>
      </rPr>
      <t>-602</t>
    </r>
  </si>
  <si>
    <r>
      <rPr>
        <sz val="10"/>
        <rFont val="Arial"/>
        <family val="2"/>
      </rPr>
      <t>45-</t>
    </r>
    <r>
      <rPr>
        <sz val="10"/>
        <rFont val="宋体"/>
        <family val="3"/>
        <charset val="134"/>
      </rPr>
      <t>丙</t>
    </r>
    <r>
      <rPr>
        <sz val="10"/>
        <rFont val="Arial"/>
        <family val="2"/>
      </rPr>
      <t>-702</t>
    </r>
  </si>
  <si>
    <r>
      <rPr>
        <sz val="10"/>
        <rFont val="Arial"/>
        <family val="2"/>
      </rPr>
      <t>45-</t>
    </r>
    <r>
      <rPr>
        <sz val="10"/>
        <rFont val="宋体"/>
        <family val="3"/>
        <charset val="134"/>
      </rPr>
      <t>丙</t>
    </r>
    <r>
      <rPr>
        <sz val="10"/>
        <rFont val="Arial"/>
        <family val="2"/>
      </rPr>
      <t>-802</t>
    </r>
  </si>
  <si>
    <r>
      <rPr>
        <sz val="10"/>
        <rFont val="Arial"/>
        <family val="2"/>
      </rPr>
      <t>45-</t>
    </r>
    <r>
      <rPr>
        <sz val="10"/>
        <rFont val="宋体"/>
        <family val="3"/>
        <charset val="134"/>
      </rPr>
      <t>丙</t>
    </r>
    <r>
      <rPr>
        <sz val="10"/>
        <rFont val="Arial"/>
        <family val="2"/>
      </rPr>
      <t>-902</t>
    </r>
  </si>
  <si>
    <r>
      <rPr>
        <sz val="10"/>
        <rFont val="Arial"/>
        <family val="2"/>
      </rPr>
      <t>45-</t>
    </r>
    <r>
      <rPr>
        <sz val="10"/>
        <rFont val="宋体"/>
        <family val="3"/>
        <charset val="134"/>
      </rPr>
      <t>丙</t>
    </r>
    <r>
      <rPr>
        <sz val="10"/>
        <rFont val="Arial"/>
        <family val="2"/>
      </rPr>
      <t>-1002</t>
    </r>
  </si>
  <si>
    <r>
      <rPr>
        <sz val="10"/>
        <rFont val="Arial"/>
        <family val="2"/>
      </rPr>
      <t>45-</t>
    </r>
    <r>
      <rPr>
        <sz val="10"/>
        <rFont val="宋体"/>
        <family val="3"/>
        <charset val="134"/>
      </rPr>
      <t>丙</t>
    </r>
    <r>
      <rPr>
        <sz val="10"/>
        <rFont val="Arial"/>
        <family val="2"/>
      </rPr>
      <t>-1102</t>
    </r>
  </si>
  <si>
    <t>件不齐-已签按揭合同（缺基础资料）</t>
  </si>
  <si>
    <t>1-104</t>
  </si>
  <si>
    <t>陈均</t>
  </si>
  <si>
    <t>戴飞</t>
  </si>
  <si>
    <t>江南银行</t>
  </si>
  <si>
    <t>李健</t>
  </si>
  <si>
    <t>袁鹏杰</t>
  </si>
  <si>
    <t>3-101</t>
  </si>
  <si>
    <t>花琴</t>
  </si>
  <si>
    <t>赵淳</t>
  </si>
  <si>
    <t>4-103</t>
  </si>
  <si>
    <t>22-103</t>
  </si>
  <si>
    <t>王辉、严小燕</t>
  </si>
  <si>
    <t>华夏银行</t>
  </si>
  <si>
    <t>28-101</t>
  </si>
  <si>
    <t>李艳楠</t>
  </si>
  <si>
    <t>29-302</t>
  </si>
  <si>
    <t>孙震</t>
  </si>
  <si>
    <t>王利利</t>
  </si>
  <si>
    <t>43-甲-1001</t>
  </si>
  <si>
    <t>杨玉娇</t>
  </si>
  <si>
    <t>43-丙-101</t>
  </si>
  <si>
    <t>朱银娣</t>
  </si>
  <si>
    <t>董化成</t>
  </si>
  <si>
    <t>件齐-公积金-审批中</t>
  </si>
  <si>
    <t>13-101</t>
  </si>
  <si>
    <t>13-107</t>
  </si>
  <si>
    <t>13-307</t>
  </si>
  <si>
    <t>李静玉</t>
  </si>
  <si>
    <t>14-104</t>
  </si>
  <si>
    <t>万阿香</t>
  </si>
  <si>
    <t>14-304</t>
  </si>
  <si>
    <t>15-106</t>
  </si>
  <si>
    <t>丁晶、顾行宪</t>
  </si>
  <si>
    <t>15-306</t>
  </si>
  <si>
    <t>18-101</t>
  </si>
  <si>
    <t>18-102</t>
  </si>
  <si>
    <t>姜俊</t>
  </si>
  <si>
    <t>18-303</t>
  </si>
  <si>
    <t>48-甲-501</t>
  </si>
  <si>
    <t>48-甲-701</t>
  </si>
  <si>
    <t>路蓉</t>
  </si>
  <si>
    <t>48-甲-901</t>
  </si>
  <si>
    <t>邵俊阳、章杨</t>
  </si>
  <si>
    <t>48-乙-701</t>
  </si>
  <si>
    <t>陶珠</t>
  </si>
  <si>
    <t>48-丙-301</t>
  </si>
  <si>
    <t>蒋沂含</t>
  </si>
  <si>
    <t>48-丙-501</t>
  </si>
  <si>
    <t>48-丙-701</t>
  </si>
  <si>
    <t>王文杰</t>
  </si>
  <si>
    <t>48-甲-402</t>
  </si>
  <si>
    <t>魏玲玲、刘双全</t>
  </si>
  <si>
    <t>48-甲-602</t>
  </si>
  <si>
    <t>夏金龙</t>
  </si>
  <si>
    <t>48-甲-702</t>
  </si>
  <si>
    <t>戚枫捷</t>
  </si>
  <si>
    <t>48-甲-1002</t>
  </si>
  <si>
    <t>胡凯</t>
  </si>
  <si>
    <t>48-乙-502</t>
  </si>
  <si>
    <t>48-乙-802</t>
  </si>
  <si>
    <t>沈霞、陈海超</t>
  </si>
  <si>
    <t>48-丙-602</t>
  </si>
  <si>
    <t>胡燕</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</si>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</sst>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_ "/>
    <numFmt numFmtId="195" formatCode="#,##0.00_);[Red]\(#,##0.00\)"/>
    <numFmt numFmtId="196" formatCode="[$-10804]#,##0.0;\-#,##0.0"/>
    <numFmt numFmtId="197" formatCode="_ * #,##0.00_ ;_ * \-#,##0.00_ ;_ * &quot;-&quot;??_ ;_ @_ "/>
    <numFmt numFmtId="198" formatCode="#,##0_);[Red]\(#,##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9"/>
      <name val="宋体"/>
      <family val="3"/>
      <charset val="134"/>
    </font>
    <font>
      <b/>
      <sz val="10"/>
      <color rgb="FFFF0000"/>
      <name val="Arial"/>
      <family val="2"/>
    </font>
    <font>
      <b/>
      <sz val="10"/>
      <color indexed="10"/>
      <name val="宋体"/>
      <family val="3"/>
      <charset val="134"/>
    </font>
    <font>
      <sz val="9"/>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theme="6" tint="0.39838862269966735"/>
        <bgColor indexed="64"/>
      </patternFill>
    </fill>
    <fill>
      <patternFill patternType="solid">
        <fgColor rgb="FFFFD5B4"/>
        <bgColor indexed="64"/>
      </patternFill>
    </fill>
    <fill>
      <patternFill patternType="solid">
        <fgColor rgb="FF00B0F0"/>
        <bgColor indexed="64"/>
      </patternFill>
    </fill>
    <fill>
      <patternFill patternType="solid">
        <fgColor rgb="FFFF7C80"/>
        <bgColor indexed="64"/>
      </patternFill>
    </fill>
    <fill>
      <patternFill patternType="solid">
        <fgColor theme="6" tint="0.39866328928495132"/>
        <bgColor indexed="64"/>
      </patternFill>
    </fill>
    <fill>
      <patternFill patternType="solid">
        <fgColor theme="0" tint="-0.14868617816705831"/>
        <bgColor indexed="64"/>
      </patternFill>
    </fill>
    <fill>
      <patternFill patternType="solid">
        <fgColor rgb="FFFFFFCC"/>
        <bgColor indexed="64"/>
      </patternFill>
    </fill>
    <fill>
      <patternFill patternType="solid">
        <fgColor theme="6" tint="0.39927365947447124"/>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top/>
      <bottom style="thin">
        <color indexed="8"/>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6" fontId="81" fillId="0" borderId="0">
      <alignment vertical="center"/>
    </xf>
    <xf numFmtId="195" fontId="145" fillId="0" borderId="0">
      <alignment vertical="center"/>
    </xf>
    <xf numFmtId="197" fontId="145" fillId="0" borderId="0" applyFont="0" applyFill="0" applyBorder="0" applyAlignment="0" applyProtection="0">
      <alignment vertical="center"/>
    </xf>
    <xf numFmtId="9" fontId="145" fillId="0" borderId="0" applyFont="0" applyFill="0" applyBorder="0" applyAlignment="0" applyProtection="0">
      <alignment vertical="center"/>
    </xf>
  </cellStyleXfs>
  <cellXfs count="367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pplyAlignment="1">
      <alignment horizontal="left" vertical="center"/>
    </xf>
    <xf numFmtId="0" fontId="0" fillId="18" borderId="0" xfId="0" applyFill="1" applyAlignment="1">
      <alignment horizontal="left" vertical="center"/>
    </xf>
    <xf numFmtId="0" fontId="0" fillId="6" borderId="0" xfId="0" applyFill="1" applyAlignment="1">
      <alignment horizontal="left" vertical="center"/>
    </xf>
    <xf numFmtId="0" fontId="0" fillId="0" borderId="0" xfId="0" applyFill="1" applyAlignment="1">
      <alignment horizontal="left" vertical="center"/>
    </xf>
    <xf numFmtId="0" fontId="0" fillId="16" borderId="0" xfId="0" applyFill="1" applyAlignment="1">
      <alignment horizontal="left" vertical="center"/>
    </xf>
    <xf numFmtId="177" fontId="81" fillId="0" borderId="2" xfId="2" applyNumberFormat="1" applyFont="1" applyFill="1" applyBorder="1" applyAlignment="1" applyProtection="1">
      <alignment vertical="center"/>
      <protection locked="0"/>
    </xf>
    <xf numFmtId="0" fontId="145" fillId="0" borderId="0" xfId="1" applyFont="1">
      <alignment vertical="center"/>
    </xf>
    <xf numFmtId="0" fontId="145" fillId="0" borderId="0" xfId="1">
      <alignment vertical="center"/>
    </xf>
    <xf numFmtId="14" fontId="145" fillId="0" borderId="0" xfId="1" applyNumberFormat="1">
      <alignment vertical="center"/>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9" borderId="0" xfId="16" applyFill="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45" fillId="0" borderId="0" xfId="0" applyFont="1">
      <alignment vertical="center"/>
    </xf>
    <xf numFmtId="0" fontId="86" fillId="6" borderId="0" xfId="16" applyFill="1"/>
    <xf numFmtId="0" fontId="86" fillId="19" borderId="0" xfId="16" applyFill="1"/>
    <xf numFmtId="0" fontId="98" fillId="9" borderId="0" xfId="0" applyFont="1" applyFill="1" applyAlignment="1" applyProtection="1">
      <alignment vertical="center"/>
      <protection locked="0"/>
    </xf>
    <xf numFmtId="0" fontId="86" fillId="9" borderId="98"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vertical="center"/>
      <protection locked="0"/>
    </xf>
    <xf numFmtId="181" fontId="71" fillId="9" borderId="2" xfId="0" applyNumberFormat="1" applyFont="1" applyFill="1" applyBorder="1" applyAlignment="1" applyProtection="1">
      <alignment horizontal="center" vertical="center"/>
      <protection locked="0"/>
    </xf>
    <xf numFmtId="0" fontId="145" fillId="0" borderId="0" xfId="4"/>
    <xf numFmtId="0" fontId="157" fillId="20" borderId="2" xfId="4" applyFont="1" applyFill="1" applyBorder="1" applyAlignment="1" applyProtection="1">
      <alignment horizontal="center" vertical="center"/>
      <protection locked="0"/>
    </xf>
    <xf numFmtId="0" fontId="230" fillId="20" borderId="2" xfId="4" applyFont="1" applyFill="1" applyBorder="1" applyAlignment="1" applyProtection="1">
      <alignment horizontal="center" vertical="center" wrapText="1"/>
      <protection locked="0"/>
    </xf>
    <xf numFmtId="0" fontId="157" fillId="20" borderId="2" xfId="4" applyFont="1" applyFill="1" applyBorder="1" applyAlignment="1" applyProtection="1">
      <alignment horizontal="center" vertical="center" wrapText="1"/>
      <protection locked="0"/>
    </xf>
    <xf numFmtId="14" fontId="157" fillId="21" borderId="2" xfId="4" applyNumberFormat="1" applyFont="1" applyFill="1" applyBorder="1" applyAlignment="1" applyProtection="1">
      <alignment horizontal="center" vertical="center" wrapText="1"/>
      <protection locked="0"/>
    </xf>
    <xf numFmtId="194" fontId="157" fillId="21" borderId="2" xfId="4" applyNumberFormat="1" applyFont="1" applyFill="1" applyBorder="1" applyAlignment="1" applyProtection="1">
      <alignment horizontal="center" vertical="center" wrapText="1"/>
      <protection locked="0"/>
    </xf>
    <xf numFmtId="195" fontId="157" fillId="21" borderId="2" xfId="4" applyNumberFormat="1" applyFont="1" applyFill="1" applyBorder="1" applyAlignment="1" applyProtection="1">
      <alignment horizontal="center" vertical="center" wrapText="1"/>
      <protection locked="0"/>
    </xf>
    <xf numFmtId="14" fontId="157" fillId="6" borderId="2" xfId="4" applyNumberFormat="1" applyFont="1" applyFill="1" applyBorder="1" applyAlignment="1" applyProtection="1">
      <alignment horizontal="center" vertical="center" wrapText="1"/>
      <protection locked="0"/>
    </xf>
    <xf numFmtId="0" fontId="157" fillId="6" borderId="2" xfId="4" applyFont="1" applyFill="1" applyBorder="1" applyAlignment="1" applyProtection="1">
      <alignment horizontal="center" vertical="center" wrapText="1"/>
      <protection locked="0"/>
    </xf>
    <xf numFmtId="194" fontId="157" fillId="6" borderId="2" xfId="4" applyNumberFormat="1" applyFont="1" applyFill="1" applyBorder="1" applyAlignment="1" applyProtection="1">
      <alignment horizontal="center" vertical="center" wrapText="1"/>
      <protection locked="0"/>
    </xf>
    <xf numFmtId="194" fontId="95" fillId="6" borderId="2" xfId="4" applyNumberFormat="1" applyFont="1" applyFill="1" applyBorder="1" applyAlignment="1" applyProtection="1">
      <alignment horizontal="center" vertical="center" wrapText="1"/>
      <protection locked="0"/>
    </xf>
    <xf numFmtId="0" fontId="86" fillId="0" borderId="2" xfId="4" applyFont="1" applyFill="1" applyBorder="1" applyAlignment="1" applyProtection="1">
      <alignment horizontal="center" vertical="center"/>
      <protection locked="0"/>
    </xf>
    <xf numFmtId="0" fontId="127" fillId="0" borderId="17" xfId="4" applyFont="1" applyFill="1" applyBorder="1" applyAlignment="1" applyProtection="1">
      <alignment horizontal="center" vertical="center"/>
      <protection locked="0"/>
    </xf>
    <xf numFmtId="193" fontId="86" fillId="0" borderId="2" xfId="4" applyNumberFormat="1" applyFont="1" applyFill="1" applyBorder="1" applyAlignment="1" applyProtection="1">
      <alignment horizontal="center" vertical="center" wrapText="1"/>
      <protection locked="0"/>
    </xf>
    <xf numFmtId="14" fontId="152" fillId="0" borderId="2" xfId="4" applyNumberFormat="1" applyFont="1" applyBorder="1" applyAlignment="1" applyProtection="1">
      <alignment horizontal="center" vertical="center"/>
      <protection locked="0"/>
    </xf>
    <xf numFmtId="194" fontId="152" fillId="0" borderId="2" xfId="4" applyNumberFormat="1" applyFont="1" applyBorder="1" applyAlignment="1" applyProtection="1">
      <alignment horizontal="right" vertical="center"/>
      <protection locked="0"/>
    </xf>
    <xf numFmtId="0" fontId="86" fillId="0" borderId="2" xfId="4" applyFont="1" applyBorder="1" applyAlignment="1" applyProtection="1">
      <alignment horizontal="center" vertical="center"/>
      <protection locked="0"/>
    </xf>
    <xf numFmtId="194" fontId="86" fillId="0" borderId="2" xfId="4" applyNumberFormat="1" applyFont="1" applyBorder="1" applyAlignment="1" applyProtection="1">
      <alignment horizontal="right" vertical="center"/>
      <protection locked="0"/>
    </xf>
    <xf numFmtId="14" fontId="86" fillId="0" borderId="2" xfId="4" applyNumberFormat="1" applyFont="1" applyBorder="1" applyAlignment="1" applyProtection="1">
      <alignment horizontal="center" vertical="center"/>
      <protection locked="0"/>
    </xf>
    <xf numFmtId="0" fontId="86" fillId="0" borderId="2" xfId="4" applyFont="1" applyBorder="1" applyAlignment="1" applyProtection="1">
      <alignment horizontal="center" vertical="center"/>
    </xf>
    <xf numFmtId="194" fontId="86" fillId="0" borderId="2" xfId="4" applyNumberFormat="1" applyFont="1" applyBorder="1" applyAlignment="1" applyProtection="1">
      <alignment horizontal="right" vertical="center"/>
    </xf>
    <xf numFmtId="194" fontId="86" fillId="0" borderId="2" xfId="4" applyNumberFormat="1" applyFont="1" applyFill="1" applyBorder="1" applyAlignment="1" applyProtection="1">
      <alignment horizontal="right" vertical="center"/>
      <protection locked="0"/>
    </xf>
    <xf numFmtId="0" fontId="152" fillId="0" borderId="0" xfId="4" applyFont="1" applyFill="1" applyAlignment="1">
      <alignment horizontal="center" vertical="center"/>
    </xf>
    <xf numFmtId="194" fontId="152" fillId="0" borderId="2" xfId="4" applyNumberFormat="1" applyFont="1" applyFill="1" applyBorder="1" applyAlignment="1" applyProtection="1">
      <alignment horizontal="right" vertical="center"/>
      <protection locked="0"/>
    </xf>
    <xf numFmtId="14" fontId="152" fillId="0" borderId="2" xfId="4" applyNumberFormat="1" applyFont="1" applyFill="1" applyBorder="1" applyAlignment="1" applyProtection="1">
      <alignment horizontal="center" vertical="center"/>
      <protection locked="0"/>
    </xf>
    <xf numFmtId="0" fontId="86" fillId="8" borderId="2" xfId="4" applyFont="1" applyFill="1" applyBorder="1" applyAlignment="1" applyProtection="1">
      <alignment horizontal="center" vertical="center"/>
      <protection locked="0"/>
    </xf>
    <xf numFmtId="194" fontId="152" fillId="8" borderId="2" xfId="4" applyNumberFormat="1" applyFont="1" applyFill="1" applyBorder="1" applyAlignment="1" applyProtection="1">
      <alignment horizontal="right" vertical="center"/>
      <protection locked="0"/>
    </xf>
    <xf numFmtId="14" fontId="152" fillId="8" borderId="2" xfId="4" applyNumberFormat="1" applyFont="1" applyFill="1" applyBorder="1" applyAlignment="1" applyProtection="1">
      <alignment horizontal="center" vertical="center"/>
      <protection locked="0"/>
    </xf>
    <xf numFmtId="194" fontId="86" fillId="8" borderId="2" xfId="4" applyNumberFormat="1" applyFont="1" applyFill="1" applyBorder="1" applyAlignment="1" applyProtection="1">
      <alignment horizontal="right" vertical="center"/>
      <protection locked="0"/>
    </xf>
    <xf numFmtId="194" fontId="86" fillId="0" borderId="2" xfId="4" applyNumberFormat="1" applyFont="1" applyFill="1" applyBorder="1" applyAlignment="1" applyProtection="1">
      <alignment horizontal="right" vertical="center"/>
    </xf>
    <xf numFmtId="193" fontId="86" fillId="8" borderId="2" xfId="4" applyNumberFormat="1" applyFont="1" applyFill="1" applyBorder="1" applyAlignment="1" applyProtection="1">
      <alignment horizontal="center" vertical="center" wrapText="1"/>
      <protection locked="0"/>
    </xf>
    <xf numFmtId="0" fontId="86" fillId="8" borderId="2" xfId="4" applyFont="1" applyFill="1" applyBorder="1" applyAlignment="1" applyProtection="1">
      <alignment horizontal="center" vertical="center"/>
    </xf>
    <xf numFmtId="194" fontId="86" fillId="8" borderId="2" xfId="4" applyNumberFormat="1" applyFont="1" applyFill="1" applyBorder="1" applyAlignment="1" applyProtection="1">
      <alignment horizontal="right" vertical="center"/>
    </xf>
    <xf numFmtId="193" fontId="127" fillId="0" borderId="2" xfId="4" applyNumberFormat="1" applyFont="1" applyFill="1" applyBorder="1" applyAlignment="1" applyProtection="1">
      <alignment horizontal="center" vertical="center" wrapText="1"/>
      <protection locked="0"/>
    </xf>
    <xf numFmtId="193" fontId="152" fillId="0" borderId="2" xfId="4" applyNumberFormat="1" applyFont="1" applyFill="1" applyBorder="1" applyAlignment="1" applyProtection="1">
      <alignment horizontal="center" vertical="center" wrapText="1"/>
      <protection locked="0"/>
    </xf>
    <xf numFmtId="0" fontId="86" fillId="0" borderId="17" xfId="4" applyFont="1" applyFill="1" applyBorder="1" applyAlignment="1" applyProtection="1">
      <alignment horizontal="center" vertical="center"/>
      <protection locked="0"/>
    </xf>
    <xf numFmtId="193" fontId="127" fillId="0" borderId="17" xfId="4" applyNumberFormat="1" applyFont="1" applyFill="1" applyBorder="1" applyAlignment="1" applyProtection="1">
      <alignment horizontal="center" vertical="center" wrapText="1"/>
      <protection locked="0"/>
    </xf>
    <xf numFmtId="193" fontId="86" fillId="0" borderId="17" xfId="4" applyNumberFormat="1" applyFont="1" applyFill="1" applyBorder="1" applyAlignment="1" applyProtection="1">
      <alignment horizontal="center" vertical="center" wrapText="1"/>
      <protection locked="0"/>
    </xf>
    <xf numFmtId="193" fontId="127" fillId="7" borderId="17" xfId="4" applyNumberFormat="1" applyFont="1" applyFill="1" applyBorder="1" applyAlignment="1" applyProtection="1">
      <alignment horizontal="center" vertical="center" wrapText="1"/>
      <protection locked="0"/>
    </xf>
    <xf numFmtId="0" fontId="127" fillId="0" borderId="2" xfId="4" applyFont="1" applyFill="1" applyBorder="1" applyAlignment="1" applyProtection="1">
      <alignment horizontal="center" vertical="center"/>
      <protection locked="0"/>
    </xf>
    <xf numFmtId="14" fontId="86" fillId="0" borderId="2" xfId="4" applyNumberFormat="1" applyFont="1" applyFill="1" applyBorder="1" applyAlignment="1" applyProtection="1">
      <alignment horizontal="center" vertical="center"/>
      <protection locked="0"/>
    </xf>
    <xf numFmtId="14" fontId="152" fillId="0" borderId="9" xfId="4" applyNumberFormat="1" applyFont="1" applyBorder="1" applyAlignment="1" applyProtection="1">
      <alignment horizontal="center" vertical="center"/>
      <protection locked="0"/>
    </xf>
    <xf numFmtId="14" fontId="152" fillId="0" borderId="21" xfId="4" applyNumberFormat="1" applyFont="1" applyBorder="1" applyAlignment="1" applyProtection="1">
      <alignment horizontal="center" vertical="center"/>
      <protection locked="0"/>
    </xf>
    <xf numFmtId="194" fontId="152" fillId="0" borderId="21" xfId="4" applyNumberFormat="1" applyFont="1" applyBorder="1" applyAlignment="1" applyProtection="1">
      <alignment horizontal="right" vertical="center"/>
      <protection locked="0"/>
    </xf>
    <xf numFmtId="193" fontId="127" fillId="22" borderId="17" xfId="4" applyNumberFormat="1" applyFont="1" applyFill="1" applyBorder="1" applyAlignment="1" applyProtection="1">
      <alignment horizontal="center" vertical="center" wrapText="1"/>
      <protection locked="0"/>
    </xf>
    <xf numFmtId="14" fontId="86" fillId="0" borderId="0" xfId="4" applyNumberFormat="1" applyFont="1" applyFill="1" applyAlignment="1" applyProtection="1">
      <alignment horizontal="center" vertical="center"/>
      <protection locked="0"/>
    </xf>
    <xf numFmtId="0" fontId="86" fillId="0" borderId="0" xfId="4" applyFont="1" applyFill="1" applyAlignment="1" applyProtection="1">
      <alignment horizontal="center" vertical="center"/>
      <protection locked="0"/>
    </xf>
    <xf numFmtId="193" fontId="127" fillId="23" borderId="17" xfId="4" applyNumberFormat="1" applyFont="1" applyFill="1" applyBorder="1" applyAlignment="1" applyProtection="1">
      <alignment horizontal="center" vertical="center" wrapText="1"/>
      <protection locked="0"/>
    </xf>
    <xf numFmtId="0" fontId="86" fillId="7" borderId="17" xfId="4" applyFont="1" applyFill="1" applyBorder="1" applyAlignment="1" applyProtection="1">
      <alignment horizontal="center" vertical="center"/>
      <protection locked="0"/>
    </xf>
    <xf numFmtId="194" fontId="145" fillId="0" borderId="0" xfId="4" applyNumberFormat="1"/>
    <xf numFmtId="0" fontId="152" fillId="0" borderId="2" xfId="4" applyFont="1" applyBorder="1" applyAlignment="1" applyProtection="1">
      <alignment horizontal="center" vertical="center"/>
      <protection locked="0"/>
    </xf>
    <xf numFmtId="195" fontId="152" fillId="0" borderId="2" xfId="4" applyNumberFormat="1" applyFont="1" applyBorder="1" applyAlignment="1" applyProtection="1">
      <alignment horizontal="center" vertical="center"/>
    </xf>
    <xf numFmtId="194" fontId="152" fillId="0" borderId="2" xfId="4" applyNumberFormat="1" applyFont="1" applyBorder="1" applyAlignment="1" applyProtection="1">
      <alignment horizontal="right" vertical="center"/>
    </xf>
    <xf numFmtId="0" fontId="152" fillId="0" borderId="0" xfId="4" applyFont="1" applyFill="1" applyBorder="1" applyAlignment="1" applyProtection="1">
      <alignment horizontal="center" vertical="center"/>
      <protection locked="0"/>
    </xf>
    <xf numFmtId="0" fontId="157" fillId="6" borderId="2" xfId="4" applyNumberFormat="1" applyFont="1" applyFill="1" applyBorder="1" applyAlignment="1" applyProtection="1">
      <alignment horizontal="center" vertical="center" wrapText="1"/>
      <protection locked="0"/>
    </xf>
    <xf numFmtId="194" fontId="157" fillId="27" borderId="2" xfId="4" applyNumberFormat="1" applyFont="1" applyFill="1" applyBorder="1" applyAlignment="1" applyProtection="1">
      <alignment horizontal="center" vertical="center" wrapText="1"/>
      <protection locked="0"/>
    </xf>
    <xf numFmtId="9" fontId="157" fillId="6" borderId="2" xfId="20" applyFont="1" applyFill="1" applyBorder="1" applyAlignment="1" applyProtection="1">
      <alignment horizontal="center" vertical="center" wrapText="1"/>
      <protection locked="0"/>
    </xf>
    <xf numFmtId="14" fontId="157" fillId="24" borderId="2" xfId="4" applyNumberFormat="1" applyFont="1" applyFill="1" applyBorder="1" applyAlignment="1" applyProtection="1">
      <alignment horizontal="center" vertical="center" wrapText="1"/>
      <protection locked="0"/>
    </xf>
    <xf numFmtId="0" fontId="157" fillId="24" borderId="2" xfId="4" applyFont="1" applyFill="1" applyBorder="1" applyAlignment="1" applyProtection="1">
      <alignment horizontal="center" vertical="center" wrapText="1"/>
      <protection locked="0"/>
    </xf>
    <xf numFmtId="0" fontId="157" fillId="25" borderId="2" xfId="4" applyFont="1" applyFill="1" applyBorder="1" applyAlignment="1" applyProtection="1">
      <alignment horizontal="center" vertical="center" wrapText="1"/>
      <protection locked="0"/>
    </xf>
    <xf numFmtId="0" fontId="276" fillId="6" borderId="2" xfId="4" applyFont="1" applyFill="1" applyBorder="1" applyAlignment="1" applyProtection="1">
      <alignment horizontal="center" vertical="center" wrapText="1"/>
      <protection locked="0"/>
    </xf>
    <xf numFmtId="14" fontId="157" fillId="25" borderId="2" xfId="4" applyNumberFormat="1" applyFont="1" applyFill="1" applyBorder="1" applyAlignment="1" applyProtection="1">
      <alignment horizontal="center" vertical="center" wrapText="1"/>
      <protection locked="0"/>
    </xf>
    <xf numFmtId="184" fontId="157" fillId="25" borderId="2" xfId="4" applyNumberFormat="1" applyFont="1" applyFill="1" applyBorder="1" applyAlignment="1" applyProtection="1">
      <alignment horizontal="center" vertical="center" wrapText="1"/>
      <protection locked="0"/>
    </xf>
    <xf numFmtId="198" fontId="157" fillId="25" borderId="5" xfId="19" applyNumberFormat="1" applyFont="1" applyFill="1" applyBorder="1" applyAlignment="1" applyProtection="1">
      <alignment horizontal="center" vertical="center" wrapText="1"/>
      <protection locked="0"/>
    </xf>
    <xf numFmtId="197" fontId="157" fillId="26" borderId="2" xfId="19" applyFont="1" applyFill="1" applyBorder="1" applyAlignment="1" applyProtection="1">
      <alignment horizontal="center" vertical="center" wrapText="1"/>
      <protection locked="0"/>
    </xf>
    <xf numFmtId="194" fontId="157" fillId="26" borderId="2" xfId="19" applyNumberFormat="1" applyFont="1" applyFill="1" applyBorder="1" applyAlignment="1" applyProtection="1">
      <alignment horizontal="center" vertical="center" wrapText="1"/>
      <protection locked="0"/>
    </xf>
    <xf numFmtId="194" fontId="157" fillId="26" borderId="9" xfId="19" applyNumberFormat="1" applyFont="1" applyFill="1" applyBorder="1" applyAlignment="1" applyProtection="1">
      <alignment horizontal="center" vertical="center" wrapText="1"/>
      <protection locked="0"/>
    </xf>
    <xf numFmtId="194" fontId="157" fillId="26" borderId="2" xfId="4" applyNumberFormat="1" applyFont="1" applyFill="1" applyBorder="1" applyAlignment="1" applyProtection="1">
      <alignment horizontal="center" vertical="center" wrapText="1"/>
      <protection locked="0"/>
    </xf>
    <xf numFmtId="0" fontId="152" fillId="0" borderId="0" xfId="4" applyFont="1" applyBorder="1" applyAlignment="1" applyProtection="1">
      <alignment horizontal="center" vertical="center"/>
      <protection locked="0"/>
    </xf>
    <xf numFmtId="0" fontId="86" fillId="0" borderId="2" xfId="4" applyNumberFormat="1" applyFont="1" applyBorder="1" applyAlignment="1" applyProtection="1">
      <alignment horizontal="center" vertical="center"/>
    </xf>
    <xf numFmtId="9" fontId="86" fillId="0" borderId="2" xfId="20" applyFont="1" applyFill="1" applyBorder="1" applyAlignment="1" applyProtection="1">
      <alignment horizontal="right" vertical="center"/>
    </xf>
    <xf numFmtId="0" fontId="86" fillId="0" borderId="2" xfId="4" applyFont="1" applyFill="1" applyBorder="1" applyAlignment="1" applyProtection="1">
      <alignment horizontal="center" vertical="center" shrinkToFit="1"/>
      <protection locked="0"/>
    </xf>
    <xf numFmtId="184" fontId="86" fillId="0" borderId="2" xfId="4" applyNumberFormat="1" applyFont="1" applyFill="1" applyBorder="1" applyAlignment="1" applyProtection="1">
      <alignment horizontal="center" vertical="center"/>
    </xf>
    <xf numFmtId="184" fontId="86" fillId="0" borderId="2" xfId="19" applyNumberFormat="1" applyFont="1" applyFill="1" applyBorder="1" applyAlignment="1" applyProtection="1">
      <alignment horizontal="center" vertical="center"/>
    </xf>
    <xf numFmtId="198" fontId="86" fillId="0" borderId="2" xfId="19" applyNumberFormat="1" applyFont="1" applyFill="1" applyBorder="1" applyAlignment="1" applyProtection="1">
      <alignment horizontal="right" vertical="center"/>
      <protection locked="0"/>
    </xf>
    <xf numFmtId="195" fontId="86" fillId="0" borderId="21" xfId="19" applyNumberFormat="1" applyFont="1" applyFill="1" applyBorder="1" applyAlignment="1" applyProtection="1">
      <alignment horizontal="center" vertical="center"/>
      <protection locked="0"/>
    </xf>
    <xf numFmtId="193" fontId="278" fillId="0" borderId="21" xfId="19" applyNumberFormat="1" applyFont="1" applyFill="1" applyBorder="1" applyAlignment="1" applyProtection="1">
      <alignment horizontal="center" vertical="center"/>
      <protection locked="0"/>
    </xf>
    <xf numFmtId="193" fontId="278" fillId="0" borderId="2" xfId="19" applyNumberFormat="1" applyFont="1" applyFill="1" applyBorder="1" applyAlignment="1" applyProtection="1">
      <alignment horizontal="center" vertical="center"/>
      <protection locked="0"/>
    </xf>
    <xf numFmtId="194" fontId="86" fillId="0" borderId="2" xfId="19" applyNumberFormat="1" applyFont="1" applyFill="1" applyBorder="1" applyAlignment="1" applyProtection="1">
      <alignment horizontal="right" vertical="center"/>
    </xf>
    <xf numFmtId="194" fontId="86" fillId="0" borderId="2" xfId="19" applyNumberFormat="1" applyFont="1" applyFill="1" applyBorder="1" applyAlignment="1" applyProtection="1">
      <alignment horizontal="right" vertical="center"/>
      <protection locked="0"/>
    </xf>
    <xf numFmtId="0" fontId="86" fillId="0" borderId="2" xfId="4" applyNumberFormat="1" applyFont="1" applyFill="1" applyBorder="1" applyAlignment="1" applyProtection="1">
      <alignment horizontal="center" vertical="center"/>
      <protection locked="0"/>
    </xf>
    <xf numFmtId="0" fontId="86" fillId="0" borderId="9" xfId="4" applyFont="1" applyFill="1" applyBorder="1" applyAlignment="1" applyProtection="1">
      <alignment horizontal="center" vertical="center"/>
      <protection locked="0"/>
    </xf>
    <xf numFmtId="0" fontId="86" fillId="0" borderId="0" xfId="4" applyFont="1" applyFill="1" applyBorder="1" applyAlignment="1" applyProtection="1">
      <alignment horizontal="center" vertical="center"/>
      <protection locked="0"/>
    </xf>
    <xf numFmtId="198" fontId="86" fillId="0" borderId="2" xfId="4" applyNumberFormat="1" applyFont="1" applyFill="1" applyBorder="1" applyAlignment="1" applyProtection="1">
      <alignment horizontal="right" vertical="center"/>
      <protection locked="0"/>
    </xf>
    <xf numFmtId="195" fontId="86" fillId="0" borderId="2" xfId="4" applyNumberFormat="1" applyFont="1" applyFill="1" applyBorder="1" applyAlignment="1" applyProtection="1">
      <alignment horizontal="center" vertical="center"/>
      <protection locked="0"/>
    </xf>
    <xf numFmtId="195" fontId="86" fillId="0" borderId="2" xfId="19" applyNumberFormat="1" applyFont="1" applyFill="1" applyBorder="1" applyAlignment="1" applyProtection="1">
      <alignment horizontal="center" vertical="center"/>
      <protection locked="0"/>
    </xf>
    <xf numFmtId="0" fontId="86" fillId="0" borderId="2" xfId="19" applyNumberFormat="1" applyFont="1" applyFill="1" applyBorder="1" applyAlignment="1" applyProtection="1">
      <alignment horizontal="center" vertical="center"/>
      <protection locked="0"/>
    </xf>
    <xf numFmtId="197" fontId="86" fillId="0" borderId="2" xfId="4" applyNumberFormat="1" applyFont="1" applyFill="1" applyBorder="1" applyAlignment="1" applyProtection="1">
      <alignment horizontal="center" vertical="center"/>
      <protection locked="0"/>
    </xf>
    <xf numFmtId="0" fontId="86" fillId="8" borderId="2" xfId="4" applyFont="1" applyFill="1" applyBorder="1" applyAlignment="1" applyProtection="1">
      <alignment horizontal="center" vertical="center" shrinkToFit="1"/>
      <protection locked="0"/>
    </xf>
    <xf numFmtId="14" fontId="86" fillId="8" borderId="2" xfId="4" applyNumberFormat="1" applyFont="1" applyFill="1" applyBorder="1" applyAlignment="1" applyProtection="1">
      <alignment horizontal="center" vertical="center"/>
      <protection locked="0"/>
    </xf>
    <xf numFmtId="198" fontId="86" fillId="8" borderId="2" xfId="4" applyNumberFormat="1" applyFont="1" applyFill="1" applyBorder="1" applyAlignment="1" applyProtection="1">
      <alignment horizontal="right" vertical="center"/>
      <protection locked="0"/>
    </xf>
    <xf numFmtId="195" fontId="86" fillId="8" borderId="2" xfId="4" applyNumberFormat="1" applyFont="1" applyFill="1" applyBorder="1" applyAlignment="1" applyProtection="1">
      <alignment horizontal="center" vertical="center"/>
      <protection locked="0"/>
    </xf>
    <xf numFmtId="193" fontId="278" fillId="8" borderId="2" xfId="19" applyNumberFormat="1" applyFont="1" applyFill="1" applyBorder="1" applyAlignment="1" applyProtection="1">
      <alignment horizontal="center" vertical="center"/>
      <protection locked="0"/>
    </xf>
    <xf numFmtId="194" fontId="86" fillId="8" borderId="2" xfId="19" applyNumberFormat="1" applyFont="1" applyFill="1" applyBorder="1" applyAlignment="1" applyProtection="1">
      <alignment horizontal="right" vertical="center"/>
      <protection locked="0"/>
    </xf>
    <xf numFmtId="0" fontId="86" fillId="8" borderId="0" xfId="4" applyFont="1" applyFill="1" applyBorder="1" applyAlignment="1" applyProtection="1">
      <alignment horizontal="center" vertical="center"/>
      <protection locked="0"/>
    </xf>
    <xf numFmtId="0" fontId="86" fillId="7" borderId="2" xfId="4" applyFont="1" applyFill="1" applyBorder="1" applyAlignment="1" applyProtection="1">
      <alignment horizontal="center" vertical="center"/>
      <protection locked="0"/>
    </xf>
    <xf numFmtId="198" fontId="86" fillId="8" borderId="2" xfId="19" applyNumberFormat="1" applyFont="1" applyFill="1" applyBorder="1" applyAlignment="1" applyProtection="1">
      <alignment horizontal="right" vertical="center"/>
      <protection locked="0"/>
    </xf>
    <xf numFmtId="195" fontId="86" fillId="8" borderId="2" xfId="19" applyNumberFormat="1" applyFont="1" applyFill="1" applyBorder="1" applyAlignment="1" applyProtection="1">
      <alignment horizontal="center" vertical="center"/>
      <protection locked="0"/>
    </xf>
    <xf numFmtId="14" fontId="127" fillId="0" borderId="2" xfId="4" applyNumberFormat="1" applyFont="1" applyFill="1" applyBorder="1" applyAlignment="1" applyProtection="1">
      <alignment horizontal="center" vertical="center"/>
      <protection locked="0"/>
    </xf>
    <xf numFmtId="0" fontId="86" fillId="8" borderId="2" xfId="4" applyNumberFormat="1" applyFont="1" applyFill="1" applyBorder="1" applyAlignment="1" applyProtection="1">
      <alignment horizontal="center" vertical="center"/>
    </xf>
    <xf numFmtId="9" fontId="86" fillId="8" borderId="2" xfId="20" applyFont="1" applyFill="1" applyBorder="1" applyAlignment="1" applyProtection="1">
      <alignment horizontal="right" vertical="center"/>
    </xf>
    <xf numFmtId="184" fontId="86" fillId="8" borderId="2" xfId="4" applyNumberFormat="1" applyFont="1" applyFill="1" applyBorder="1" applyAlignment="1" applyProtection="1">
      <alignment horizontal="center" vertical="center"/>
    </xf>
    <xf numFmtId="184" fontId="86" fillId="8" borderId="2" xfId="19" applyNumberFormat="1" applyFont="1" applyFill="1" applyBorder="1" applyAlignment="1" applyProtection="1">
      <alignment horizontal="center" vertical="center"/>
    </xf>
    <xf numFmtId="0" fontId="152" fillId="8" borderId="0" xfId="4" applyFont="1" applyFill="1" applyBorder="1" applyAlignment="1" applyProtection="1">
      <alignment horizontal="center" vertical="center"/>
      <protection locked="0"/>
    </xf>
    <xf numFmtId="193" fontId="278" fillId="0" borderId="2" xfId="4" applyNumberFormat="1" applyFont="1" applyFill="1" applyBorder="1" applyAlignment="1" applyProtection="1">
      <alignment horizontal="center" vertical="center"/>
      <protection locked="0"/>
    </xf>
    <xf numFmtId="195" fontId="152" fillId="0" borderId="2" xfId="19" applyNumberFormat="1" applyFont="1" applyFill="1" applyBorder="1" applyAlignment="1" applyProtection="1">
      <alignment horizontal="center" vertical="center"/>
      <protection locked="0"/>
    </xf>
    <xf numFmtId="193" fontId="173" fillId="0" borderId="2" xfId="19" applyNumberFormat="1" applyFont="1" applyFill="1" applyBorder="1" applyAlignment="1" applyProtection="1">
      <alignment horizontal="center" vertical="center"/>
      <protection locked="0"/>
    </xf>
    <xf numFmtId="194" fontId="152" fillId="0" borderId="2" xfId="19" applyNumberFormat="1" applyFont="1" applyFill="1" applyBorder="1" applyAlignment="1" applyProtection="1">
      <alignment horizontal="right" vertical="center"/>
      <protection locked="0"/>
    </xf>
    <xf numFmtId="49" fontId="152" fillId="0" borderId="2" xfId="4" applyNumberFormat="1" applyFont="1" applyFill="1" applyBorder="1" applyAlignment="1">
      <alignment horizontal="center" vertical="center" wrapText="1"/>
    </xf>
    <xf numFmtId="0" fontId="127" fillId="0" borderId="2" xfId="4" applyFont="1" applyFill="1" applyBorder="1" applyAlignment="1" applyProtection="1">
      <alignment horizontal="center" vertical="center" shrinkToFit="1"/>
      <protection locked="0"/>
    </xf>
    <xf numFmtId="0" fontId="127" fillId="0" borderId="2" xfId="4" applyNumberFormat="1" applyFont="1" applyFill="1" applyBorder="1" applyAlignment="1" applyProtection="1">
      <alignment horizontal="center" vertical="center"/>
      <protection locked="0"/>
    </xf>
    <xf numFmtId="0" fontId="127" fillId="0" borderId="0" xfId="4" applyFont="1" applyFill="1" applyBorder="1" applyAlignment="1" applyProtection="1">
      <alignment horizontal="center" vertical="center"/>
      <protection locked="0"/>
    </xf>
    <xf numFmtId="194" fontId="127" fillId="0" borderId="2" xfId="4" applyNumberFormat="1" applyFont="1" applyFill="1" applyBorder="1" applyAlignment="1" applyProtection="1">
      <alignment horizontal="right" vertical="center"/>
    </xf>
    <xf numFmtId="0" fontId="76" fillId="3" borderId="154" xfId="4" applyFont="1" applyFill="1" applyBorder="1" applyAlignment="1">
      <alignment horizontal="center" vertical="center"/>
    </xf>
    <xf numFmtId="9" fontId="152" fillId="0" borderId="2" xfId="20" applyFont="1" applyBorder="1" applyAlignment="1" applyProtection="1">
      <alignment horizontal="right" vertical="center"/>
    </xf>
    <xf numFmtId="198" fontId="152" fillId="0" borderId="2" xfId="4" applyNumberFormat="1" applyFont="1" applyBorder="1" applyAlignment="1" applyProtection="1">
      <alignment horizontal="right" vertical="center"/>
    </xf>
    <xf numFmtId="14" fontId="152" fillId="0" borderId="0" xfId="4" applyNumberFormat="1" applyFont="1" applyBorder="1" applyAlignment="1" applyProtection="1">
      <alignment horizontal="center" vertical="center"/>
      <protection locked="0"/>
    </xf>
    <xf numFmtId="194" fontId="152" fillId="0" borderId="0" xfId="4" applyNumberFormat="1" applyFont="1" applyBorder="1" applyAlignment="1" applyProtection="1">
      <alignment horizontal="right" vertical="center"/>
      <protection locked="0"/>
    </xf>
    <xf numFmtId="195" fontId="152" fillId="0" borderId="0" xfId="4" applyNumberFormat="1" applyFont="1" applyBorder="1" applyAlignment="1" applyProtection="1">
      <alignment horizontal="center" vertical="center"/>
      <protection locked="0"/>
    </xf>
    <xf numFmtId="0" fontId="152" fillId="0" borderId="0" xfId="4" applyNumberFormat="1" applyFont="1" applyBorder="1" applyAlignment="1" applyProtection="1">
      <alignment horizontal="center" vertical="center"/>
      <protection locked="0"/>
    </xf>
    <xf numFmtId="194" fontId="86" fillId="0" borderId="0" xfId="4" applyNumberFormat="1" applyFont="1" applyBorder="1" applyAlignment="1" applyProtection="1">
      <alignment horizontal="right" vertical="center"/>
      <protection locked="0"/>
    </xf>
    <xf numFmtId="194" fontId="152" fillId="0" borderId="0" xfId="4" applyNumberFormat="1" applyFont="1" applyAlignment="1" applyProtection="1">
      <alignment horizontal="right"/>
      <protection locked="0"/>
    </xf>
    <xf numFmtId="9" fontId="152" fillId="0" borderId="0" xfId="20" applyFont="1" applyBorder="1" applyAlignment="1" applyProtection="1">
      <alignment horizontal="right" vertical="center"/>
      <protection locked="0"/>
    </xf>
    <xf numFmtId="184" fontId="152" fillId="0" borderId="0" xfId="4" applyNumberFormat="1" applyFont="1" applyBorder="1" applyAlignment="1" applyProtection="1">
      <alignment horizontal="center" vertical="center"/>
      <protection locked="0"/>
    </xf>
    <xf numFmtId="198" fontId="152" fillId="0" borderId="0" xfId="19" applyNumberFormat="1" applyFont="1" applyBorder="1" applyAlignment="1" applyProtection="1">
      <alignment horizontal="right" vertical="center"/>
      <protection locked="0"/>
    </xf>
    <xf numFmtId="195" fontId="152" fillId="0" borderId="0" xfId="19" applyNumberFormat="1" applyFont="1" applyBorder="1" applyAlignment="1" applyProtection="1">
      <alignment horizontal="center" vertical="center"/>
      <protection locked="0"/>
    </xf>
    <xf numFmtId="194" fontId="152" fillId="0" borderId="0" xfId="19" applyNumberFormat="1" applyFont="1" applyBorder="1" applyAlignment="1" applyProtection="1">
      <alignment horizontal="right" vertical="center"/>
      <protection locked="0"/>
    </xf>
    <xf numFmtId="194" fontId="152" fillId="0" borderId="0" xfId="4" applyNumberFormat="1" applyFont="1" applyBorder="1" applyAlignment="1" applyProtection="1">
      <alignment horizontal="righ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7" fillId="0" borderId="10" xfId="4" applyFont="1" applyFill="1" applyBorder="1" applyAlignment="1" applyProtection="1">
      <alignment horizontal="center" vertical="center" wrapText="1"/>
      <protection locked="0"/>
    </xf>
    <xf numFmtId="0" fontId="157" fillId="0" borderId="21" xfId="4" applyFont="1" applyFill="1" applyBorder="1" applyAlignment="1" applyProtection="1">
      <alignment horizontal="center" vertical="center" wrapText="1"/>
      <protection locked="0"/>
    </xf>
    <xf numFmtId="0" fontId="157" fillId="0" borderId="4" xfId="4" applyFont="1" applyFill="1" applyBorder="1" applyAlignment="1" applyProtection="1">
      <alignment horizontal="center" vertical="center" wrapText="1"/>
      <protection locked="0"/>
    </xf>
    <xf numFmtId="0" fontId="157" fillId="0" borderId="17" xfId="4" applyFont="1" applyFill="1" applyBorder="1" applyAlignment="1" applyProtection="1">
      <alignment horizontal="center" vertical="center" wrapText="1"/>
      <protection locked="0"/>
    </xf>
    <xf numFmtId="0" fontId="157" fillId="24" borderId="17" xfId="4" applyFont="1" applyFill="1" applyBorder="1" applyAlignment="1" applyProtection="1">
      <alignment horizontal="center" vertical="center"/>
      <protection locked="0"/>
    </xf>
    <xf numFmtId="0" fontId="157" fillId="24" borderId="19" xfId="4" applyFont="1" applyFill="1" applyBorder="1" applyAlignment="1" applyProtection="1">
      <alignment horizontal="center" vertical="center"/>
      <protection locked="0"/>
    </xf>
    <xf numFmtId="0" fontId="230" fillId="25" borderId="19" xfId="4" applyFont="1" applyFill="1" applyBorder="1" applyAlignment="1" applyProtection="1">
      <alignment horizontal="center" vertical="center"/>
      <protection locked="0"/>
    </xf>
    <xf numFmtId="0" fontId="157" fillId="25" borderId="19" xfId="4" applyFont="1" applyFill="1" applyBorder="1" applyAlignment="1" applyProtection="1">
      <alignment horizontal="center" vertical="center"/>
      <protection locked="0"/>
    </xf>
    <xf numFmtId="198" fontId="157" fillId="25" borderId="20" xfId="4" applyNumberFormat="1" applyFont="1" applyFill="1" applyBorder="1" applyAlignment="1" applyProtection="1">
      <alignment horizontal="right" vertical="center"/>
      <protection locked="0"/>
    </xf>
    <xf numFmtId="0" fontId="157" fillId="26" borderId="2" xfId="4" applyFont="1" applyFill="1" applyBorder="1" applyAlignment="1" applyProtection="1">
      <alignment horizontal="center" vertical="center"/>
      <protection locked="0"/>
    </xf>
    <xf numFmtId="194" fontId="157" fillId="26" borderId="2" xfId="4" applyNumberFormat="1" applyFont="1" applyFill="1" applyBorder="1" applyAlignment="1" applyProtection="1">
      <alignment horizontal="center" vertical="center"/>
      <protection locked="0"/>
    </xf>
    <xf numFmtId="194" fontId="157" fillId="0" borderId="18" xfId="4" applyNumberFormat="1" applyFont="1" applyFill="1" applyBorder="1" applyAlignment="1" applyProtection="1">
      <alignment horizontal="center" vertical="center" wrapText="1"/>
      <protection locked="0"/>
    </xf>
    <xf numFmtId="194" fontId="157" fillId="0" borderId="20" xfId="4" applyNumberFormat="1" applyFont="1" applyFill="1" applyBorder="1" applyAlignment="1" applyProtection="1">
      <alignment horizontal="center" vertical="center" wrapText="1"/>
      <protection locked="0"/>
    </xf>
    <xf numFmtId="0" fontId="157" fillId="20" borderId="8" xfId="4" applyFont="1" applyFill="1" applyBorder="1" applyAlignment="1" applyProtection="1">
      <alignment horizontal="center" vertical="center"/>
      <protection locked="0"/>
    </xf>
    <xf numFmtId="0" fontId="157" fillId="20" borderId="8" xfId="4" applyFont="1" applyFill="1" applyBorder="1" applyAlignment="1" applyProtection="1">
      <alignment horizontal="center" vertical="center" wrapText="1"/>
      <protection locked="0"/>
    </xf>
    <xf numFmtId="0" fontId="157" fillId="20" borderId="9" xfId="4" applyFont="1" applyFill="1" applyBorder="1" applyAlignment="1" applyProtection="1">
      <alignment horizontal="center" vertical="center" wrapText="1"/>
      <protection locked="0"/>
    </xf>
    <xf numFmtId="0" fontId="157" fillId="21" borderId="5" xfId="4" applyFont="1" applyFill="1" applyBorder="1" applyAlignment="1" applyProtection="1">
      <alignment horizontal="center" vertical="center"/>
      <protection locked="0"/>
    </xf>
    <xf numFmtId="194" fontId="157" fillId="21" borderId="8" xfId="4" applyNumberFormat="1" applyFont="1" applyFill="1" applyBorder="1" applyAlignment="1" applyProtection="1">
      <alignment horizontal="right" vertical="center"/>
      <protection locked="0"/>
    </xf>
    <xf numFmtId="0" fontId="157" fillId="21" borderId="8" xfId="4" applyFont="1" applyFill="1" applyBorder="1" applyAlignment="1" applyProtection="1">
      <alignment horizontal="center" vertical="center"/>
      <protection locked="0"/>
    </xf>
    <xf numFmtId="0" fontId="157" fillId="6" borderId="5" xfId="4" applyFont="1" applyFill="1" applyBorder="1" applyAlignment="1" applyProtection="1">
      <alignment horizontal="center" vertical="center"/>
      <protection locked="0"/>
    </xf>
    <xf numFmtId="0" fontId="157" fillId="6" borderId="8" xfId="4" applyFont="1" applyFill="1" applyBorder="1" applyAlignment="1" applyProtection="1">
      <alignment horizontal="center" vertical="center"/>
      <protection locked="0"/>
    </xf>
    <xf numFmtId="194" fontId="157" fillId="6" borderId="8" xfId="4" applyNumberFormat="1" applyFont="1" applyFill="1" applyBorder="1" applyAlignment="1" applyProtection="1">
      <alignment horizontal="right" vertical="center"/>
      <protection locked="0"/>
    </xf>
    <xf numFmtId="194" fontId="157" fillId="6" borderId="5" xfId="4" applyNumberFormat="1" applyFont="1" applyFill="1" applyBorder="1" applyAlignment="1" applyProtection="1">
      <alignment horizontal="center" vertical="center"/>
      <protection locked="0"/>
    </xf>
    <xf numFmtId="194" fontId="157" fillId="6" borderId="8" xfId="4" applyNumberFormat="1" applyFont="1" applyFill="1" applyBorder="1" applyAlignment="1" applyProtection="1">
      <alignment horizontal="center" vertical="center"/>
      <protection locked="0"/>
    </xf>
    <xf numFmtId="194" fontId="157" fillId="6" borderId="9" xfId="4" applyNumberFormat="1" applyFont="1" applyFill="1" applyBorder="1" applyAlignment="1" applyProtection="1">
      <alignment horizontal="center" vertical="center"/>
      <protection locked="0"/>
    </xf>
    <xf numFmtId="194" fontId="157" fillId="6" borderId="2" xfId="4" applyNumberFormat="1" applyFont="1" applyFill="1" applyBorder="1" applyAlignment="1" applyProtection="1">
      <alignment horizontal="center" vertical="center"/>
      <protection locked="0"/>
    </xf>
    <xf numFmtId="9" fontId="157" fillId="6" borderId="9" xfId="20" applyFont="1" applyFill="1" applyBorder="1" applyAlignment="1" applyProtection="1">
      <alignment horizontal="center" vertical="center"/>
      <protection locked="0"/>
    </xf>
  </cellXfs>
  <cellStyles count="21">
    <cellStyle name="百分比 2" xfId="11"/>
    <cellStyle name="百分比 3" xfId="20"/>
    <cellStyle name="常规" xfId="0" builtinId="0"/>
    <cellStyle name="常规 10" xfId="16"/>
    <cellStyle name="常规 16" xfId="1"/>
    <cellStyle name="常规 2" xfId="2"/>
    <cellStyle name="常规 2 10" xfId="17"/>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10 11 5" xfId="19"/>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2</xdr:row>
      <xdr:rowOff>76200</xdr:rowOff>
    </xdr:from>
    <xdr:to>
      <xdr:col>13</xdr:col>
      <xdr:colOff>475660</xdr:colOff>
      <xdr:row>27</xdr:row>
      <xdr:rowOff>28046</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391150" y="419100"/>
          <a:ext cx="4723810" cy="4238096"/>
        </a:xfrm>
        <a:prstGeom prst="rect">
          <a:avLst/>
        </a:prstGeom>
      </xdr:spPr>
    </xdr:pic>
    <xdr:clientData/>
  </xdr:twoCellAnchor>
  <xdr:twoCellAnchor editAs="oneCell">
    <xdr:from>
      <xdr:col>5</xdr:col>
      <xdr:colOff>495300</xdr:colOff>
      <xdr:row>29</xdr:row>
      <xdr:rowOff>76200</xdr:rowOff>
    </xdr:from>
    <xdr:to>
      <xdr:col>15</xdr:col>
      <xdr:colOff>675336</xdr:colOff>
      <xdr:row>59</xdr:row>
      <xdr:rowOff>94605</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171950" y="5048250"/>
          <a:ext cx="7514286" cy="5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61</xdr:row>
      <xdr:rowOff>38100</xdr:rowOff>
    </xdr:from>
    <xdr:to>
      <xdr:col>7</xdr:col>
      <xdr:colOff>180036</xdr:colOff>
      <xdr:row>99</xdr:row>
      <xdr:rowOff>103998</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228600" y="9915525"/>
          <a:ext cx="7514286" cy="6219048"/>
        </a:xfrm>
        <a:prstGeom prst="rect">
          <a:avLst/>
        </a:prstGeom>
      </xdr:spPr>
    </xdr:pic>
    <xdr:clientData/>
  </xdr:twoCellAnchor>
  <xdr:twoCellAnchor editAs="oneCell">
    <xdr:from>
      <xdr:col>0</xdr:col>
      <xdr:colOff>133350</xdr:colOff>
      <xdr:row>102</xdr:row>
      <xdr:rowOff>104775</xdr:rowOff>
    </xdr:from>
    <xdr:to>
      <xdr:col>8</xdr:col>
      <xdr:colOff>541823</xdr:colOff>
      <xdr:row>140</xdr:row>
      <xdr:rowOff>46864</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350" y="16621125"/>
          <a:ext cx="8819048" cy="6095239"/>
        </a:xfrm>
        <a:prstGeom prst="rect">
          <a:avLst/>
        </a:prstGeom>
      </xdr:spPr>
    </xdr:pic>
    <xdr:clientData/>
  </xdr:twoCellAnchor>
  <xdr:twoCellAnchor editAs="oneCell">
    <xdr:from>
      <xdr:col>9</xdr:col>
      <xdr:colOff>257175</xdr:colOff>
      <xdr:row>105</xdr:row>
      <xdr:rowOff>57150</xdr:rowOff>
    </xdr:from>
    <xdr:to>
      <xdr:col>14</xdr:col>
      <xdr:colOff>887142</xdr:colOff>
      <xdr:row>125</xdr:row>
      <xdr:rowOff>161507</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9353550" y="17059275"/>
          <a:ext cx="4704762" cy="3342857"/>
        </a:xfrm>
        <a:prstGeom prst="rect">
          <a:avLst/>
        </a:prstGeom>
      </xdr:spPr>
    </xdr:pic>
    <xdr:clientData/>
  </xdr:twoCellAnchor>
  <xdr:twoCellAnchor editAs="oneCell">
    <xdr:from>
      <xdr:col>0</xdr:col>
      <xdr:colOff>66675</xdr:colOff>
      <xdr:row>141</xdr:row>
      <xdr:rowOff>123825</xdr:rowOff>
    </xdr:from>
    <xdr:to>
      <xdr:col>8</xdr:col>
      <xdr:colOff>237053</xdr:colOff>
      <xdr:row>179</xdr:row>
      <xdr:rowOff>94485</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66675" y="22955250"/>
          <a:ext cx="8580953" cy="6123810"/>
        </a:xfrm>
        <a:prstGeom prst="rect">
          <a:avLst/>
        </a:prstGeom>
      </xdr:spPr>
    </xdr:pic>
    <xdr:clientData/>
  </xdr:twoCellAnchor>
  <xdr:twoCellAnchor editAs="oneCell">
    <xdr:from>
      <xdr:col>9</xdr:col>
      <xdr:colOff>0</xdr:colOff>
      <xdr:row>144</xdr:row>
      <xdr:rowOff>0</xdr:rowOff>
    </xdr:from>
    <xdr:to>
      <xdr:col>14</xdr:col>
      <xdr:colOff>268062</xdr:colOff>
      <xdr:row>165</xdr:row>
      <xdr:rowOff>56718</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9096375" y="23317200"/>
          <a:ext cx="4342857" cy="3457143"/>
        </a:xfrm>
        <a:prstGeom prst="rect">
          <a:avLst/>
        </a:prstGeom>
      </xdr:spPr>
    </xdr:pic>
    <xdr:clientData/>
  </xdr:twoCellAnchor>
  <xdr:twoCellAnchor editAs="oneCell">
    <xdr:from>
      <xdr:col>0</xdr:col>
      <xdr:colOff>66675</xdr:colOff>
      <xdr:row>181</xdr:row>
      <xdr:rowOff>28575</xdr:rowOff>
    </xdr:from>
    <xdr:to>
      <xdr:col>9</xdr:col>
      <xdr:colOff>36967</xdr:colOff>
      <xdr:row>219</xdr:row>
      <xdr:rowOff>37330</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66675" y="29337000"/>
          <a:ext cx="9066667" cy="6161905"/>
        </a:xfrm>
        <a:prstGeom prst="rect">
          <a:avLst/>
        </a:prstGeom>
      </xdr:spPr>
    </xdr:pic>
    <xdr:clientData/>
  </xdr:twoCellAnchor>
  <xdr:twoCellAnchor editAs="oneCell">
    <xdr:from>
      <xdr:col>9</xdr:col>
      <xdr:colOff>628650</xdr:colOff>
      <xdr:row>183</xdr:row>
      <xdr:rowOff>114300</xdr:rowOff>
    </xdr:from>
    <xdr:to>
      <xdr:col>14</xdr:col>
      <xdr:colOff>1807191</xdr:colOff>
      <xdr:row>204</xdr:row>
      <xdr:rowOff>113875</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9725025" y="29746575"/>
          <a:ext cx="5238096" cy="3400000"/>
        </a:xfrm>
        <a:prstGeom prst="rect">
          <a:avLst/>
        </a:prstGeom>
      </xdr:spPr>
    </xdr:pic>
    <xdr:clientData/>
  </xdr:twoCellAnchor>
  <xdr:twoCellAnchor>
    <xdr:from>
      <xdr:col>0</xdr:col>
      <xdr:colOff>1463040</xdr:colOff>
      <xdr:row>78</xdr:row>
      <xdr:rowOff>83820</xdr:rowOff>
    </xdr:from>
    <xdr:to>
      <xdr:col>1</xdr:col>
      <xdr:colOff>358140</xdr:colOff>
      <xdr:row>79</xdr:row>
      <xdr:rowOff>121920</xdr:rowOff>
    </xdr:to>
    <xdr:sp macro="" textlink="">
      <xdr:nvSpPr>
        <xdr:cNvPr id="10" name="TextBox 9">
          <a:extLst>
            <a:ext uri="{FF2B5EF4-FFF2-40B4-BE49-F238E27FC236}">
              <a16:creationId xmlns="" xmlns:a16="http://schemas.microsoft.com/office/drawing/2014/main" id="{00000000-0008-0000-1300-00000A000000}"/>
            </a:ext>
          </a:extLst>
        </xdr:cNvPr>
        <xdr:cNvSpPr txBox="1"/>
      </xdr:nvSpPr>
      <xdr:spPr>
        <a:xfrm>
          <a:off x="1463040" y="13159740"/>
          <a:ext cx="102108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2020-1.8-5765</a:t>
          </a:r>
          <a:endParaRPr lang="zh-CN" altLang="en-US" sz="1100"/>
        </a:p>
      </xdr:txBody>
    </xdr:sp>
    <xdr:clientData/>
  </xdr:twoCellAnchor>
  <xdr:twoCellAnchor>
    <xdr:from>
      <xdr:col>2</xdr:col>
      <xdr:colOff>678180</xdr:colOff>
      <xdr:row>80</xdr:row>
      <xdr:rowOff>0</xdr:rowOff>
    </xdr:from>
    <xdr:to>
      <xdr:col>3</xdr:col>
      <xdr:colOff>784860</xdr:colOff>
      <xdr:row>81</xdr:row>
      <xdr:rowOff>68580</xdr:rowOff>
    </xdr:to>
    <xdr:sp macro="" textlink="">
      <xdr:nvSpPr>
        <xdr:cNvPr id="11" name="TextBox 10">
          <a:extLst>
            <a:ext uri="{FF2B5EF4-FFF2-40B4-BE49-F238E27FC236}">
              <a16:creationId xmlns="" xmlns:a16="http://schemas.microsoft.com/office/drawing/2014/main" id="{00000000-0008-0000-1300-00000B000000}"/>
            </a:ext>
          </a:extLst>
        </xdr:cNvPr>
        <xdr:cNvSpPr txBox="1"/>
      </xdr:nvSpPr>
      <xdr:spPr>
        <a:xfrm>
          <a:off x="3230880" y="13411200"/>
          <a:ext cx="105918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2020-2-12896</a:t>
          </a:r>
          <a:endParaRPr lang="zh-CN" altLang="en-US" sz="1100"/>
        </a:p>
      </xdr:txBody>
    </xdr:sp>
    <xdr:clientData/>
  </xdr:twoCellAnchor>
  <xdr:twoCellAnchor>
    <xdr:from>
      <xdr:col>3</xdr:col>
      <xdr:colOff>228600</xdr:colOff>
      <xdr:row>75</xdr:row>
      <xdr:rowOff>38100</xdr:rowOff>
    </xdr:from>
    <xdr:to>
      <xdr:col>4</xdr:col>
      <xdr:colOff>320040</xdr:colOff>
      <xdr:row>76</xdr:row>
      <xdr:rowOff>83820</xdr:rowOff>
    </xdr:to>
    <xdr:sp macro="" textlink="">
      <xdr:nvSpPr>
        <xdr:cNvPr id="12" name="TextBox 11">
          <a:extLst>
            <a:ext uri="{FF2B5EF4-FFF2-40B4-BE49-F238E27FC236}">
              <a16:creationId xmlns="" xmlns:a16="http://schemas.microsoft.com/office/drawing/2014/main" id="{00000000-0008-0000-1300-00000C000000}"/>
            </a:ext>
          </a:extLst>
        </xdr:cNvPr>
        <xdr:cNvSpPr txBox="1"/>
      </xdr:nvSpPr>
      <xdr:spPr>
        <a:xfrm>
          <a:off x="3733800" y="12611100"/>
          <a:ext cx="104394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2019-2.1-6627</a:t>
          </a:r>
          <a:endParaRPr lang="zh-CN" altLang="en-US" sz="1100"/>
        </a:p>
      </xdr:txBody>
    </xdr:sp>
    <xdr:clientData/>
  </xdr:twoCellAnchor>
  <xdr:twoCellAnchor>
    <xdr:from>
      <xdr:col>4</xdr:col>
      <xdr:colOff>68580</xdr:colOff>
      <xdr:row>85</xdr:row>
      <xdr:rowOff>0</xdr:rowOff>
    </xdr:from>
    <xdr:to>
      <xdr:col>5</xdr:col>
      <xdr:colOff>38100</xdr:colOff>
      <xdr:row>86</xdr:row>
      <xdr:rowOff>53340</xdr:rowOff>
    </xdr:to>
    <xdr:sp macro="" textlink="">
      <xdr:nvSpPr>
        <xdr:cNvPr id="13" name="TextBox 12">
          <a:extLst>
            <a:ext uri="{FF2B5EF4-FFF2-40B4-BE49-F238E27FC236}">
              <a16:creationId xmlns="" xmlns:a16="http://schemas.microsoft.com/office/drawing/2014/main" id="{00000000-0008-0000-1300-00000D000000}"/>
            </a:ext>
          </a:extLst>
        </xdr:cNvPr>
        <xdr:cNvSpPr txBox="1"/>
      </xdr:nvSpPr>
      <xdr:spPr>
        <a:xfrm>
          <a:off x="4526280" y="14249400"/>
          <a:ext cx="92202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2020-2-4186</a:t>
          </a:r>
          <a:endParaRPr lang="zh-CN" altLang="en-US" sz="1100"/>
        </a:p>
      </xdr:txBody>
    </xdr:sp>
    <xdr:clientData/>
  </xdr:twoCellAnchor>
  <xdr:twoCellAnchor>
    <xdr:from>
      <xdr:col>4</xdr:col>
      <xdr:colOff>403860</xdr:colOff>
      <xdr:row>91</xdr:row>
      <xdr:rowOff>38100</xdr:rowOff>
    </xdr:from>
    <xdr:to>
      <xdr:col>5</xdr:col>
      <xdr:colOff>381000</xdr:colOff>
      <xdr:row>92</xdr:row>
      <xdr:rowOff>83820</xdr:rowOff>
    </xdr:to>
    <xdr:sp macro="" textlink="">
      <xdr:nvSpPr>
        <xdr:cNvPr id="14" name="TextBox 13">
          <a:extLst>
            <a:ext uri="{FF2B5EF4-FFF2-40B4-BE49-F238E27FC236}">
              <a16:creationId xmlns="" xmlns:a16="http://schemas.microsoft.com/office/drawing/2014/main" id="{00000000-0008-0000-1300-00000E000000}"/>
            </a:ext>
          </a:extLst>
        </xdr:cNvPr>
        <xdr:cNvSpPr txBox="1"/>
      </xdr:nvSpPr>
      <xdr:spPr>
        <a:xfrm>
          <a:off x="4861560" y="15293340"/>
          <a:ext cx="92964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2020-2-6140</a:t>
          </a:r>
          <a:endParaRPr lang="zh-CN" altLang="en-US" sz="1100"/>
        </a:p>
      </xdr:txBody>
    </xdr:sp>
    <xdr:clientData/>
  </xdr:twoCellAnchor>
  <xdr:twoCellAnchor>
    <xdr:from>
      <xdr:col>4</xdr:col>
      <xdr:colOff>22860</xdr:colOff>
      <xdr:row>77</xdr:row>
      <xdr:rowOff>60960</xdr:rowOff>
    </xdr:from>
    <xdr:to>
      <xdr:col>5</xdr:col>
      <xdr:colOff>205740</xdr:colOff>
      <xdr:row>78</xdr:row>
      <xdr:rowOff>114300</xdr:rowOff>
    </xdr:to>
    <xdr:sp macro="" textlink="">
      <xdr:nvSpPr>
        <xdr:cNvPr id="15" name="TextBox 14">
          <a:extLst>
            <a:ext uri="{FF2B5EF4-FFF2-40B4-BE49-F238E27FC236}">
              <a16:creationId xmlns="" xmlns:a16="http://schemas.microsoft.com/office/drawing/2014/main" id="{00000000-0008-0000-1300-00000F000000}"/>
            </a:ext>
          </a:extLst>
        </xdr:cNvPr>
        <xdr:cNvSpPr txBox="1"/>
      </xdr:nvSpPr>
      <xdr:spPr>
        <a:xfrm>
          <a:off x="4480560" y="12969240"/>
          <a:ext cx="11353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2019-1.5-12922</a:t>
          </a:r>
          <a:endParaRPr lang="zh-CN" altLang="en-US" sz="1100"/>
        </a:p>
      </xdr:txBody>
    </xdr:sp>
    <xdr:clientData/>
  </xdr:twoCellAnchor>
  <xdr:twoCellAnchor>
    <xdr:from>
      <xdr:col>4</xdr:col>
      <xdr:colOff>769620</xdr:colOff>
      <xdr:row>80</xdr:row>
      <xdr:rowOff>106680</xdr:rowOff>
    </xdr:from>
    <xdr:to>
      <xdr:col>6</xdr:col>
      <xdr:colOff>22860</xdr:colOff>
      <xdr:row>81</xdr:row>
      <xdr:rowOff>144780</xdr:rowOff>
    </xdr:to>
    <xdr:sp macro="" textlink="">
      <xdr:nvSpPr>
        <xdr:cNvPr id="16" name="TextBox 15">
          <a:extLst>
            <a:ext uri="{FF2B5EF4-FFF2-40B4-BE49-F238E27FC236}">
              <a16:creationId xmlns="" xmlns:a16="http://schemas.microsoft.com/office/drawing/2014/main" id="{00000000-0008-0000-1300-000010000000}"/>
            </a:ext>
          </a:extLst>
        </xdr:cNvPr>
        <xdr:cNvSpPr txBox="1"/>
      </xdr:nvSpPr>
      <xdr:spPr>
        <a:xfrm>
          <a:off x="5227320" y="13517880"/>
          <a:ext cx="105918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2019-2.2-8996</a:t>
          </a:r>
          <a:endParaRPr lang="zh-CN" altLang="en-US" sz="1100"/>
        </a:p>
      </xdr:txBody>
    </xdr:sp>
    <xdr:clientData/>
  </xdr:twoCellAnchor>
  <xdr:twoCellAnchor>
    <xdr:from>
      <xdr:col>4</xdr:col>
      <xdr:colOff>190500</xdr:colOff>
      <xdr:row>72</xdr:row>
      <xdr:rowOff>22860</xdr:rowOff>
    </xdr:from>
    <xdr:to>
      <xdr:col>5</xdr:col>
      <xdr:colOff>388620</xdr:colOff>
      <xdr:row>73</xdr:row>
      <xdr:rowOff>53340</xdr:rowOff>
    </xdr:to>
    <xdr:sp macro="" textlink="">
      <xdr:nvSpPr>
        <xdr:cNvPr id="17" name="TextBox 16">
          <a:extLst>
            <a:ext uri="{FF2B5EF4-FFF2-40B4-BE49-F238E27FC236}">
              <a16:creationId xmlns="" xmlns:a16="http://schemas.microsoft.com/office/drawing/2014/main" id="{00000000-0008-0000-1300-000011000000}"/>
            </a:ext>
          </a:extLst>
        </xdr:cNvPr>
        <xdr:cNvSpPr txBox="1"/>
      </xdr:nvSpPr>
      <xdr:spPr>
        <a:xfrm>
          <a:off x="4648200" y="12092940"/>
          <a:ext cx="1150620" cy="198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2020-1.5-11256</a:t>
          </a:r>
          <a:endParaRPr lang="zh-CN" altLang="en-US" sz="1100"/>
        </a:p>
      </xdr:txBody>
    </xdr:sp>
    <xdr:clientData/>
  </xdr:twoCellAnchor>
  <xdr:twoCellAnchor>
    <xdr:from>
      <xdr:col>5</xdr:col>
      <xdr:colOff>419100</xdr:colOff>
      <xdr:row>91</xdr:row>
      <xdr:rowOff>15240</xdr:rowOff>
    </xdr:from>
    <xdr:to>
      <xdr:col>6</xdr:col>
      <xdr:colOff>472440</xdr:colOff>
      <xdr:row>92</xdr:row>
      <xdr:rowOff>91440</xdr:rowOff>
    </xdr:to>
    <xdr:sp macro="" textlink="">
      <xdr:nvSpPr>
        <xdr:cNvPr id="18" name="TextBox 17">
          <a:extLst>
            <a:ext uri="{FF2B5EF4-FFF2-40B4-BE49-F238E27FC236}">
              <a16:creationId xmlns="" xmlns:a16="http://schemas.microsoft.com/office/drawing/2014/main" id="{00000000-0008-0000-1300-000012000000}"/>
            </a:ext>
          </a:extLst>
        </xdr:cNvPr>
        <xdr:cNvSpPr txBox="1"/>
      </xdr:nvSpPr>
      <xdr:spPr>
        <a:xfrm>
          <a:off x="5829300" y="15270480"/>
          <a:ext cx="90678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2019-2-5755</a:t>
          </a:r>
          <a:endParaRPr lang="zh-CN" altLang="en-US" sz="1100"/>
        </a:p>
      </xdr:txBody>
    </xdr:sp>
    <xdr:clientData/>
  </xdr:twoCellAnchor>
  <xdr:twoCellAnchor>
    <xdr:from>
      <xdr:col>5</xdr:col>
      <xdr:colOff>350520</xdr:colOff>
      <xdr:row>87</xdr:row>
      <xdr:rowOff>152400</xdr:rowOff>
    </xdr:from>
    <xdr:to>
      <xdr:col>6</xdr:col>
      <xdr:colOff>403860</xdr:colOff>
      <xdr:row>89</xdr:row>
      <xdr:rowOff>60960</xdr:rowOff>
    </xdr:to>
    <xdr:sp macro="" textlink="">
      <xdr:nvSpPr>
        <xdr:cNvPr id="19" name="TextBox 18">
          <a:extLst>
            <a:ext uri="{FF2B5EF4-FFF2-40B4-BE49-F238E27FC236}">
              <a16:creationId xmlns="" xmlns:a16="http://schemas.microsoft.com/office/drawing/2014/main" id="{00000000-0008-0000-1300-000013000000}"/>
            </a:ext>
          </a:extLst>
        </xdr:cNvPr>
        <xdr:cNvSpPr txBox="1"/>
      </xdr:nvSpPr>
      <xdr:spPr>
        <a:xfrm>
          <a:off x="5760720" y="14737080"/>
          <a:ext cx="90678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2019-2-5840</a:t>
          </a:r>
          <a:endParaRPr lang="zh-CN" altLang="en-US" sz="1100"/>
        </a:p>
      </xdr:txBody>
    </xdr:sp>
    <xdr:clientData/>
  </xdr:twoCellAnchor>
  <xdr:twoCellAnchor>
    <xdr:from>
      <xdr:col>5</xdr:col>
      <xdr:colOff>525780</xdr:colOff>
      <xdr:row>77</xdr:row>
      <xdr:rowOff>38100</xdr:rowOff>
    </xdr:from>
    <xdr:to>
      <xdr:col>7</xdr:col>
      <xdr:colOff>198120</xdr:colOff>
      <xdr:row>78</xdr:row>
      <xdr:rowOff>114300</xdr:rowOff>
    </xdr:to>
    <xdr:sp macro="" textlink="">
      <xdr:nvSpPr>
        <xdr:cNvPr id="20" name="TextBox 19">
          <a:extLst>
            <a:ext uri="{FF2B5EF4-FFF2-40B4-BE49-F238E27FC236}">
              <a16:creationId xmlns="" xmlns:a16="http://schemas.microsoft.com/office/drawing/2014/main" id="{00000000-0008-0000-1300-000014000000}"/>
            </a:ext>
          </a:extLst>
        </xdr:cNvPr>
        <xdr:cNvSpPr txBox="1"/>
      </xdr:nvSpPr>
      <xdr:spPr>
        <a:xfrm>
          <a:off x="5935980" y="12946380"/>
          <a:ext cx="106680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2020-2.5-6607</a:t>
          </a:r>
          <a:endParaRPr lang="zh-CN" altLang="en-US" sz="1100"/>
        </a:p>
      </xdr:txBody>
    </xdr:sp>
    <xdr:clientData/>
  </xdr:twoCellAnchor>
  <xdr:twoCellAnchor>
    <xdr:from>
      <xdr:col>3</xdr:col>
      <xdr:colOff>670560</xdr:colOff>
      <xdr:row>66</xdr:row>
      <xdr:rowOff>76200</xdr:rowOff>
    </xdr:from>
    <xdr:to>
      <xdr:col>4</xdr:col>
      <xdr:colOff>746760</xdr:colOff>
      <xdr:row>67</xdr:row>
      <xdr:rowOff>137160</xdr:rowOff>
    </xdr:to>
    <xdr:sp macro="" textlink="">
      <xdr:nvSpPr>
        <xdr:cNvPr id="21" name="TextBox 20">
          <a:extLst>
            <a:ext uri="{FF2B5EF4-FFF2-40B4-BE49-F238E27FC236}">
              <a16:creationId xmlns="" xmlns:a16="http://schemas.microsoft.com/office/drawing/2014/main" id="{00000000-0008-0000-1300-000015000000}"/>
            </a:ext>
          </a:extLst>
        </xdr:cNvPr>
        <xdr:cNvSpPr txBox="1"/>
      </xdr:nvSpPr>
      <xdr:spPr>
        <a:xfrm>
          <a:off x="4175760" y="11140440"/>
          <a:ext cx="10287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2020-2.2-8174</a:t>
          </a:r>
          <a:endParaRPr lang="zh-CN" altLang="en-US" sz="1100"/>
        </a:p>
      </xdr:txBody>
    </xdr:sp>
    <xdr:clientData/>
  </xdr:twoCellAnchor>
  <xdr:twoCellAnchor>
    <xdr:from>
      <xdr:col>0</xdr:col>
      <xdr:colOff>632460</xdr:colOff>
      <xdr:row>89</xdr:row>
      <xdr:rowOff>129540</xdr:rowOff>
    </xdr:from>
    <xdr:to>
      <xdr:col>0</xdr:col>
      <xdr:colOff>1592580</xdr:colOff>
      <xdr:row>91</xdr:row>
      <xdr:rowOff>45720</xdr:rowOff>
    </xdr:to>
    <xdr:sp macro="" textlink="">
      <xdr:nvSpPr>
        <xdr:cNvPr id="22" name="TextBox 21">
          <a:extLst>
            <a:ext uri="{FF2B5EF4-FFF2-40B4-BE49-F238E27FC236}">
              <a16:creationId xmlns="" xmlns:a16="http://schemas.microsoft.com/office/drawing/2014/main" id="{00000000-0008-0000-1300-000016000000}"/>
            </a:ext>
          </a:extLst>
        </xdr:cNvPr>
        <xdr:cNvSpPr txBox="1"/>
      </xdr:nvSpPr>
      <xdr:spPr>
        <a:xfrm>
          <a:off x="632460" y="15049500"/>
          <a:ext cx="96012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2019-2-4552</a:t>
          </a:r>
          <a:endParaRPr lang="zh-CN" altLang="en-US" sz="1100"/>
        </a:p>
      </xdr:txBody>
    </xdr:sp>
    <xdr:clientData/>
  </xdr:twoCellAnchor>
  <xdr:twoCellAnchor editAs="oneCell">
    <xdr:from>
      <xdr:col>8</xdr:col>
      <xdr:colOff>0</xdr:colOff>
      <xdr:row>61</xdr:row>
      <xdr:rowOff>0</xdr:rowOff>
    </xdr:from>
    <xdr:to>
      <xdr:col>15</xdr:col>
      <xdr:colOff>305384</xdr:colOff>
      <xdr:row>93</xdr:row>
      <xdr:rowOff>8086</xdr:rowOff>
    </xdr:to>
    <xdr:pic>
      <xdr:nvPicPr>
        <xdr:cNvPr id="23" name="图片 22">
          <a:extLst>
            <a:ext uri="{FF2B5EF4-FFF2-40B4-BE49-F238E27FC236}">
              <a16:creationId xmlns="" xmlns:a16="http://schemas.microsoft.com/office/drawing/2014/main" id="{00000000-0008-0000-1300-000017000000}"/>
            </a:ext>
          </a:extLst>
        </xdr:cNvPr>
        <xdr:cNvPicPr>
          <a:picLocks noChangeAspect="1"/>
        </xdr:cNvPicPr>
      </xdr:nvPicPr>
      <xdr:blipFill>
        <a:blip xmlns:r="http://schemas.openxmlformats.org/officeDocument/2006/relationships" r:embed="rId8"/>
        <a:stretch>
          <a:fillRect/>
        </a:stretch>
      </xdr:blipFill>
      <xdr:spPr>
        <a:xfrm>
          <a:off x="7566660" y="10226040"/>
          <a:ext cx="6736664" cy="5372566"/>
        </a:xfrm>
        <a:prstGeom prst="rect">
          <a:avLst/>
        </a:prstGeom>
      </xdr:spPr>
    </xdr:pic>
    <xdr:clientData/>
  </xdr:twoCellAnchor>
  <xdr:twoCellAnchor>
    <xdr:from>
      <xdr:col>9</xdr:col>
      <xdr:colOff>38100</xdr:colOff>
      <xdr:row>66</xdr:row>
      <xdr:rowOff>137160</xdr:rowOff>
    </xdr:from>
    <xdr:to>
      <xdr:col>10</xdr:col>
      <xdr:colOff>449580</xdr:colOff>
      <xdr:row>68</xdr:row>
      <xdr:rowOff>53340</xdr:rowOff>
    </xdr:to>
    <xdr:sp macro="" textlink="">
      <xdr:nvSpPr>
        <xdr:cNvPr id="24" name="TextBox 23">
          <a:extLst>
            <a:ext uri="{FF2B5EF4-FFF2-40B4-BE49-F238E27FC236}">
              <a16:creationId xmlns="" xmlns:a16="http://schemas.microsoft.com/office/drawing/2014/main" id="{00000000-0008-0000-1300-000018000000}"/>
            </a:ext>
          </a:extLst>
        </xdr:cNvPr>
        <xdr:cNvSpPr txBox="1"/>
      </xdr:nvSpPr>
      <xdr:spPr>
        <a:xfrm>
          <a:off x="8221980" y="11201400"/>
          <a:ext cx="1028700" cy="251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2018-2.2-2421</a:t>
          </a:r>
          <a:endParaRPr lang="zh-CN" altLang="en-US" sz="1100"/>
        </a:p>
      </xdr:txBody>
    </xdr:sp>
    <xdr:clientData/>
  </xdr:twoCellAnchor>
  <xdr:twoCellAnchor>
    <xdr:from>
      <xdr:col>9</xdr:col>
      <xdr:colOff>510540</xdr:colOff>
      <xdr:row>71</xdr:row>
      <xdr:rowOff>99060</xdr:rowOff>
    </xdr:from>
    <xdr:to>
      <xdr:col>11</xdr:col>
      <xdr:colOff>243840</xdr:colOff>
      <xdr:row>72</xdr:row>
      <xdr:rowOff>160020</xdr:rowOff>
    </xdr:to>
    <xdr:sp macro="" textlink="">
      <xdr:nvSpPr>
        <xdr:cNvPr id="25" name="TextBox 24">
          <a:extLst>
            <a:ext uri="{FF2B5EF4-FFF2-40B4-BE49-F238E27FC236}">
              <a16:creationId xmlns="" xmlns:a16="http://schemas.microsoft.com/office/drawing/2014/main" id="{00000000-0008-0000-1300-000019000000}"/>
            </a:ext>
          </a:extLst>
        </xdr:cNvPr>
        <xdr:cNvSpPr txBox="1"/>
      </xdr:nvSpPr>
      <xdr:spPr>
        <a:xfrm>
          <a:off x="8694420" y="12001500"/>
          <a:ext cx="108204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2017-1.8-6221</a:t>
          </a:r>
          <a:endParaRPr lang="zh-CN" altLang="en-US" sz="1100"/>
        </a:p>
      </xdr:txBody>
    </xdr:sp>
    <xdr:clientData/>
  </xdr:twoCellAnchor>
  <xdr:twoCellAnchor>
    <xdr:from>
      <xdr:col>11</xdr:col>
      <xdr:colOff>335280</xdr:colOff>
      <xdr:row>70</xdr:row>
      <xdr:rowOff>114300</xdr:rowOff>
    </xdr:from>
    <xdr:to>
      <xdr:col>12</xdr:col>
      <xdr:colOff>624840</xdr:colOff>
      <xdr:row>72</xdr:row>
      <xdr:rowOff>0</xdr:rowOff>
    </xdr:to>
    <xdr:sp macro="" textlink="">
      <xdr:nvSpPr>
        <xdr:cNvPr id="26" name="TextBox 25">
          <a:extLst>
            <a:ext uri="{FF2B5EF4-FFF2-40B4-BE49-F238E27FC236}">
              <a16:creationId xmlns="" xmlns:a16="http://schemas.microsoft.com/office/drawing/2014/main" id="{00000000-0008-0000-1300-00001A000000}"/>
            </a:ext>
          </a:extLst>
        </xdr:cNvPr>
        <xdr:cNvSpPr txBox="1"/>
      </xdr:nvSpPr>
      <xdr:spPr>
        <a:xfrm>
          <a:off x="9867900" y="11849100"/>
          <a:ext cx="10210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2018-2.2-6630</a:t>
          </a:r>
          <a:endParaRPr lang="zh-CN" altLang="en-US" sz="1100"/>
        </a:p>
      </xdr:txBody>
    </xdr:sp>
    <xdr:clientData/>
  </xdr:twoCellAnchor>
  <xdr:twoCellAnchor>
    <xdr:from>
      <xdr:col>11</xdr:col>
      <xdr:colOff>502920</xdr:colOff>
      <xdr:row>75</xdr:row>
      <xdr:rowOff>60960</xdr:rowOff>
    </xdr:from>
    <xdr:to>
      <xdr:col>12</xdr:col>
      <xdr:colOff>853440</xdr:colOff>
      <xdr:row>76</xdr:row>
      <xdr:rowOff>137160</xdr:rowOff>
    </xdr:to>
    <xdr:sp macro="" textlink="">
      <xdr:nvSpPr>
        <xdr:cNvPr id="27" name="TextBox 26">
          <a:extLst>
            <a:ext uri="{FF2B5EF4-FFF2-40B4-BE49-F238E27FC236}">
              <a16:creationId xmlns="" xmlns:a16="http://schemas.microsoft.com/office/drawing/2014/main" id="{00000000-0008-0000-1300-00001B000000}"/>
            </a:ext>
          </a:extLst>
        </xdr:cNvPr>
        <xdr:cNvSpPr txBox="1"/>
      </xdr:nvSpPr>
      <xdr:spPr>
        <a:xfrm>
          <a:off x="10035540" y="12633960"/>
          <a:ext cx="1082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2018-1.5-4558</a:t>
          </a:r>
          <a:endParaRPr lang="zh-CN" altLang="en-US" sz="1100"/>
        </a:p>
      </xdr:txBody>
    </xdr:sp>
    <xdr:clientData/>
  </xdr:twoCellAnchor>
  <xdr:twoCellAnchor>
    <xdr:from>
      <xdr:col>13</xdr:col>
      <xdr:colOff>114300</xdr:colOff>
      <xdr:row>72</xdr:row>
      <xdr:rowOff>7620</xdr:rowOff>
    </xdr:from>
    <xdr:to>
      <xdr:col>14</xdr:col>
      <xdr:colOff>944880</xdr:colOff>
      <xdr:row>73</xdr:row>
      <xdr:rowOff>76200</xdr:rowOff>
    </xdr:to>
    <xdr:sp macro="" textlink="">
      <xdr:nvSpPr>
        <xdr:cNvPr id="28" name="TextBox 27">
          <a:extLst>
            <a:ext uri="{FF2B5EF4-FFF2-40B4-BE49-F238E27FC236}">
              <a16:creationId xmlns="" xmlns:a16="http://schemas.microsoft.com/office/drawing/2014/main" id="{00000000-0008-0000-1300-00001C000000}"/>
            </a:ext>
          </a:extLst>
        </xdr:cNvPr>
        <xdr:cNvSpPr txBox="1"/>
      </xdr:nvSpPr>
      <xdr:spPr>
        <a:xfrm>
          <a:off x="11361420" y="12077700"/>
          <a:ext cx="125730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2018-1.44-11933</a:t>
          </a:r>
          <a:endParaRPr lang="zh-CN" altLang="en-US" sz="1100"/>
        </a:p>
      </xdr:txBody>
    </xdr:sp>
    <xdr:clientData/>
  </xdr:twoCellAnchor>
  <xdr:twoCellAnchor>
    <xdr:from>
      <xdr:col>13</xdr:col>
      <xdr:colOff>251460</xdr:colOff>
      <xdr:row>84</xdr:row>
      <xdr:rowOff>106680</xdr:rowOff>
    </xdr:from>
    <xdr:to>
      <xdr:col>14</xdr:col>
      <xdr:colOff>944880</xdr:colOff>
      <xdr:row>86</xdr:row>
      <xdr:rowOff>30480</xdr:rowOff>
    </xdr:to>
    <xdr:sp macro="" textlink="">
      <xdr:nvSpPr>
        <xdr:cNvPr id="29" name="TextBox 28">
          <a:extLst>
            <a:ext uri="{FF2B5EF4-FFF2-40B4-BE49-F238E27FC236}">
              <a16:creationId xmlns="" xmlns:a16="http://schemas.microsoft.com/office/drawing/2014/main" id="{00000000-0008-0000-1300-00001D000000}"/>
            </a:ext>
          </a:extLst>
        </xdr:cNvPr>
        <xdr:cNvSpPr txBox="1"/>
      </xdr:nvSpPr>
      <xdr:spPr>
        <a:xfrm>
          <a:off x="11498580" y="14188440"/>
          <a:ext cx="112014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2018-1.8-5699</a:t>
          </a:r>
          <a:endParaRPr lang="zh-CN" altLang="en-US" sz="1100"/>
        </a:p>
      </xdr:txBody>
    </xdr:sp>
    <xdr:clientData/>
  </xdr:twoCellAnchor>
  <xdr:twoCellAnchor>
    <xdr:from>
      <xdr:col>11</xdr:col>
      <xdr:colOff>342900</xdr:colOff>
      <xdr:row>83</xdr:row>
      <xdr:rowOff>121920</xdr:rowOff>
    </xdr:from>
    <xdr:to>
      <xdr:col>12</xdr:col>
      <xdr:colOff>708660</xdr:colOff>
      <xdr:row>85</xdr:row>
      <xdr:rowOff>7620</xdr:rowOff>
    </xdr:to>
    <xdr:sp macro="" textlink="">
      <xdr:nvSpPr>
        <xdr:cNvPr id="30" name="TextBox 29">
          <a:extLst>
            <a:ext uri="{FF2B5EF4-FFF2-40B4-BE49-F238E27FC236}">
              <a16:creationId xmlns="" xmlns:a16="http://schemas.microsoft.com/office/drawing/2014/main" id="{00000000-0008-0000-1300-00001E000000}"/>
            </a:ext>
          </a:extLst>
        </xdr:cNvPr>
        <xdr:cNvSpPr txBox="1"/>
      </xdr:nvSpPr>
      <xdr:spPr>
        <a:xfrm>
          <a:off x="9875520" y="14036040"/>
          <a:ext cx="1097280" cy="22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2018-2-2182</a:t>
          </a:r>
          <a:endParaRPr lang="zh-CN" altLang="en-US" sz="1100"/>
        </a:p>
      </xdr:txBody>
    </xdr:sp>
    <xdr:clientData/>
  </xdr:twoCellAnchor>
  <xdr:twoCellAnchor>
    <xdr:from>
      <xdr:col>11</xdr:col>
      <xdr:colOff>304800</xdr:colOff>
      <xdr:row>85</xdr:row>
      <xdr:rowOff>160020</xdr:rowOff>
    </xdr:from>
    <xdr:to>
      <xdr:col>12</xdr:col>
      <xdr:colOff>624840</xdr:colOff>
      <xdr:row>87</xdr:row>
      <xdr:rowOff>53340</xdr:rowOff>
    </xdr:to>
    <xdr:sp macro="" textlink="">
      <xdr:nvSpPr>
        <xdr:cNvPr id="31" name="TextBox 30">
          <a:extLst>
            <a:ext uri="{FF2B5EF4-FFF2-40B4-BE49-F238E27FC236}">
              <a16:creationId xmlns="" xmlns:a16="http://schemas.microsoft.com/office/drawing/2014/main" id="{00000000-0008-0000-1300-00001F000000}"/>
            </a:ext>
          </a:extLst>
        </xdr:cNvPr>
        <xdr:cNvSpPr txBox="1"/>
      </xdr:nvSpPr>
      <xdr:spPr>
        <a:xfrm>
          <a:off x="9837420" y="14409420"/>
          <a:ext cx="10515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2018-1.8-3157</a:t>
          </a:r>
          <a:endParaRPr lang="zh-CN" altLang="en-US" sz="1100"/>
        </a:p>
      </xdr:txBody>
    </xdr:sp>
    <xdr:clientData/>
  </xdr:twoCellAnchor>
  <xdr:twoCellAnchor>
    <xdr:from>
      <xdr:col>14</xdr:col>
      <xdr:colOff>304800</xdr:colOff>
      <xdr:row>78</xdr:row>
      <xdr:rowOff>68580</xdr:rowOff>
    </xdr:from>
    <xdr:to>
      <xdr:col>14</xdr:col>
      <xdr:colOff>1508760</xdr:colOff>
      <xdr:row>79</xdr:row>
      <xdr:rowOff>114300</xdr:rowOff>
    </xdr:to>
    <xdr:sp macro="" textlink="">
      <xdr:nvSpPr>
        <xdr:cNvPr id="32" name="TextBox 31">
          <a:extLst>
            <a:ext uri="{FF2B5EF4-FFF2-40B4-BE49-F238E27FC236}">
              <a16:creationId xmlns="" xmlns:a16="http://schemas.microsoft.com/office/drawing/2014/main" id="{00000000-0008-0000-1300-000020000000}"/>
            </a:ext>
          </a:extLst>
        </xdr:cNvPr>
        <xdr:cNvSpPr txBox="1"/>
      </xdr:nvSpPr>
      <xdr:spPr>
        <a:xfrm>
          <a:off x="11978640" y="13144500"/>
          <a:ext cx="1203960" cy="213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2019-2.2-6881</a:t>
          </a:r>
          <a:endParaRPr lang="zh-CN" altLang="en-US" sz="1100"/>
        </a:p>
      </xdr:txBody>
    </xdr:sp>
    <xdr:clientData/>
  </xdr:twoCellAnchor>
  <xdr:twoCellAnchor>
    <xdr:from>
      <xdr:col>14</xdr:col>
      <xdr:colOff>769620</xdr:colOff>
      <xdr:row>76</xdr:row>
      <xdr:rowOff>22860</xdr:rowOff>
    </xdr:from>
    <xdr:to>
      <xdr:col>14</xdr:col>
      <xdr:colOff>1798320</xdr:colOff>
      <xdr:row>77</xdr:row>
      <xdr:rowOff>114300</xdr:rowOff>
    </xdr:to>
    <xdr:sp macro="" textlink="">
      <xdr:nvSpPr>
        <xdr:cNvPr id="33" name="TextBox 32">
          <a:extLst>
            <a:ext uri="{FF2B5EF4-FFF2-40B4-BE49-F238E27FC236}">
              <a16:creationId xmlns="" xmlns:a16="http://schemas.microsoft.com/office/drawing/2014/main" id="{00000000-0008-0000-1300-000021000000}"/>
            </a:ext>
          </a:extLst>
        </xdr:cNvPr>
        <xdr:cNvSpPr txBox="1"/>
      </xdr:nvSpPr>
      <xdr:spPr>
        <a:xfrm>
          <a:off x="12443460" y="12763500"/>
          <a:ext cx="102870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2018-1.8-5883</a:t>
          </a:r>
          <a:endParaRPr lang="zh-CN" altLang="en-US" sz="1100"/>
        </a:p>
      </xdr:txBody>
    </xdr:sp>
    <xdr:clientData/>
  </xdr:twoCellAnchor>
  <xdr:twoCellAnchor>
    <xdr:from>
      <xdr:col>13</xdr:col>
      <xdr:colOff>99060</xdr:colOff>
      <xdr:row>74</xdr:row>
      <xdr:rowOff>152400</xdr:rowOff>
    </xdr:from>
    <xdr:to>
      <xdr:col>14</xdr:col>
      <xdr:colOff>685800</xdr:colOff>
      <xdr:row>76</xdr:row>
      <xdr:rowOff>53340</xdr:rowOff>
    </xdr:to>
    <xdr:sp macro="" textlink="">
      <xdr:nvSpPr>
        <xdr:cNvPr id="34" name="TextBox 33">
          <a:extLst>
            <a:ext uri="{FF2B5EF4-FFF2-40B4-BE49-F238E27FC236}">
              <a16:creationId xmlns="" xmlns:a16="http://schemas.microsoft.com/office/drawing/2014/main" id="{00000000-0008-0000-1300-000022000000}"/>
            </a:ext>
          </a:extLst>
        </xdr:cNvPr>
        <xdr:cNvSpPr txBox="1"/>
      </xdr:nvSpPr>
      <xdr:spPr>
        <a:xfrm>
          <a:off x="11346180" y="12557760"/>
          <a:ext cx="10134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2018-2.2-4884</a:t>
          </a:r>
          <a:endParaRPr lang="zh-CN" altLang="en-US" sz="1100"/>
        </a:p>
      </xdr:txBody>
    </xdr:sp>
    <xdr:clientData/>
  </xdr:twoCellAnchor>
  <xdr:twoCellAnchor editAs="oneCell">
    <xdr:from>
      <xdr:col>0</xdr:col>
      <xdr:colOff>0</xdr:colOff>
      <xdr:row>222</xdr:row>
      <xdr:rowOff>0</xdr:rowOff>
    </xdr:from>
    <xdr:to>
      <xdr:col>12</xdr:col>
      <xdr:colOff>267630</xdr:colOff>
      <xdr:row>260</xdr:row>
      <xdr:rowOff>38655</xdr:rowOff>
    </xdr:to>
    <xdr:pic>
      <xdr:nvPicPr>
        <xdr:cNvPr id="35" name="图片 34">
          <a:extLst>
            <a:ext uri="{FF2B5EF4-FFF2-40B4-BE49-F238E27FC236}">
              <a16:creationId xmlns="" xmlns:a16="http://schemas.microsoft.com/office/drawing/2014/main" id="{00000000-0008-0000-1300-000023000000}"/>
            </a:ext>
          </a:extLst>
        </xdr:cNvPr>
        <xdr:cNvPicPr>
          <a:picLocks noChangeAspect="1"/>
        </xdr:cNvPicPr>
      </xdr:nvPicPr>
      <xdr:blipFill>
        <a:blip xmlns:r="http://schemas.openxmlformats.org/officeDocument/2006/relationships" r:embed="rId9"/>
        <a:stretch>
          <a:fillRect/>
        </a:stretch>
      </xdr:blipFill>
      <xdr:spPr>
        <a:xfrm>
          <a:off x="0" y="37216080"/>
          <a:ext cx="10729890" cy="6408975"/>
        </a:xfrm>
        <a:prstGeom prst="rect">
          <a:avLst/>
        </a:prstGeom>
      </xdr:spPr>
    </xdr:pic>
    <xdr:clientData/>
  </xdr:twoCellAnchor>
  <xdr:twoCellAnchor editAs="oneCell">
    <xdr:from>
      <xdr:col>13</xdr:col>
      <xdr:colOff>0</xdr:colOff>
      <xdr:row>225</xdr:row>
      <xdr:rowOff>0</xdr:rowOff>
    </xdr:from>
    <xdr:to>
      <xdr:col>21</xdr:col>
      <xdr:colOff>31018</xdr:colOff>
      <xdr:row>245</xdr:row>
      <xdr:rowOff>23153</xdr:rowOff>
    </xdr:to>
    <xdr:pic>
      <xdr:nvPicPr>
        <xdr:cNvPr id="36" name="图片 35">
          <a:extLst>
            <a:ext uri="{FF2B5EF4-FFF2-40B4-BE49-F238E27FC236}">
              <a16:creationId xmlns="" xmlns:a16="http://schemas.microsoft.com/office/drawing/2014/main" id="{00000000-0008-0000-1300-000024000000}"/>
            </a:ext>
          </a:extLst>
        </xdr:cNvPr>
        <xdr:cNvPicPr>
          <a:picLocks noChangeAspect="1"/>
        </xdr:cNvPicPr>
      </xdr:nvPicPr>
      <xdr:blipFill>
        <a:blip xmlns:r="http://schemas.openxmlformats.org/officeDocument/2006/relationships" r:embed="rId10"/>
        <a:stretch>
          <a:fillRect/>
        </a:stretch>
      </xdr:blipFill>
      <xdr:spPr>
        <a:xfrm>
          <a:off x="11445240" y="37719000"/>
          <a:ext cx="6210838" cy="3375953"/>
        </a:xfrm>
        <a:prstGeom prst="rect">
          <a:avLst/>
        </a:prstGeom>
      </xdr:spPr>
    </xdr:pic>
    <xdr:clientData/>
  </xdr:twoCellAnchor>
  <xdr:twoCellAnchor editAs="oneCell">
    <xdr:from>
      <xdr:col>4</xdr:col>
      <xdr:colOff>769620</xdr:colOff>
      <xdr:row>96</xdr:row>
      <xdr:rowOff>129540</xdr:rowOff>
    </xdr:from>
    <xdr:to>
      <xdr:col>12</xdr:col>
      <xdr:colOff>671072</xdr:colOff>
      <xdr:row>123</xdr:row>
      <xdr:rowOff>30864</xdr:rowOff>
    </xdr:to>
    <xdr:pic>
      <xdr:nvPicPr>
        <xdr:cNvPr id="37" name="图片 36">
          <a:extLst>
            <a:ext uri="{FF2B5EF4-FFF2-40B4-BE49-F238E27FC236}">
              <a16:creationId xmlns="" xmlns:a16="http://schemas.microsoft.com/office/drawing/2014/main" id="{00000000-0008-0000-1300-000025000000}"/>
            </a:ext>
          </a:extLst>
        </xdr:cNvPr>
        <xdr:cNvPicPr>
          <a:picLocks noChangeAspect="1"/>
        </xdr:cNvPicPr>
      </xdr:nvPicPr>
      <xdr:blipFill>
        <a:blip xmlns:r="http://schemas.openxmlformats.org/officeDocument/2006/relationships" r:embed="rId11"/>
        <a:stretch>
          <a:fillRect/>
        </a:stretch>
      </xdr:blipFill>
      <xdr:spPr>
        <a:xfrm>
          <a:off x="5227320" y="16222980"/>
          <a:ext cx="5906012" cy="4427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358647</xdr:colOff>
      <xdr:row>21</xdr:row>
      <xdr:rowOff>99386</xdr:rowOff>
    </xdr:to>
    <xdr:pic>
      <xdr:nvPicPr>
        <xdr:cNvPr id="2" name="图片 1">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609600" y="182880"/>
          <a:ext cx="5845047" cy="3756986"/>
        </a:xfrm>
        <a:prstGeom prst="rect">
          <a:avLst/>
        </a:prstGeom>
      </xdr:spPr>
    </xdr:pic>
    <xdr:clientData/>
  </xdr:twoCellAnchor>
  <xdr:twoCellAnchor editAs="oneCell">
    <xdr:from>
      <xdr:col>1</xdr:col>
      <xdr:colOff>0</xdr:colOff>
      <xdr:row>23</xdr:row>
      <xdr:rowOff>0</xdr:rowOff>
    </xdr:from>
    <xdr:to>
      <xdr:col>12</xdr:col>
      <xdr:colOff>15822</xdr:colOff>
      <xdr:row>47</xdr:row>
      <xdr:rowOff>61346</xdr:rowOff>
    </xdr:to>
    <xdr:pic>
      <xdr:nvPicPr>
        <xdr:cNvPr id="3" name="图片 2">
          <a:extLst>
            <a:ext uri="{FF2B5EF4-FFF2-40B4-BE49-F238E27FC236}">
              <a16:creationId xmlns=""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609600" y="4206240"/>
          <a:ext cx="6721422" cy="4450466"/>
        </a:xfrm>
        <a:prstGeom prst="rect">
          <a:avLst/>
        </a:prstGeom>
      </xdr:spPr>
    </xdr:pic>
    <xdr:clientData/>
  </xdr:twoCellAnchor>
  <xdr:twoCellAnchor editAs="oneCell">
    <xdr:from>
      <xdr:col>1</xdr:col>
      <xdr:colOff>0</xdr:colOff>
      <xdr:row>50</xdr:row>
      <xdr:rowOff>0</xdr:rowOff>
    </xdr:from>
    <xdr:to>
      <xdr:col>11</xdr:col>
      <xdr:colOff>99597</xdr:colOff>
      <xdr:row>70</xdr:row>
      <xdr:rowOff>30800</xdr:rowOff>
    </xdr:to>
    <xdr:pic>
      <xdr:nvPicPr>
        <xdr:cNvPr id="4" name="图片 3">
          <a:extLst>
            <a:ext uri="{FF2B5EF4-FFF2-40B4-BE49-F238E27FC236}">
              <a16:creationId xmlns=""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609600" y="9144000"/>
          <a:ext cx="6195597" cy="3688400"/>
        </a:xfrm>
        <a:prstGeom prst="rect">
          <a:avLst/>
        </a:prstGeom>
      </xdr:spPr>
    </xdr:pic>
    <xdr:clientData/>
  </xdr:twoCellAnchor>
  <xdr:twoCellAnchor editAs="oneCell">
    <xdr:from>
      <xdr:col>1</xdr:col>
      <xdr:colOff>30480</xdr:colOff>
      <xdr:row>71</xdr:row>
      <xdr:rowOff>60960</xdr:rowOff>
    </xdr:from>
    <xdr:to>
      <xdr:col>11</xdr:col>
      <xdr:colOff>526351</xdr:colOff>
      <xdr:row>99</xdr:row>
      <xdr:rowOff>175714</xdr:rowOff>
    </xdr:to>
    <xdr:pic>
      <xdr:nvPicPr>
        <xdr:cNvPr id="5" name="图片 4">
          <a:extLst>
            <a:ext uri="{FF2B5EF4-FFF2-40B4-BE49-F238E27FC236}">
              <a16:creationId xmlns=""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640080" y="13045440"/>
          <a:ext cx="6591871" cy="5235394"/>
        </a:xfrm>
        <a:prstGeom prst="rect">
          <a:avLst/>
        </a:prstGeom>
      </xdr:spPr>
    </xdr:pic>
    <xdr:clientData/>
  </xdr:twoCellAnchor>
  <xdr:twoCellAnchor editAs="oneCell">
    <xdr:from>
      <xdr:col>1</xdr:col>
      <xdr:colOff>0</xdr:colOff>
      <xdr:row>102</xdr:row>
      <xdr:rowOff>0</xdr:rowOff>
    </xdr:from>
    <xdr:to>
      <xdr:col>11</xdr:col>
      <xdr:colOff>366320</xdr:colOff>
      <xdr:row>122</xdr:row>
      <xdr:rowOff>68903</xdr:rowOff>
    </xdr:to>
    <xdr:pic>
      <xdr:nvPicPr>
        <xdr:cNvPr id="6" name="图片 5">
          <a:extLst>
            <a:ext uri="{FF2B5EF4-FFF2-40B4-BE49-F238E27FC236}">
              <a16:creationId xmlns=""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609600" y="18653760"/>
          <a:ext cx="6462320" cy="3726503"/>
        </a:xfrm>
        <a:prstGeom prst="rect">
          <a:avLst/>
        </a:prstGeom>
      </xdr:spPr>
    </xdr:pic>
    <xdr:clientData/>
  </xdr:twoCellAnchor>
  <xdr:twoCellAnchor editAs="oneCell">
    <xdr:from>
      <xdr:col>1</xdr:col>
      <xdr:colOff>0</xdr:colOff>
      <xdr:row>124</xdr:row>
      <xdr:rowOff>0</xdr:rowOff>
    </xdr:from>
    <xdr:to>
      <xdr:col>11</xdr:col>
      <xdr:colOff>457768</xdr:colOff>
      <xdr:row>158</xdr:row>
      <xdr:rowOff>168193</xdr:rowOff>
    </xdr:to>
    <xdr:pic>
      <xdr:nvPicPr>
        <xdr:cNvPr id="7" name="图片 6">
          <a:extLst>
            <a:ext uri="{FF2B5EF4-FFF2-40B4-BE49-F238E27FC236}">
              <a16:creationId xmlns=""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609600" y="22677120"/>
          <a:ext cx="6553768" cy="6386113"/>
        </a:xfrm>
        <a:prstGeom prst="rect">
          <a:avLst/>
        </a:prstGeom>
      </xdr:spPr>
    </xdr:pic>
    <xdr:clientData/>
  </xdr:twoCellAnchor>
  <xdr:twoCellAnchor editAs="oneCell">
    <xdr:from>
      <xdr:col>13</xdr:col>
      <xdr:colOff>15240</xdr:colOff>
      <xdr:row>1</xdr:row>
      <xdr:rowOff>7620</xdr:rowOff>
    </xdr:from>
    <xdr:to>
      <xdr:col>24</xdr:col>
      <xdr:colOff>373992</xdr:colOff>
      <xdr:row>29</xdr:row>
      <xdr:rowOff>168098</xdr:rowOff>
    </xdr:to>
    <xdr:pic>
      <xdr:nvPicPr>
        <xdr:cNvPr id="8" name="图片 7">
          <a:extLst>
            <a:ext uri="{FF2B5EF4-FFF2-40B4-BE49-F238E27FC236}">
              <a16:creationId xmlns=""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7940040" y="190500"/>
          <a:ext cx="7064352" cy="5281118"/>
        </a:xfrm>
        <a:prstGeom prst="rect">
          <a:avLst/>
        </a:prstGeom>
      </xdr:spPr>
    </xdr:pic>
    <xdr:clientData/>
  </xdr:twoCellAnchor>
  <xdr:twoCellAnchor editAs="oneCell">
    <xdr:from>
      <xdr:col>1</xdr:col>
      <xdr:colOff>220980</xdr:colOff>
      <xdr:row>162</xdr:row>
      <xdr:rowOff>60960</xdr:rowOff>
    </xdr:from>
    <xdr:to>
      <xdr:col>11</xdr:col>
      <xdr:colOff>53854</xdr:colOff>
      <xdr:row>183</xdr:row>
      <xdr:rowOff>175603</xdr:rowOff>
    </xdr:to>
    <xdr:pic>
      <xdr:nvPicPr>
        <xdr:cNvPr id="9" name="图片 8">
          <a:extLst>
            <a:ext uri="{FF2B5EF4-FFF2-40B4-BE49-F238E27FC236}">
              <a16:creationId xmlns="" xmlns:a16="http://schemas.microsoft.com/office/drawing/2014/main" id="{00000000-0008-0000-2200-000009000000}"/>
            </a:ext>
          </a:extLst>
        </xdr:cNvPr>
        <xdr:cNvPicPr>
          <a:picLocks noChangeAspect="1"/>
        </xdr:cNvPicPr>
      </xdr:nvPicPr>
      <xdr:blipFill>
        <a:blip xmlns:r="http://schemas.openxmlformats.org/officeDocument/2006/relationships" r:embed="rId8"/>
        <a:stretch>
          <a:fillRect/>
        </a:stretch>
      </xdr:blipFill>
      <xdr:spPr>
        <a:xfrm>
          <a:off x="830580" y="29687520"/>
          <a:ext cx="5928874" cy="3955123"/>
        </a:xfrm>
        <a:prstGeom prst="rect">
          <a:avLst/>
        </a:prstGeom>
      </xdr:spPr>
    </xdr:pic>
    <xdr:clientData/>
  </xdr:twoCellAnchor>
  <xdr:twoCellAnchor editAs="oneCell">
    <xdr:from>
      <xdr:col>1</xdr:col>
      <xdr:colOff>144780</xdr:colOff>
      <xdr:row>185</xdr:row>
      <xdr:rowOff>68580</xdr:rowOff>
    </xdr:from>
    <xdr:to>
      <xdr:col>12</xdr:col>
      <xdr:colOff>569</xdr:colOff>
      <xdr:row>217</xdr:row>
      <xdr:rowOff>99570</xdr:rowOff>
    </xdr:to>
    <xdr:pic>
      <xdr:nvPicPr>
        <xdr:cNvPr id="10" name="图片 9">
          <a:extLst>
            <a:ext uri="{FF2B5EF4-FFF2-40B4-BE49-F238E27FC236}">
              <a16:creationId xmlns="" xmlns:a16="http://schemas.microsoft.com/office/drawing/2014/main" id="{00000000-0008-0000-2200-00000A000000}"/>
            </a:ext>
          </a:extLst>
        </xdr:cNvPr>
        <xdr:cNvPicPr>
          <a:picLocks noChangeAspect="1"/>
        </xdr:cNvPicPr>
      </xdr:nvPicPr>
      <xdr:blipFill>
        <a:blip xmlns:r="http://schemas.openxmlformats.org/officeDocument/2006/relationships" r:embed="rId9"/>
        <a:stretch>
          <a:fillRect/>
        </a:stretch>
      </xdr:blipFill>
      <xdr:spPr>
        <a:xfrm>
          <a:off x="754380" y="33901380"/>
          <a:ext cx="6561389" cy="5883150"/>
        </a:xfrm>
        <a:prstGeom prst="rect">
          <a:avLst/>
        </a:prstGeom>
      </xdr:spPr>
    </xdr:pic>
    <xdr:clientData/>
  </xdr:twoCellAnchor>
  <xdr:twoCellAnchor editAs="oneCell">
    <xdr:from>
      <xdr:col>1</xdr:col>
      <xdr:colOff>160020</xdr:colOff>
      <xdr:row>219</xdr:row>
      <xdr:rowOff>91440</xdr:rowOff>
    </xdr:from>
    <xdr:to>
      <xdr:col>10</xdr:col>
      <xdr:colOff>511046</xdr:colOff>
      <xdr:row>240</xdr:row>
      <xdr:rowOff>7946</xdr:rowOff>
    </xdr:to>
    <xdr:pic>
      <xdr:nvPicPr>
        <xdr:cNvPr id="11" name="图片 10">
          <a:extLst>
            <a:ext uri="{FF2B5EF4-FFF2-40B4-BE49-F238E27FC236}">
              <a16:creationId xmlns="" xmlns:a16="http://schemas.microsoft.com/office/drawing/2014/main" id="{00000000-0008-0000-2200-00000B000000}"/>
            </a:ext>
          </a:extLst>
        </xdr:cNvPr>
        <xdr:cNvPicPr>
          <a:picLocks noChangeAspect="1"/>
        </xdr:cNvPicPr>
      </xdr:nvPicPr>
      <xdr:blipFill>
        <a:blip xmlns:r="http://schemas.openxmlformats.org/officeDocument/2006/relationships" r:embed="rId10"/>
        <a:stretch>
          <a:fillRect/>
        </a:stretch>
      </xdr:blipFill>
      <xdr:spPr>
        <a:xfrm>
          <a:off x="769620" y="40142160"/>
          <a:ext cx="5837426" cy="3756986"/>
        </a:xfrm>
        <a:prstGeom prst="rect">
          <a:avLst/>
        </a:prstGeom>
      </xdr:spPr>
    </xdr:pic>
    <xdr:clientData/>
  </xdr:twoCellAnchor>
  <xdr:twoCellAnchor editAs="oneCell">
    <xdr:from>
      <xdr:col>1</xdr:col>
      <xdr:colOff>167640</xdr:colOff>
      <xdr:row>241</xdr:row>
      <xdr:rowOff>106680</xdr:rowOff>
    </xdr:from>
    <xdr:to>
      <xdr:col>11</xdr:col>
      <xdr:colOff>602546</xdr:colOff>
      <xdr:row>267</xdr:row>
      <xdr:rowOff>403</xdr:rowOff>
    </xdr:to>
    <xdr:pic>
      <xdr:nvPicPr>
        <xdr:cNvPr id="12" name="图片 11">
          <a:extLst>
            <a:ext uri="{FF2B5EF4-FFF2-40B4-BE49-F238E27FC236}">
              <a16:creationId xmlns="" xmlns:a16="http://schemas.microsoft.com/office/drawing/2014/main" id="{00000000-0008-0000-2200-00000C000000}"/>
            </a:ext>
          </a:extLst>
        </xdr:cNvPr>
        <xdr:cNvPicPr>
          <a:picLocks noChangeAspect="1"/>
        </xdr:cNvPicPr>
      </xdr:nvPicPr>
      <xdr:blipFill>
        <a:blip xmlns:r="http://schemas.openxmlformats.org/officeDocument/2006/relationships" r:embed="rId11"/>
        <a:stretch>
          <a:fillRect/>
        </a:stretch>
      </xdr:blipFill>
      <xdr:spPr>
        <a:xfrm>
          <a:off x="777240" y="44180760"/>
          <a:ext cx="6530906" cy="4648603"/>
        </a:xfrm>
        <a:prstGeom prst="rect">
          <a:avLst/>
        </a:prstGeom>
      </xdr:spPr>
    </xdr:pic>
    <xdr:clientData/>
  </xdr:twoCellAnchor>
  <xdr:twoCellAnchor editAs="oneCell">
    <xdr:from>
      <xdr:col>1</xdr:col>
      <xdr:colOff>0</xdr:colOff>
      <xdr:row>269</xdr:row>
      <xdr:rowOff>0</xdr:rowOff>
    </xdr:from>
    <xdr:to>
      <xdr:col>11</xdr:col>
      <xdr:colOff>366320</xdr:colOff>
      <xdr:row>290</xdr:row>
      <xdr:rowOff>129884</xdr:rowOff>
    </xdr:to>
    <xdr:pic>
      <xdr:nvPicPr>
        <xdr:cNvPr id="13" name="图片 12">
          <a:extLst>
            <a:ext uri="{FF2B5EF4-FFF2-40B4-BE49-F238E27FC236}">
              <a16:creationId xmlns="" xmlns:a16="http://schemas.microsoft.com/office/drawing/2014/main" id="{00000000-0008-0000-2200-00000D000000}"/>
            </a:ext>
          </a:extLst>
        </xdr:cNvPr>
        <xdr:cNvPicPr>
          <a:picLocks noChangeAspect="1"/>
        </xdr:cNvPicPr>
      </xdr:nvPicPr>
      <xdr:blipFill>
        <a:blip xmlns:r="http://schemas.openxmlformats.org/officeDocument/2006/relationships" r:embed="rId12"/>
        <a:stretch>
          <a:fillRect/>
        </a:stretch>
      </xdr:blipFill>
      <xdr:spPr>
        <a:xfrm>
          <a:off x="609600" y="49194720"/>
          <a:ext cx="6462320" cy="3970364"/>
        </a:xfrm>
        <a:prstGeom prst="rect">
          <a:avLst/>
        </a:prstGeom>
      </xdr:spPr>
    </xdr:pic>
    <xdr:clientData/>
  </xdr:twoCellAnchor>
  <xdr:twoCellAnchor editAs="oneCell">
    <xdr:from>
      <xdr:col>1</xdr:col>
      <xdr:colOff>0</xdr:colOff>
      <xdr:row>293</xdr:row>
      <xdr:rowOff>0</xdr:rowOff>
    </xdr:from>
    <xdr:to>
      <xdr:col>11</xdr:col>
      <xdr:colOff>457768</xdr:colOff>
      <xdr:row>325</xdr:row>
      <xdr:rowOff>99576</xdr:rowOff>
    </xdr:to>
    <xdr:pic>
      <xdr:nvPicPr>
        <xdr:cNvPr id="14" name="图片 13">
          <a:extLst>
            <a:ext uri="{FF2B5EF4-FFF2-40B4-BE49-F238E27FC236}">
              <a16:creationId xmlns="" xmlns:a16="http://schemas.microsoft.com/office/drawing/2014/main" id="{00000000-0008-0000-2200-00000E000000}"/>
            </a:ext>
          </a:extLst>
        </xdr:cNvPr>
        <xdr:cNvPicPr>
          <a:picLocks noChangeAspect="1"/>
        </xdr:cNvPicPr>
      </xdr:nvPicPr>
      <xdr:blipFill>
        <a:blip xmlns:r="http://schemas.openxmlformats.org/officeDocument/2006/relationships" r:embed="rId13"/>
        <a:stretch>
          <a:fillRect/>
        </a:stretch>
      </xdr:blipFill>
      <xdr:spPr>
        <a:xfrm>
          <a:off x="609600" y="53583840"/>
          <a:ext cx="6553768" cy="5951736"/>
        </a:xfrm>
        <a:prstGeom prst="rect">
          <a:avLst/>
        </a:prstGeom>
      </xdr:spPr>
    </xdr:pic>
    <xdr:clientData/>
  </xdr:twoCellAnchor>
  <xdr:twoCellAnchor editAs="oneCell">
    <xdr:from>
      <xdr:col>13</xdr:col>
      <xdr:colOff>592455</xdr:colOff>
      <xdr:row>50</xdr:row>
      <xdr:rowOff>47625</xdr:rowOff>
    </xdr:from>
    <xdr:to>
      <xdr:col>18</xdr:col>
      <xdr:colOff>303141</xdr:colOff>
      <xdr:row>62</xdr:row>
      <xdr:rowOff>32574</xdr:rowOff>
    </xdr:to>
    <xdr:pic>
      <xdr:nvPicPr>
        <xdr:cNvPr id="15" name="图片 14">
          <a:extLst>
            <a:ext uri="{FF2B5EF4-FFF2-40B4-BE49-F238E27FC236}">
              <a16:creationId xmlns="" xmlns:a16="http://schemas.microsoft.com/office/drawing/2014/main" id="{00000000-0008-0000-2200-00000F000000}"/>
            </a:ext>
          </a:extLst>
        </xdr:cNvPr>
        <xdr:cNvPicPr>
          <a:picLocks noChangeAspect="1"/>
        </xdr:cNvPicPr>
      </xdr:nvPicPr>
      <xdr:blipFill>
        <a:blip xmlns:r="http://schemas.openxmlformats.org/officeDocument/2006/relationships" r:embed="rId14"/>
        <a:stretch>
          <a:fillRect/>
        </a:stretch>
      </xdr:blipFill>
      <xdr:spPr>
        <a:xfrm>
          <a:off x="9507855" y="8620125"/>
          <a:ext cx="3139686" cy="2042349"/>
        </a:xfrm>
        <a:prstGeom prst="rect">
          <a:avLst/>
        </a:prstGeom>
      </xdr:spPr>
    </xdr:pic>
    <xdr:clientData/>
  </xdr:twoCellAnchor>
  <xdr:twoCellAnchor editAs="oneCell">
    <xdr:from>
      <xdr:col>18</xdr:col>
      <xdr:colOff>561975</xdr:colOff>
      <xdr:row>49</xdr:row>
      <xdr:rowOff>123825</xdr:rowOff>
    </xdr:from>
    <xdr:to>
      <xdr:col>29</xdr:col>
      <xdr:colOff>143426</xdr:colOff>
      <xdr:row>69</xdr:row>
      <xdr:rowOff>51745</xdr:rowOff>
    </xdr:to>
    <xdr:pic>
      <xdr:nvPicPr>
        <xdr:cNvPr id="16" name="图片 15">
          <a:extLst>
            <a:ext uri="{FF2B5EF4-FFF2-40B4-BE49-F238E27FC236}">
              <a16:creationId xmlns="" xmlns:a16="http://schemas.microsoft.com/office/drawing/2014/main" id="{00000000-0008-0000-2200-000010000000}"/>
            </a:ext>
          </a:extLst>
        </xdr:cNvPr>
        <xdr:cNvPicPr>
          <a:picLocks noChangeAspect="1"/>
        </xdr:cNvPicPr>
      </xdr:nvPicPr>
      <xdr:blipFill>
        <a:blip xmlns:r="http://schemas.openxmlformats.org/officeDocument/2006/relationships" r:embed="rId15"/>
        <a:stretch>
          <a:fillRect/>
        </a:stretch>
      </xdr:blipFill>
      <xdr:spPr>
        <a:xfrm>
          <a:off x="12906375" y="8524875"/>
          <a:ext cx="7125251" cy="3356920"/>
        </a:xfrm>
        <a:prstGeom prst="rect">
          <a:avLst/>
        </a:prstGeom>
      </xdr:spPr>
    </xdr:pic>
    <xdr:clientData/>
  </xdr:twoCellAnchor>
  <xdr:twoCellAnchor editAs="oneCell">
    <xdr:from>
      <xdr:col>18</xdr:col>
      <xdr:colOff>657225</xdr:colOff>
      <xdr:row>70</xdr:row>
      <xdr:rowOff>85725</xdr:rowOff>
    </xdr:from>
    <xdr:to>
      <xdr:col>29</xdr:col>
      <xdr:colOff>573985</xdr:colOff>
      <xdr:row>92</xdr:row>
      <xdr:rowOff>21297</xdr:rowOff>
    </xdr:to>
    <xdr:pic>
      <xdr:nvPicPr>
        <xdr:cNvPr id="17" name="图片 16">
          <a:extLst>
            <a:ext uri="{FF2B5EF4-FFF2-40B4-BE49-F238E27FC236}">
              <a16:creationId xmlns="" xmlns:a16="http://schemas.microsoft.com/office/drawing/2014/main" id="{00000000-0008-0000-2200-000011000000}"/>
            </a:ext>
          </a:extLst>
        </xdr:cNvPr>
        <xdr:cNvPicPr>
          <a:picLocks noChangeAspect="1"/>
        </xdr:cNvPicPr>
      </xdr:nvPicPr>
      <xdr:blipFill>
        <a:blip xmlns:r="http://schemas.openxmlformats.org/officeDocument/2006/relationships" r:embed="rId16"/>
        <a:stretch>
          <a:fillRect/>
        </a:stretch>
      </xdr:blipFill>
      <xdr:spPr>
        <a:xfrm>
          <a:off x="13001625" y="12087225"/>
          <a:ext cx="7460560" cy="3707472"/>
        </a:xfrm>
        <a:prstGeom prst="rect">
          <a:avLst/>
        </a:prstGeom>
      </xdr:spPr>
    </xdr:pic>
    <xdr:clientData/>
  </xdr:twoCellAnchor>
  <xdr:twoCellAnchor editAs="oneCell">
    <xdr:from>
      <xdr:col>18</xdr:col>
      <xdr:colOff>638175</xdr:colOff>
      <xdr:row>94</xdr:row>
      <xdr:rowOff>114300</xdr:rowOff>
    </xdr:from>
    <xdr:to>
      <xdr:col>29</xdr:col>
      <xdr:colOff>67213</xdr:colOff>
      <xdr:row>115</xdr:row>
      <xdr:rowOff>145115</xdr:rowOff>
    </xdr:to>
    <xdr:pic>
      <xdr:nvPicPr>
        <xdr:cNvPr id="18" name="图片 17">
          <a:extLst>
            <a:ext uri="{FF2B5EF4-FFF2-40B4-BE49-F238E27FC236}">
              <a16:creationId xmlns="" xmlns:a16="http://schemas.microsoft.com/office/drawing/2014/main" id="{00000000-0008-0000-2200-000012000000}"/>
            </a:ext>
          </a:extLst>
        </xdr:cNvPr>
        <xdr:cNvPicPr>
          <a:picLocks noChangeAspect="1"/>
        </xdr:cNvPicPr>
      </xdr:nvPicPr>
      <xdr:blipFill>
        <a:blip xmlns:r="http://schemas.openxmlformats.org/officeDocument/2006/relationships" r:embed="rId17"/>
        <a:stretch>
          <a:fillRect/>
        </a:stretch>
      </xdr:blipFill>
      <xdr:spPr>
        <a:xfrm>
          <a:off x="12982575" y="16230600"/>
          <a:ext cx="6972838" cy="3631265"/>
        </a:xfrm>
        <a:prstGeom prst="rect">
          <a:avLst/>
        </a:prstGeom>
      </xdr:spPr>
    </xdr:pic>
    <xdr:clientData/>
  </xdr:twoCellAnchor>
  <xdr:twoCellAnchor editAs="oneCell">
    <xdr:from>
      <xdr:col>18</xdr:col>
      <xdr:colOff>542925</xdr:colOff>
      <xdr:row>116</xdr:row>
      <xdr:rowOff>161925</xdr:rowOff>
    </xdr:from>
    <xdr:to>
      <xdr:col>29</xdr:col>
      <xdr:colOff>459685</xdr:colOff>
      <xdr:row>139</xdr:row>
      <xdr:rowOff>67030</xdr:rowOff>
    </xdr:to>
    <xdr:pic>
      <xdr:nvPicPr>
        <xdr:cNvPr id="19" name="图片 18">
          <a:extLst>
            <a:ext uri="{FF2B5EF4-FFF2-40B4-BE49-F238E27FC236}">
              <a16:creationId xmlns="" xmlns:a16="http://schemas.microsoft.com/office/drawing/2014/main" id="{00000000-0008-0000-2200-000013000000}"/>
            </a:ext>
          </a:extLst>
        </xdr:cNvPr>
        <xdr:cNvPicPr>
          <a:picLocks noChangeAspect="1"/>
        </xdr:cNvPicPr>
      </xdr:nvPicPr>
      <xdr:blipFill>
        <a:blip xmlns:r="http://schemas.openxmlformats.org/officeDocument/2006/relationships" r:embed="rId18"/>
        <a:stretch>
          <a:fillRect/>
        </a:stretch>
      </xdr:blipFill>
      <xdr:spPr>
        <a:xfrm>
          <a:off x="12887325" y="20050125"/>
          <a:ext cx="7460560" cy="3848455"/>
        </a:xfrm>
        <a:prstGeom prst="rect">
          <a:avLst/>
        </a:prstGeom>
      </xdr:spPr>
    </xdr:pic>
    <xdr:clientData/>
  </xdr:twoCellAnchor>
  <xdr:twoCellAnchor editAs="oneCell">
    <xdr:from>
      <xdr:col>17</xdr:col>
      <xdr:colOff>15240</xdr:colOff>
      <xdr:row>142</xdr:row>
      <xdr:rowOff>68580</xdr:rowOff>
    </xdr:from>
    <xdr:to>
      <xdr:col>33</xdr:col>
      <xdr:colOff>844</xdr:colOff>
      <xdr:row>165</xdr:row>
      <xdr:rowOff>30841</xdr:rowOff>
    </xdr:to>
    <xdr:pic>
      <xdr:nvPicPr>
        <xdr:cNvPr id="20" name="图片 19">
          <a:extLst>
            <a:ext uri="{FF2B5EF4-FFF2-40B4-BE49-F238E27FC236}">
              <a16:creationId xmlns="" xmlns:a16="http://schemas.microsoft.com/office/drawing/2014/main" id="{00000000-0008-0000-2200-000014000000}"/>
            </a:ext>
          </a:extLst>
        </xdr:cNvPr>
        <xdr:cNvPicPr>
          <a:picLocks noChangeAspect="1"/>
        </xdr:cNvPicPr>
      </xdr:nvPicPr>
      <xdr:blipFill>
        <a:blip xmlns:r="http://schemas.openxmlformats.org/officeDocument/2006/relationships" r:embed="rId19"/>
        <a:stretch>
          <a:fillRect/>
        </a:stretch>
      </xdr:blipFill>
      <xdr:spPr>
        <a:xfrm>
          <a:off x="10378440" y="26037540"/>
          <a:ext cx="9739204" cy="4168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4120;&#24030;&#22303;&#22320;/&#21442;&#32771;/2018-1-0613&#24120;&#24030;&#22303;&#22320;/P05-2019-9&#37101;&#38745;/&#27979;&#31639;-&#37101;&#38745;20200117-1405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4120;&#24030;&#22303;&#22320;/&#21442;&#32771;/2018-1-0613&#24120;&#24030;&#22303;&#22320;/P05-2019-9&#37101;&#38745;/&#24120;&#24030;&#22303;&#22320;/&#24120;&#24030;&#35810;&#20215;2018-8-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7743;&#21335;&#37324;&#38144;&#21806;&#21488;&#36134;2020.8.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2"/>
      <sheetName val="土地案例更新"/>
      <sheetName val="信息"/>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商业"/>
      <sheetName val="不动产比较法-办公"/>
      <sheetName val="不动产收益法"/>
      <sheetName val="酒店收入计算"/>
      <sheetName val="成本逼近法"/>
      <sheetName val="不动产比较法-工业"/>
      <sheetName val="不动产比较法-车位"/>
      <sheetName val="不动产比较法-仓储"/>
      <sheetName val="典型户型修正"/>
      <sheetName val="存贷款利率"/>
      <sheetName val="商业修正"/>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row r="22">
          <cell r="C22" t="str">
            <v>地下车库</v>
          </cell>
        </row>
        <row r="23">
          <cell r="C23" t="str">
            <v>保障房</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19">
          <cell r="G19">
            <v>172360</v>
          </cell>
        </row>
      </sheetData>
      <sheetData sheetId="17">
        <row r="75">
          <cell r="A75" t="str">
            <v>交易情况</v>
          </cell>
          <cell r="C75" t="str">
            <v>正常</v>
          </cell>
        </row>
        <row r="77">
          <cell r="B77" t="str">
            <v>用途</v>
          </cell>
          <cell r="C77" t="str">
            <v>综合（含住宅）</v>
          </cell>
          <cell r="D77" t="str">
            <v>住宅</v>
          </cell>
        </row>
        <row r="108">
          <cell r="B108" t="str">
            <v>毗邻道路的类型与等级</v>
          </cell>
          <cell r="C108" t="str">
            <v>主干道</v>
          </cell>
          <cell r="D108" t="str">
            <v>次干道</v>
          </cell>
          <cell r="E108" t="str">
            <v>支路</v>
          </cell>
        </row>
        <row r="110">
          <cell r="B110" t="str">
            <v>土地级别</v>
          </cell>
        </row>
        <row r="121">
          <cell r="B121" t="str">
            <v>宗地形状</v>
          </cell>
          <cell r="C121" t="str">
            <v>规则</v>
          </cell>
          <cell r="D121" t="str">
            <v>较规则</v>
          </cell>
          <cell r="E121" t="str">
            <v>较不规则</v>
          </cell>
        </row>
        <row r="123">
          <cell r="B123" t="str">
            <v>临街宽度及深度</v>
          </cell>
          <cell r="C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独栋别墅</v>
          </cell>
          <cell r="D100" t="str">
            <v>联排别墅</v>
          </cell>
          <cell r="E100" t="str">
            <v>高层住宅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row>
        <row r="118">
          <cell r="B118" t="str">
            <v>房型</v>
          </cell>
        </row>
        <row r="122">
          <cell r="B122" t="str">
            <v>内部装修</v>
          </cell>
          <cell r="C122" t="str">
            <v>精装</v>
          </cell>
          <cell r="D122" t="str">
            <v>普装</v>
          </cell>
          <cell r="E122" t="str">
            <v>简装</v>
          </cell>
          <cell r="F122" t="str">
            <v>毛坯</v>
          </cell>
        </row>
      </sheetData>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cell r="F90" t="str">
            <v>较差</v>
          </cell>
          <cell r="G90" t="str">
            <v>差</v>
          </cell>
        </row>
        <row r="92">
          <cell r="B92" t="str">
            <v>楼层</v>
          </cell>
          <cell r="C92" t="str">
            <v>1层</v>
          </cell>
          <cell r="D92" t="str">
            <v>1-2层</v>
          </cell>
        </row>
        <row r="100">
          <cell r="B100" t="str">
            <v>商业类型</v>
          </cell>
          <cell r="C100" t="str">
            <v>商业综合体</v>
          </cell>
          <cell r="D100" t="str">
            <v>商业街商铺</v>
          </cell>
          <cell r="E100" t="str">
            <v>独栋商业</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4">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35"/>
      <sheetData sheetId="36"/>
      <sheetData sheetId="37"/>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1"/>
      <sheetName val="案例2"/>
      <sheetName val="土地比较法-住宅、综合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73">
          <cell r="A73" t="str">
            <v>交易情况</v>
          </cell>
        </row>
      </sheetData>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efreshError="1"/>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按揭分布"/>
      <sheetName val="付款方式分类"/>
      <sheetName val="销售汇总表"/>
      <sheetName val="2#4#1# 按揭回款"/>
      <sheetName val="收款明细"/>
      <sheetName val="基础信息"/>
      <sheetName val="Sheet1"/>
      <sheetName val="Sheet2"/>
      <sheetName val="首付分期补款"/>
      <sheetName val="已售住宅均价"/>
      <sheetName val="已售叠墅均价"/>
      <sheetName val="已售合院均价"/>
    </sheetNames>
    <sheetDataSet>
      <sheetData sheetId="0"/>
      <sheetData sheetId="1"/>
      <sheetData sheetId="2"/>
      <sheetData sheetId="3"/>
      <sheetData sheetId="4"/>
      <sheetData sheetId="5"/>
      <sheetData sheetId="6">
        <row r="1">
          <cell r="A1" t="str">
            <v>房号</v>
          </cell>
          <cell r="B1" t="str">
            <v>备案日期</v>
          </cell>
        </row>
        <row r="2">
          <cell r="A2" t="str">
            <v>40-丙-1001</v>
          </cell>
          <cell r="B2">
            <v>43818</v>
          </cell>
        </row>
        <row r="3">
          <cell r="A3" t="str">
            <v>45-乙-1102</v>
          </cell>
          <cell r="B3">
            <v>43818</v>
          </cell>
        </row>
        <row r="4">
          <cell r="A4" t="str">
            <v>45-甲-1002</v>
          </cell>
          <cell r="B4">
            <v>43818</v>
          </cell>
        </row>
        <row r="5">
          <cell r="A5" t="str">
            <v>45-甲-601</v>
          </cell>
          <cell r="B5">
            <v>43818</v>
          </cell>
        </row>
        <row r="6">
          <cell r="A6" t="str">
            <v>40-乙-702</v>
          </cell>
          <cell r="B6">
            <v>43818</v>
          </cell>
        </row>
        <row r="7">
          <cell r="A7" t="str">
            <v>45-乙-801</v>
          </cell>
          <cell r="B7">
            <v>43817</v>
          </cell>
        </row>
        <row r="8">
          <cell r="A8" t="str">
            <v>45-甲-701</v>
          </cell>
          <cell r="B8">
            <v>43815</v>
          </cell>
        </row>
        <row r="9">
          <cell r="A9" t="str">
            <v>45-乙-502</v>
          </cell>
          <cell r="B9">
            <v>43812</v>
          </cell>
        </row>
        <row r="10">
          <cell r="A10" t="str">
            <v>40-丙-602</v>
          </cell>
          <cell r="B10">
            <v>43811</v>
          </cell>
        </row>
        <row r="11">
          <cell r="A11" t="str">
            <v>45-甲-901</v>
          </cell>
          <cell r="B11">
            <v>43811</v>
          </cell>
        </row>
        <row r="12">
          <cell r="A12" t="str">
            <v>45-甲-602</v>
          </cell>
          <cell r="B12">
            <v>43811</v>
          </cell>
        </row>
        <row r="13">
          <cell r="A13" t="str">
            <v>40-乙-201</v>
          </cell>
          <cell r="B13">
            <v>43810</v>
          </cell>
        </row>
        <row r="14">
          <cell r="A14" t="str">
            <v>40-乙-202</v>
          </cell>
          <cell r="B14">
            <v>43810</v>
          </cell>
        </row>
        <row r="15">
          <cell r="A15" t="str">
            <v>40-丙-201</v>
          </cell>
          <cell r="B15">
            <v>43810</v>
          </cell>
        </row>
        <row r="16">
          <cell r="A16" t="str">
            <v>40-乙-1002</v>
          </cell>
          <cell r="B16">
            <v>43805</v>
          </cell>
        </row>
        <row r="17">
          <cell r="A17" t="str">
            <v>45-乙-702</v>
          </cell>
          <cell r="B17">
            <v>43805</v>
          </cell>
        </row>
        <row r="18">
          <cell r="A18" t="str">
            <v>45-乙-601</v>
          </cell>
          <cell r="B18">
            <v>43805</v>
          </cell>
        </row>
        <row r="19">
          <cell r="A19" t="str">
            <v>45-乙-802</v>
          </cell>
          <cell r="B19">
            <v>43805</v>
          </cell>
        </row>
        <row r="20">
          <cell r="A20" t="str">
            <v>44-乙-501</v>
          </cell>
          <cell r="B20">
            <v>43802</v>
          </cell>
        </row>
        <row r="21">
          <cell r="A21" t="str">
            <v>40-甲-802</v>
          </cell>
          <cell r="B21">
            <v>43801</v>
          </cell>
        </row>
        <row r="22">
          <cell r="A22" t="str">
            <v>45-乙-202</v>
          </cell>
          <cell r="B22">
            <v>43797</v>
          </cell>
        </row>
        <row r="23">
          <cell r="A23" t="str">
            <v>45-甲-302</v>
          </cell>
          <cell r="B23">
            <v>43796</v>
          </cell>
        </row>
        <row r="24">
          <cell r="A24" t="str">
            <v>40-甲-1002</v>
          </cell>
          <cell r="B24">
            <v>43792</v>
          </cell>
        </row>
        <row r="25">
          <cell r="A25" t="str">
            <v>39-丙-902</v>
          </cell>
          <cell r="B25">
            <v>43791</v>
          </cell>
        </row>
        <row r="26">
          <cell r="A26" t="str">
            <v>44-丙-202</v>
          </cell>
          <cell r="B26">
            <v>43791</v>
          </cell>
        </row>
        <row r="27">
          <cell r="A27" t="str">
            <v>45-甲-502</v>
          </cell>
          <cell r="B27">
            <v>43791</v>
          </cell>
        </row>
        <row r="28">
          <cell r="A28" t="str">
            <v>40-丙-702</v>
          </cell>
          <cell r="B28">
            <v>43791</v>
          </cell>
        </row>
        <row r="29">
          <cell r="A29" t="str">
            <v>45-丙-1002</v>
          </cell>
          <cell r="B29">
            <v>43791</v>
          </cell>
        </row>
        <row r="30">
          <cell r="A30" t="str">
            <v>39-丙-101</v>
          </cell>
          <cell r="B30">
            <v>43790</v>
          </cell>
        </row>
        <row r="31">
          <cell r="A31" t="str">
            <v>40-甲-501</v>
          </cell>
          <cell r="B31">
            <v>43790</v>
          </cell>
        </row>
        <row r="32">
          <cell r="A32" t="str">
            <v>44-甲-302</v>
          </cell>
          <cell r="B32">
            <v>43789</v>
          </cell>
        </row>
        <row r="33">
          <cell r="A33" t="str">
            <v>40-甲-901</v>
          </cell>
          <cell r="B33">
            <v>43789</v>
          </cell>
        </row>
        <row r="34">
          <cell r="A34" t="str">
            <v>40-乙-601</v>
          </cell>
          <cell r="B34">
            <v>43789</v>
          </cell>
        </row>
        <row r="35">
          <cell r="A35" t="str">
            <v>39-丙-202</v>
          </cell>
          <cell r="B35">
            <v>43789</v>
          </cell>
        </row>
        <row r="36">
          <cell r="A36" t="str">
            <v>40-乙-101</v>
          </cell>
          <cell r="B36">
            <v>43789</v>
          </cell>
        </row>
        <row r="37">
          <cell r="A37" t="str">
            <v>40-甲-1001</v>
          </cell>
          <cell r="B37">
            <v>43789</v>
          </cell>
        </row>
        <row r="38">
          <cell r="A38" t="str">
            <v>45-乙-1001</v>
          </cell>
          <cell r="B38">
            <v>43788</v>
          </cell>
        </row>
        <row r="39">
          <cell r="A39" t="str">
            <v>45-乙-1002</v>
          </cell>
          <cell r="B39">
            <v>43788</v>
          </cell>
        </row>
        <row r="40">
          <cell r="A40" t="str">
            <v>45-乙-901</v>
          </cell>
          <cell r="B40">
            <v>43784</v>
          </cell>
        </row>
        <row r="41">
          <cell r="A41" t="str">
            <v>45-乙-701</v>
          </cell>
          <cell r="B41">
            <v>43782</v>
          </cell>
        </row>
        <row r="42">
          <cell r="A42" t="str">
            <v>40-甲-302</v>
          </cell>
          <cell r="B42">
            <v>43780</v>
          </cell>
        </row>
        <row r="43">
          <cell r="A43" t="str">
            <v>40-甲-102</v>
          </cell>
          <cell r="B43">
            <v>43780</v>
          </cell>
        </row>
        <row r="44">
          <cell r="A44" t="str">
            <v>45-甲-702</v>
          </cell>
          <cell r="B44">
            <v>43780</v>
          </cell>
        </row>
        <row r="45">
          <cell r="A45" t="str">
            <v>40-乙-801</v>
          </cell>
          <cell r="B45">
            <v>43780</v>
          </cell>
        </row>
        <row r="46">
          <cell r="A46" t="str">
            <v>40-乙-102</v>
          </cell>
          <cell r="B46">
            <v>43780</v>
          </cell>
        </row>
        <row r="47">
          <cell r="A47" t="str">
            <v>44-乙-302</v>
          </cell>
          <cell r="B47">
            <v>43780</v>
          </cell>
        </row>
        <row r="48">
          <cell r="A48" t="str">
            <v>40-甲-902</v>
          </cell>
          <cell r="B48">
            <v>43780</v>
          </cell>
        </row>
        <row r="49">
          <cell r="A49" t="str">
            <v>40-甲-702</v>
          </cell>
          <cell r="B49">
            <v>43780</v>
          </cell>
        </row>
        <row r="50">
          <cell r="A50" t="str">
            <v>40-乙-302</v>
          </cell>
          <cell r="B50">
            <v>43777</v>
          </cell>
        </row>
        <row r="51">
          <cell r="A51" t="str">
            <v>45-乙-902</v>
          </cell>
          <cell r="B51">
            <v>43777</v>
          </cell>
        </row>
        <row r="52">
          <cell r="A52" t="str">
            <v>40-乙-1001</v>
          </cell>
          <cell r="B52">
            <v>43776</v>
          </cell>
        </row>
        <row r="53">
          <cell r="A53" t="str">
            <v>40-甲-502</v>
          </cell>
          <cell r="B53">
            <v>43776</v>
          </cell>
        </row>
        <row r="54">
          <cell r="A54" t="str">
            <v>40-丙-901</v>
          </cell>
          <cell r="B54">
            <v>43775</v>
          </cell>
        </row>
        <row r="55">
          <cell r="A55" t="str">
            <v>40-丙-701</v>
          </cell>
          <cell r="B55">
            <v>43775</v>
          </cell>
        </row>
        <row r="56">
          <cell r="A56" t="str">
            <v>40-乙-502</v>
          </cell>
          <cell r="B56">
            <v>43773</v>
          </cell>
        </row>
        <row r="57">
          <cell r="A57" t="str">
            <v>44-甲-1001</v>
          </cell>
          <cell r="B57">
            <v>43770</v>
          </cell>
        </row>
        <row r="58">
          <cell r="A58" t="str">
            <v>40-乙-701</v>
          </cell>
          <cell r="B58">
            <v>43769</v>
          </cell>
        </row>
        <row r="59">
          <cell r="A59" t="str">
            <v>39-甲-802</v>
          </cell>
          <cell r="B59">
            <v>43767</v>
          </cell>
        </row>
        <row r="60">
          <cell r="A60" t="str">
            <v>40-甲-801</v>
          </cell>
          <cell r="B60">
            <v>43767</v>
          </cell>
        </row>
        <row r="61">
          <cell r="A61" t="str">
            <v>44-丙-402</v>
          </cell>
          <cell r="B61">
            <v>43763</v>
          </cell>
        </row>
        <row r="62">
          <cell r="A62" t="str">
            <v>40-乙-501</v>
          </cell>
          <cell r="B62">
            <v>43763</v>
          </cell>
        </row>
        <row r="63">
          <cell r="A63" t="str">
            <v>40-乙-901</v>
          </cell>
          <cell r="B63">
            <v>43762</v>
          </cell>
        </row>
        <row r="64">
          <cell r="A64" t="str">
            <v>44-乙-602</v>
          </cell>
          <cell r="B64">
            <v>43761</v>
          </cell>
        </row>
        <row r="65">
          <cell r="A65" t="str">
            <v>39-丙-1001</v>
          </cell>
          <cell r="B65">
            <v>43761</v>
          </cell>
        </row>
        <row r="66">
          <cell r="A66" t="str">
            <v>40-丙-502</v>
          </cell>
          <cell r="B66">
            <v>43761</v>
          </cell>
        </row>
        <row r="67">
          <cell r="A67" t="str">
            <v>40-甲-701</v>
          </cell>
          <cell r="B67">
            <v>43761</v>
          </cell>
        </row>
        <row r="68">
          <cell r="A68" t="str">
            <v>40-乙-902</v>
          </cell>
          <cell r="B68">
            <v>43758</v>
          </cell>
        </row>
        <row r="69">
          <cell r="A69" t="str">
            <v>40-丙-802</v>
          </cell>
          <cell r="B69">
            <v>43758</v>
          </cell>
        </row>
        <row r="70">
          <cell r="A70" t="str">
            <v>40-丙-1002</v>
          </cell>
          <cell r="B70">
            <v>43758</v>
          </cell>
        </row>
        <row r="71">
          <cell r="A71" t="str">
            <v>40-乙-602</v>
          </cell>
          <cell r="B71">
            <v>43754</v>
          </cell>
        </row>
        <row r="72">
          <cell r="A72" t="str">
            <v>40-乙-401</v>
          </cell>
          <cell r="B72">
            <v>43754</v>
          </cell>
        </row>
        <row r="73">
          <cell r="A73" t="str">
            <v>40-甲-601</v>
          </cell>
          <cell r="B73">
            <v>43754</v>
          </cell>
        </row>
        <row r="74">
          <cell r="A74" t="str">
            <v>39-甲-1102</v>
          </cell>
          <cell r="B74">
            <v>43754</v>
          </cell>
        </row>
        <row r="75">
          <cell r="A75" t="str">
            <v>39-乙-1102</v>
          </cell>
          <cell r="B75">
            <v>43754</v>
          </cell>
        </row>
        <row r="76">
          <cell r="A76" t="str">
            <v>44-甲-501</v>
          </cell>
          <cell r="B76">
            <v>43754</v>
          </cell>
        </row>
        <row r="77">
          <cell r="A77" t="str">
            <v>40-丙-902</v>
          </cell>
          <cell r="B77">
            <v>43754</v>
          </cell>
        </row>
        <row r="78">
          <cell r="A78" t="str">
            <v>44-乙-1102</v>
          </cell>
          <cell r="B78">
            <v>43752</v>
          </cell>
        </row>
        <row r="79">
          <cell r="A79" t="str">
            <v>39-乙-602</v>
          </cell>
          <cell r="B79">
            <v>43752</v>
          </cell>
        </row>
        <row r="80">
          <cell r="A80" t="str">
            <v>44-乙-702</v>
          </cell>
          <cell r="B80">
            <v>43752</v>
          </cell>
        </row>
        <row r="81">
          <cell r="A81" t="str">
            <v>44-乙-701</v>
          </cell>
          <cell r="B81">
            <v>43752</v>
          </cell>
        </row>
        <row r="82">
          <cell r="A82" t="str">
            <v>39-丙-102</v>
          </cell>
          <cell r="B82">
            <v>43752</v>
          </cell>
        </row>
        <row r="83">
          <cell r="A83" t="str">
            <v>44-丙-302</v>
          </cell>
          <cell r="B83">
            <v>43751</v>
          </cell>
        </row>
        <row r="84">
          <cell r="A84" t="str">
            <v>44-甲-601</v>
          </cell>
          <cell r="B84">
            <v>43751</v>
          </cell>
        </row>
        <row r="85">
          <cell r="A85" t="str">
            <v>39-甲-701</v>
          </cell>
          <cell r="B85">
            <v>43750</v>
          </cell>
        </row>
        <row r="86">
          <cell r="A86" t="str">
            <v>39-甲-301</v>
          </cell>
          <cell r="B86">
            <v>43750</v>
          </cell>
        </row>
        <row r="87">
          <cell r="A87" t="str">
            <v>44-乙-901</v>
          </cell>
          <cell r="B87">
            <v>43750</v>
          </cell>
        </row>
        <row r="88">
          <cell r="A88" t="str">
            <v>39-乙-702</v>
          </cell>
          <cell r="B88">
            <v>43750</v>
          </cell>
        </row>
        <row r="89">
          <cell r="A89" t="str">
            <v>44-乙-502</v>
          </cell>
          <cell r="B89">
            <v>43750</v>
          </cell>
        </row>
        <row r="90">
          <cell r="A90" t="str">
            <v>39-乙-601</v>
          </cell>
          <cell r="B90">
            <v>43750</v>
          </cell>
        </row>
        <row r="91">
          <cell r="A91" t="str">
            <v>44-丙-201</v>
          </cell>
          <cell r="B91">
            <v>43750</v>
          </cell>
        </row>
        <row r="92">
          <cell r="A92" t="str">
            <v>39-乙-802</v>
          </cell>
          <cell r="B92">
            <v>43750</v>
          </cell>
        </row>
        <row r="93">
          <cell r="A93" t="str">
            <v>39-乙-501</v>
          </cell>
          <cell r="B93">
            <v>43750</v>
          </cell>
        </row>
        <row r="94">
          <cell r="A94" t="str">
            <v>39-甲-702</v>
          </cell>
          <cell r="B94">
            <v>43750</v>
          </cell>
        </row>
        <row r="95">
          <cell r="A95" t="str">
            <v>44-丙-401</v>
          </cell>
          <cell r="B95">
            <v>43750</v>
          </cell>
        </row>
        <row r="96">
          <cell r="A96" t="str">
            <v>39-乙-302</v>
          </cell>
          <cell r="B96">
            <v>43750</v>
          </cell>
        </row>
        <row r="97">
          <cell r="A97" t="str">
            <v>39-丙-1002</v>
          </cell>
          <cell r="B97">
            <v>43750</v>
          </cell>
        </row>
        <row r="98">
          <cell r="A98" t="str">
            <v>44-丙-602</v>
          </cell>
          <cell r="B98">
            <v>43750</v>
          </cell>
        </row>
        <row r="99">
          <cell r="A99" t="str">
            <v>44-丙-301</v>
          </cell>
          <cell r="B99">
            <v>43750</v>
          </cell>
        </row>
        <row r="100">
          <cell r="A100" t="str">
            <v>44-丙-701</v>
          </cell>
          <cell r="B100">
            <v>43750</v>
          </cell>
        </row>
        <row r="101">
          <cell r="A101" t="str">
            <v>44-甲-301</v>
          </cell>
          <cell r="B101">
            <v>43750</v>
          </cell>
        </row>
        <row r="102">
          <cell r="A102" t="str">
            <v>44-甲-1101</v>
          </cell>
          <cell r="B102">
            <v>43750</v>
          </cell>
        </row>
        <row r="103">
          <cell r="A103" t="str">
            <v>44-乙-402</v>
          </cell>
          <cell r="B103">
            <v>43750</v>
          </cell>
        </row>
        <row r="104">
          <cell r="A104" t="str">
            <v>44-甲-801</v>
          </cell>
          <cell r="B104">
            <v>43750</v>
          </cell>
        </row>
        <row r="105">
          <cell r="A105" t="str">
            <v>44-甲-802</v>
          </cell>
          <cell r="B105">
            <v>43750</v>
          </cell>
        </row>
        <row r="106">
          <cell r="A106" t="str">
            <v>39-甲-902</v>
          </cell>
          <cell r="B106">
            <v>43750</v>
          </cell>
        </row>
        <row r="107">
          <cell r="A107" t="str">
            <v>39-甲-1002</v>
          </cell>
          <cell r="B107">
            <v>43750</v>
          </cell>
        </row>
        <row r="108">
          <cell r="A108" t="str">
            <v>39-丙-701</v>
          </cell>
          <cell r="B108">
            <v>43750</v>
          </cell>
        </row>
        <row r="109">
          <cell r="A109" t="str">
            <v>39-乙-502</v>
          </cell>
          <cell r="B109">
            <v>43750</v>
          </cell>
        </row>
        <row r="110">
          <cell r="A110" t="str">
            <v>44-甲-901</v>
          </cell>
          <cell r="B110">
            <v>43750</v>
          </cell>
        </row>
        <row r="111">
          <cell r="A111" t="str">
            <v>44-乙-201</v>
          </cell>
          <cell r="B111">
            <v>43750</v>
          </cell>
        </row>
        <row r="112">
          <cell r="A112" t="str">
            <v>44-甲-202</v>
          </cell>
          <cell r="B112">
            <v>43750</v>
          </cell>
        </row>
        <row r="113">
          <cell r="A113" t="str">
            <v>39-丙-702</v>
          </cell>
          <cell r="B113">
            <v>43749</v>
          </cell>
        </row>
        <row r="114">
          <cell r="A114" t="str">
            <v>39-甲-1001</v>
          </cell>
          <cell r="B114">
            <v>43749</v>
          </cell>
        </row>
        <row r="115">
          <cell r="A115" t="str">
            <v>39-甲-901</v>
          </cell>
          <cell r="B115">
            <v>43749</v>
          </cell>
        </row>
        <row r="116">
          <cell r="A116" t="str">
            <v>39-甲-602</v>
          </cell>
          <cell r="B116">
            <v>43749</v>
          </cell>
        </row>
        <row r="117">
          <cell r="A117" t="str">
            <v>44-甲-401</v>
          </cell>
          <cell r="B117">
            <v>43749</v>
          </cell>
        </row>
        <row r="118">
          <cell r="A118" t="str">
            <v>44-甲-701</v>
          </cell>
          <cell r="B118">
            <v>43749</v>
          </cell>
        </row>
        <row r="119">
          <cell r="A119" t="str">
            <v>44-丙-801</v>
          </cell>
          <cell r="B119">
            <v>43749</v>
          </cell>
        </row>
        <row r="120">
          <cell r="A120" t="str">
            <v>39-乙-101</v>
          </cell>
          <cell r="B120">
            <v>43749</v>
          </cell>
        </row>
        <row r="121">
          <cell r="A121" t="str">
            <v>39-乙-1001</v>
          </cell>
          <cell r="B121">
            <v>43749</v>
          </cell>
        </row>
        <row r="122">
          <cell r="A122" t="str">
            <v>44-乙-401</v>
          </cell>
          <cell r="B122">
            <v>43749</v>
          </cell>
        </row>
        <row r="123">
          <cell r="A123" t="str">
            <v>44-乙-1002</v>
          </cell>
          <cell r="B123">
            <v>43749</v>
          </cell>
        </row>
        <row r="124">
          <cell r="A124" t="str">
            <v>39-丙-302</v>
          </cell>
          <cell r="B124">
            <v>43749</v>
          </cell>
        </row>
        <row r="125">
          <cell r="A125" t="str">
            <v>39-乙-102</v>
          </cell>
          <cell r="B125">
            <v>43749</v>
          </cell>
        </row>
        <row r="126">
          <cell r="A126" t="str">
            <v>44-甲-402</v>
          </cell>
          <cell r="B126">
            <v>43749</v>
          </cell>
        </row>
        <row r="127">
          <cell r="A127" t="str">
            <v>39-甲-102</v>
          </cell>
          <cell r="B127">
            <v>43749</v>
          </cell>
        </row>
        <row r="128">
          <cell r="A128" t="str">
            <v>44-乙-202</v>
          </cell>
          <cell r="B128">
            <v>43749</v>
          </cell>
        </row>
        <row r="129">
          <cell r="A129" t="str">
            <v>39-乙-402</v>
          </cell>
          <cell r="B129">
            <v>43749</v>
          </cell>
        </row>
        <row r="130">
          <cell r="A130" t="str">
            <v>39-乙-1002</v>
          </cell>
          <cell r="B130">
            <v>43749</v>
          </cell>
        </row>
        <row r="131">
          <cell r="A131" t="str">
            <v>39-丙-802</v>
          </cell>
          <cell r="B131">
            <v>43749</v>
          </cell>
        </row>
        <row r="132">
          <cell r="A132" t="str">
            <v>44-丙-501</v>
          </cell>
          <cell r="B132">
            <v>43749</v>
          </cell>
        </row>
        <row r="133">
          <cell r="A133" t="str">
            <v>39-甲-302</v>
          </cell>
          <cell r="B133">
            <v>43749</v>
          </cell>
        </row>
        <row r="134">
          <cell r="A134" t="str">
            <v>39-丙-201</v>
          </cell>
          <cell r="B134">
            <v>43749</v>
          </cell>
        </row>
        <row r="135">
          <cell r="A135" t="str">
            <v>44-乙-1001</v>
          </cell>
          <cell r="B135">
            <v>43749</v>
          </cell>
        </row>
        <row r="136">
          <cell r="A136" t="str">
            <v>39-丙-502</v>
          </cell>
          <cell r="B136">
            <v>43749</v>
          </cell>
        </row>
        <row r="137">
          <cell r="A137" t="str">
            <v>39-甲-401</v>
          </cell>
          <cell r="B137">
            <v>43749</v>
          </cell>
        </row>
        <row r="138">
          <cell r="A138" t="str">
            <v>39-丙-602</v>
          </cell>
          <cell r="B138">
            <v>43749</v>
          </cell>
        </row>
        <row r="139">
          <cell r="A139" t="str">
            <v>44-丙-802</v>
          </cell>
          <cell r="B139">
            <v>43749</v>
          </cell>
        </row>
        <row r="140">
          <cell r="A140" t="str">
            <v>39-乙-301</v>
          </cell>
          <cell r="B140">
            <v>43749</v>
          </cell>
        </row>
        <row r="141">
          <cell r="A141" t="str">
            <v>44-乙-601</v>
          </cell>
          <cell r="B141">
            <v>43749</v>
          </cell>
        </row>
        <row r="142">
          <cell r="A142" t="str">
            <v>44-丙-1001</v>
          </cell>
          <cell r="B142">
            <v>43749</v>
          </cell>
        </row>
        <row r="143">
          <cell r="A143" t="str">
            <v>44-乙-802</v>
          </cell>
          <cell r="B143">
            <v>43749</v>
          </cell>
        </row>
        <row r="144">
          <cell r="A144" t="str">
            <v>39-乙-902</v>
          </cell>
          <cell r="B144">
            <v>43749</v>
          </cell>
        </row>
        <row r="145">
          <cell r="A145" t="str">
            <v>44-甲-1102</v>
          </cell>
          <cell r="B145">
            <v>43749</v>
          </cell>
        </row>
        <row r="146">
          <cell r="A146" t="str">
            <v>39-甲-202</v>
          </cell>
          <cell r="B146">
            <v>43749</v>
          </cell>
        </row>
        <row r="147">
          <cell r="A147" t="str">
            <v>39-甲-1101</v>
          </cell>
          <cell r="B147">
            <v>43749</v>
          </cell>
        </row>
        <row r="148">
          <cell r="A148" t="str">
            <v>39-丙-801</v>
          </cell>
          <cell r="B148">
            <v>43749</v>
          </cell>
        </row>
        <row r="149">
          <cell r="A149" t="str">
            <v>44-丙-502</v>
          </cell>
          <cell r="B149">
            <v>43749</v>
          </cell>
        </row>
        <row r="150">
          <cell r="A150" t="str">
            <v>44-甲-902</v>
          </cell>
          <cell r="B150">
            <v>43749</v>
          </cell>
        </row>
        <row r="151">
          <cell r="A151" t="str">
            <v>44-丙-901</v>
          </cell>
          <cell r="B151">
            <v>43748</v>
          </cell>
        </row>
        <row r="152">
          <cell r="A152" t="str">
            <v>44-丙-1101</v>
          </cell>
          <cell r="B152">
            <v>43748</v>
          </cell>
        </row>
        <row r="153">
          <cell r="A153" t="str">
            <v>44-丙-1002</v>
          </cell>
          <cell r="B153">
            <v>43748</v>
          </cell>
        </row>
        <row r="154">
          <cell r="A154" t="str">
            <v>39-甲-501</v>
          </cell>
          <cell r="B154">
            <v>43748</v>
          </cell>
        </row>
        <row r="155">
          <cell r="A155" t="str">
            <v>39-乙-901</v>
          </cell>
          <cell r="B155">
            <v>43748</v>
          </cell>
        </row>
        <row r="156">
          <cell r="A156" t="str">
            <v>44-丙-601</v>
          </cell>
          <cell r="B156">
            <v>43748</v>
          </cell>
        </row>
        <row r="157">
          <cell r="A157" t="str">
            <v>39-乙-202</v>
          </cell>
          <cell r="B157">
            <v>43748</v>
          </cell>
        </row>
        <row r="158">
          <cell r="A158" t="str">
            <v>39-乙-201</v>
          </cell>
          <cell r="B158">
            <v>43748</v>
          </cell>
        </row>
        <row r="159">
          <cell r="A159" t="str">
            <v>39-乙-401</v>
          </cell>
          <cell r="B159">
            <v>43748</v>
          </cell>
        </row>
        <row r="160">
          <cell r="A160" t="str">
            <v>44-丙-702</v>
          </cell>
          <cell r="B160">
            <v>43748</v>
          </cell>
        </row>
        <row r="161">
          <cell r="A161" t="str">
            <v>39-丙-601</v>
          </cell>
          <cell r="B161">
            <v>43748</v>
          </cell>
        </row>
        <row r="162">
          <cell r="A162" t="str">
            <v>39-乙-801</v>
          </cell>
          <cell r="B162">
            <v>43748</v>
          </cell>
        </row>
        <row r="163">
          <cell r="A163" t="str">
            <v>44-乙-1101</v>
          </cell>
          <cell r="B163">
            <v>43748</v>
          </cell>
        </row>
        <row r="164">
          <cell r="A164" t="str">
            <v>44-丙-902</v>
          </cell>
          <cell r="B164">
            <v>43748</v>
          </cell>
        </row>
        <row r="165">
          <cell r="A165" t="str">
            <v>44-甲-502</v>
          </cell>
          <cell r="B165">
            <v>43748</v>
          </cell>
        </row>
        <row r="166">
          <cell r="A166" t="str">
            <v>39-甲-402</v>
          </cell>
          <cell r="B166">
            <v>43748</v>
          </cell>
        </row>
        <row r="167">
          <cell r="A167" t="str">
            <v>39-丙-501</v>
          </cell>
          <cell r="B167">
            <v>43748</v>
          </cell>
        </row>
        <row r="168">
          <cell r="A168" t="str">
            <v>44-乙-902</v>
          </cell>
          <cell r="B168">
            <v>43748</v>
          </cell>
        </row>
        <row r="169">
          <cell r="A169" t="str">
            <v>39-丙-1102</v>
          </cell>
          <cell r="B169">
            <v>43748</v>
          </cell>
        </row>
        <row r="170">
          <cell r="A170" t="str">
            <v>39-甲-801</v>
          </cell>
          <cell r="B170">
            <v>43748</v>
          </cell>
        </row>
        <row r="171">
          <cell r="A171" t="str">
            <v>39-丙-901</v>
          </cell>
          <cell r="B171">
            <v>43748</v>
          </cell>
        </row>
        <row r="172">
          <cell r="A172" t="str">
            <v>44-乙-301</v>
          </cell>
          <cell r="B172">
            <v>43748</v>
          </cell>
        </row>
        <row r="173">
          <cell r="A173" t="str">
            <v>44-甲-1002</v>
          </cell>
          <cell r="B173">
            <v>43748</v>
          </cell>
        </row>
        <row r="174">
          <cell r="A174" t="str">
            <v>39-丙-1101</v>
          </cell>
          <cell r="B174">
            <v>43748</v>
          </cell>
        </row>
        <row r="175">
          <cell r="A175" t="str">
            <v>39-甲-601</v>
          </cell>
          <cell r="B175">
            <v>43748</v>
          </cell>
        </row>
        <row r="176">
          <cell r="A176" t="str">
            <v>44-甲-602</v>
          </cell>
          <cell r="B176">
            <v>43748</v>
          </cell>
        </row>
        <row r="177">
          <cell r="A177" t="str">
            <v>39-甲-502</v>
          </cell>
          <cell r="B177">
            <v>43748</v>
          </cell>
        </row>
        <row r="178">
          <cell r="A178" t="str">
            <v>44-甲-702</v>
          </cell>
          <cell r="B178">
            <v>43747</v>
          </cell>
        </row>
        <row r="179">
          <cell r="A179" t="str">
            <v>39-丙-301</v>
          </cell>
          <cell r="B179">
            <v>43746</v>
          </cell>
        </row>
      </sheetData>
      <sheetData sheetId="7">
        <row r="1">
          <cell r="A1" t="str">
            <v>房号</v>
          </cell>
          <cell r="B1" t="str">
            <v>房款</v>
          </cell>
          <cell r="C1" t="str">
            <v>银行</v>
          </cell>
        </row>
        <row r="2">
          <cell r="A2" t="str">
            <v>49-甲-701</v>
          </cell>
          <cell r="B2">
            <v>1330000</v>
          </cell>
          <cell r="C2" t="str">
            <v>中国银行湾里支行</v>
          </cell>
        </row>
        <row r="3">
          <cell r="A3" t="str">
            <v>49-甲-502</v>
          </cell>
          <cell r="B3">
            <v>600000</v>
          </cell>
          <cell r="C3" t="str">
            <v>中国银行湾里支行</v>
          </cell>
        </row>
        <row r="4">
          <cell r="A4" t="str">
            <v>49-乙-901</v>
          </cell>
          <cell r="B4">
            <v>800000</v>
          </cell>
          <cell r="C4" t="str">
            <v>交通银行常州武进支行</v>
          </cell>
        </row>
        <row r="5">
          <cell r="A5" t="str">
            <v>49-乙-201</v>
          </cell>
          <cell r="B5">
            <v>750000</v>
          </cell>
          <cell r="C5" t="str">
            <v>江南农村商业银行前黄支行</v>
          </cell>
        </row>
        <row r="6">
          <cell r="A6" t="str">
            <v>49-甲-1101</v>
          </cell>
          <cell r="B6">
            <v>1100000</v>
          </cell>
          <cell r="C6" t="str">
            <v>中国银行湾里支行</v>
          </cell>
        </row>
        <row r="7">
          <cell r="A7" t="str">
            <v>49-丙-1002</v>
          </cell>
          <cell r="B7">
            <v>1590000</v>
          </cell>
          <cell r="C7" t="str">
            <v>中国银行湾里支行</v>
          </cell>
        </row>
        <row r="8">
          <cell r="A8" t="str">
            <v>49-乙-401</v>
          </cell>
          <cell r="B8">
            <v>1420000</v>
          </cell>
          <cell r="C8" t="str">
            <v>中国银行湾里支行</v>
          </cell>
        </row>
        <row r="9">
          <cell r="A9" t="str">
            <v>1-106</v>
          </cell>
          <cell r="B9">
            <v>3990000</v>
          </cell>
          <cell r="C9" t="str">
            <v>交通银行常州武进支行</v>
          </cell>
        </row>
        <row r="10">
          <cell r="A10" t="str">
            <v>2-102</v>
          </cell>
          <cell r="B10">
            <v>5150000</v>
          </cell>
          <cell r="C10" t="str">
            <v>江南农村商业银行前黄支行</v>
          </cell>
        </row>
        <row r="11">
          <cell r="A11" t="str">
            <v>49-乙-902</v>
          </cell>
          <cell r="B11">
            <v>1000000</v>
          </cell>
          <cell r="C11" t="str">
            <v>中国银行湾里支行</v>
          </cell>
        </row>
        <row r="12">
          <cell r="A12" t="str">
            <v>43-丙-1002</v>
          </cell>
          <cell r="B12">
            <v>800000</v>
          </cell>
          <cell r="C12" t="str">
            <v>中国银行湾里支行</v>
          </cell>
        </row>
        <row r="13">
          <cell r="A13" t="str">
            <v>43-乙-1001</v>
          </cell>
          <cell r="B13">
            <v>1300000</v>
          </cell>
          <cell r="C13" t="str">
            <v>中国银行湾里支行</v>
          </cell>
        </row>
        <row r="14">
          <cell r="A14" t="str">
            <v>49-丙-1001</v>
          </cell>
          <cell r="B14">
            <v>1000000</v>
          </cell>
          <cell r="C14" t="str">
            <v>中国银行湾里支行</v>
          </cell>
        </row>
        <row r="15">
          <cell r="A15" t="str">
            <v>43-丙-602</v>
          </cell>
          <cell r="B15">
            <v>700000</v>
          </cell>
          <cell r="C15" t="str">
            <v>中国银行湾里支行</v>
          </cell>
        </row>
        <row r="16">
          <cell r="A16" t="str">
            <v>49-丙-502</v>
          </cell>
          <cell r="B16">
            <v>1480000</v>
          </cell>
          <cell r="C16" t="str">
            <v>农业银行常州武进支行</v>
          </cell>
        </row>
        <row r="17">
          <cell r="A17" t="str">
            <v>49-甲-601</v>
          </cell>
          <cell r="B17">
            <v>1480000</v>
          </cell>
          <cell r="C17" t="str">
            <v>中国银行湾里支行</v>
          </cell>
        </row>
        <row r="18">
          <cell r="A18" t="str">
            <v>49-甲-902</v>
          </cell>
          <cell r="B18">
            <v>800000</v>
          </cell>
          <cell r="C18" t="str">
            <v>中国银行湾里支行</v>
          </cell>
        </row>
      </sheetData>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2646</v>
      </c>
      <c r="B1" s="2727" t="s">
        <v>2743</v>
      </c>
    </row>
    <row r="2" spans="1:55" s="2731" customFormat="1" ht="15" thickTop="1">
      <c r="A2" s="2729" t="s">
        <v>2650</v>
      </c>
      <c r="B2" s="2730" t="str">
        <f>'预评函-封皮'!B37</f>
        <v>出让国有建设用地使用权抵押价格预评估</v>
      </c>
      <c r="AX2" s="2732"/>
      <c r="AZ2" s="2732"/>
      <c r="BA2" s="2733"/>
      <c r="BC2" s="2733"/>
    </row>
    <row r="3" spans="1:55" s="2734" customFormat="1">
      <c r="A3" s="2713" t="s">
        <v>2651</v>
      </c>
      <c r="B3" s="2716">
        <f>'预评函-封皮'!B40</f>
        <v>0</v>
      </c>
    </row>
    <row r="4" spans="1:55" s="2715" customFormat="1">
      <c r="A4" s="2713" t="s">
        <v>2652</v>
      </c>
      <c r="B4" s="2714" t="str">
        <f>'预评函-封皮'!B46</f>
        <v>土地估价师、土地估价师</v>
      </c>
      <c r="N4" s="2715" t="str">
        <f>'预评函-1'!A28</f>
        <v>本次估价的“抵押净值”是指估价对象“抵押价格”减去估价对象在估价期日以“土地销售收入”为基数计算的预计抵押权实现进行处置时需缴纳的各项费用、税金等相关费用后的价格。</v>
      </c>
    </row>
    <row r="5" spans="1:55" s="2728" customFormat="1" ht="15" thickBot="1">
      <c r="A5" s="2735" t="s">
        <v>2653</v>
      </c>
      <c r="B5" s="2736" t="str">
        <f>'预评函-封皮'!B49</f>
        <v>康正预评字号</v>
      </c>
    </row>
    <row r="6" spans="1:55" s="2737" customFormat="1" ht="15" thickTop="1">
      <c r="A6" s="2729" t="s">
        <v>2695</v>
      </c>
      <c r="B6" s="2730" t="str">
        <f>'预评函-1'!A4</f>
        <v>受贵公司委托，我公司对出让国有建设用地使用权抵押价格进行了预评估。</v>
      </c>
      <c r="AM6" s="2738"/>
    </row>
    <row r="7" spans="1:55" s="2712" customFormat="1">
      <c r="A7" s="2713" t="s">
        <v>2647</v>
      </c>
      <c r="B7" s="2714" t="str">
        <f>'预评函-1'!A6</f>
        <v>估价对象为使用的、位于出让国有建设用地使用权。根据《国有土地使用证》[]，估价对象（分摊）出让国有建设用地使用权面积为177193.01平方米。根据《建设工程规划许可证》[]、《出让合同》[]，估价对象规划建筑面积为472085.52平方米。</v>
      </c>
    </row>
    <row r="8" spans="1:55" s="2712" customFormat="1">
      <c r="A8" s="2713" t="s">
        <v>2648</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2698</v>
      </c>
      <c r="B9" s="271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2" customFormat="1">
      <c r="A10" s="2713" t="s">
        <v>2649</v>
      </c>
      <c r="B10" s="2714" t="str">
        <f>'预评函-1'!A11</f>
        <v>2020年8月7日（评估专业人员勘察现场之日）</v>
      </c>
    </row>
    <row r="11" spans="1:55" s="2712" customFormat="1">
      <c r="A11" s="2713" t="s">
        <v>2655</v>
      </c>
      <c r="B11" s="2714" t="str">
        <f>'预评函-1'!A14</f>
        <v>根据《国有土地使用证》[]，本次评估估价对象证载（地类）用途为。</v>
      </c>
    </row>
    <row r="12" spans="1:55" s="2712" customFormat="1">
      <c r="A12" s="2713" t="s">
        <v>2656</v>
      </c>
      <c r="B12" s="2714" t="str">
        <f>'预评函-1'!A15</f>
        <v>本次评估设定用途即为证载用途。</v>
      </c>
    </row>
    <row r="13" spans="1:55" s="2712" customFormat="1">
      <c r="A13" s="2713" t="s">
        <v>2657</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2658</v>
      </c>
      <c r="B14" s="2714" t="str">
        <f>'预评函-1'!A18</f>
        <v>。本次评估设定土地开发程度为红线外市政基础设施达“七通”、宗地红线内场地平整。</v>
      </c>
    </row>
    <row r="15" spans="1:55" s="2712" customFormat="1">
      <c r="A15" s="2713" t="s">
        <v>2654</v>
      </c>
      <c r="B15" s="2714" t="str">
        <f>'预评函-1'!A20</f>
        <v>根据《国有土地使用证》[]，估价对象（分摊）出让国有建设用地使用权面积为177193.01平方米。根据《建设工程规划许可证》[]、《出让合同》[]，估价对象规划建筑面积为472085.52平方米。</v>
      </c>
    </row>
    <row r="16" spans="1:55" s="2712" customFormat="1">
      <c r="A16" s="2713" t="s">
        <v>2659</v>
      </c>
      <c r="B16" s="27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3月30日、商业2052年3月30日、办公2062年3月30日、地下车库2062年3月30日。截至估价期日，出让国有建设用地使用权剩余土地使用年限为。</v>
      </c>
    </row>
    <row r="17" spans="1:48" s="2712" customFormat="1">
      <c r="A17" s="2713" t="s">
        <v>2660</v>
      </c>
      <c r="B17" s="2714" t="str">
        <f>'预评函-1'!A23</f>
        <v>本次评估设定估价对象剩余土地使用年限为。</v>
      </c>
    </row>
    <row r="18" spans="1:48" s="2712" customFormat="1">
      <c r="A18" s="2713" t="s">
        <v>2661</v>
      </c>
      <c r="B18" s="2714" t="str">
        <f>'预评函-1'!A25</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19" spans="1:48" s="2712" customFormat="1">
      <c r="A19" s="2713" t="s">
        <v>2662</v>
      </c>
      <c r="B19" s="2714" t="str">
        <f>'预评函-1'!A26</f>
        <v>本次估价的“抵押价格”是指估价对象在估价期日的“出让国有建设用地使用权价格”扣减估价师于估价期日所知悉的法定优先受偿款后的余额。</v>
      </c>
    </row>
    <row r="20" spans="1:48" s="2712" customFormat="1">
      <c r="A20" s="2713" t="s">
        <v>2663</v>
      </c>
      <c r="B20" s="2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8" customFormat="1" ht="15" thickBot="1">
      <c r="A21" s="2735" t="s">
        <v>2664</v>
      </c>
      <c r="B21" s="27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4" t="s">
        <v>2665</v>
      </c>
      <c r="B22" s="2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3" t="s">
        <v>2666</v>
      </c>
      <c r="B23" s="2714" t="str">
        <f>'预评函-2'!K2</f>
        <v>估价期日：2020年8月7日</v>
      </c>
    </row>
    <row r="24" spans="1:48">
      <c r="A24" s="2713" t="s">
        <v>2667</v>
      </c>
      <c r="B24" s="2714" t="str">
        <f>'预评函-2'!R2</f>
        <v>估价期日的国有建设用地使用权性质：出让</v>
      </c>
    </row>
    <row r="25" spans="1:48">
      <c r="A25" s="2713" t="s">
        <v>2723</v>
      </c>
      <c r="B25" s="2714" t="str">
        <f>'预评函-2'!A3</f>
        <v>估价期日土地使用者</v>
      </c>
    </row>
    <row r="26" spans="1:48">
      <c r="A26" s="2713" t="s">
        <v>2699</v>
      </c>
      <c r="B26" s="2714" t="str">
        <f>'预评函-2'!A5</f>
        <v>中信开发</v>
      </c>
    </row>
    <row r="27" spans="1:48">
      <c r="A27" s="2713" t="s">
        <v>2724</v>
      </c>
      <c r="B27" s="2714" t="str">
        <f>'预评函-2'!B3</f>
        <v>宗地编号/不动产单元号</v>
      </c>
    </row>
    <row r="28" spans="1:48">
      <c r="A28" s="2713" t="s">
        <v>2700</v>
      </c>
      <c r="B28" s="2714" t="str">
        <f>'预评函-2'!B5</f>
        <v>11111111111</v>
      </c>
    </row>
    <row r="29" spans="1:48">
      <c r="A29" s="2713" t="s">
        <v>2726</v>
      </c>
      <c r="B29" s="2714">
        <f>'预评函-2'!C5</f>
        <v>22</v>
      </c>
    </row>
    <row r="30" spans="1:48">
      <c r="A30" s="2713" t="s">
        <v>2727</v>
      </c>
      <c r="B30" s="2714" t="str">
        <f>'预评函-2'!D3</f>
        <v>土地使用证编号/不动产权证书编号</v>
      </c>
    </row>
    <row r="31" spans="1:48">
      <c r="A31" s="2713" t="s">
        <v>2701</v>
      </c>
      <c r="B31" s="2714" t="str">
        <f>'预评函-2'!D5</f>
        <v>京国土字第111号</v>
      </c>
    </row>
    <row r="32" spans="1:48">
      <c r="A32" s="2713" t="s">
        <v>2702</v>
      </c>
      <c r="B32" s="2714">
        <f>'预评函-2'!E5</f>
        <v>0</v>
      </c>
      <c r="AV32" s="2718"/>
    </row>
    <row r="33" spans="1:2">
      <c r="A33" s="2713" t="s">
        <v>2703</v>
      </c>
      <c r="B33" s="2714">
        <f>'预评函-2'!F5</f>
        <v>258</v>
      </c>
    </row>
    <row r="34" spans="1:2">
      <c r="A34" s="2713" t="s">
        <v>2704</v>
      </c>
      <c r="B34" s="2714">
        <f>'预评函-2'!G5</f>
        <v>0</v>
      </c>
    </row>
    <row r="35" spans="1:2">
      <c r="A35" s="2713" t="s">
        <v>2705</v>
      </c>
      <c r="B35" s="2714">
        <f>'预评函-2'!H5</f>
        <v>1.5</v>
      </c>
    </row>
    <row r="36" spans="1:2">
      <c r="A36" s="2713" t="s">
        <v>2706</v>
      </c>
      <c r="B36" s="2714">
        <f>'预评函-2'!I5</f>
        <v>1.5</v>
      </c>
    </row>
    <row r="37" spans="1:2">
      <c r="A37" s="2713" t="s">
        <v>2707</v>
      </c>
      <c r="B37" s="2714">
        <f>'预评函-2'!J5</f>
        <v>1.5</v>
      </c>
    </row>
    <row r="38" spans="1:2">
      <c r="A38" s="2713" t="s">
        <v>2708</v>
      </c>
      <c r="B38" s="2714" t="str">
        <f>'预评函-2'!K5</f>
        <v>红线外七通、宗地红线内</v>
      </c>
    </row>
    <row r="39" spans="1:2">
      <c r="A39" s="2713" t="s">
        <v>2709</v>
      </c>
      <c r="B39" s="2714" t="str">
        <f>'预评函-2'!L5</f>
        <v>红线外七通、宗地红线内场地</v>
      </c>
    </row>
    <row r="40" spans="1:2">
      <c r="A40" s="2713" t="s">
        <v>2728</v>
      </c>
      <c r="B40" s="2714" t="str">
        <f>'预评函-2'!M3</f>
        <v>（剩余）土地使用年限/年</v>
      </c>
    </row>
    <row r="41" spans="1:2">
      <c r="A41" s="2713" t="s">
        <v>2710</v>
      </c>
      <c r="B41" s="2714">
        <f>'预评函-2'!M5</f>
        <v>0</v>
      </c>
    </row>
    <row r="42" spans="1:2">
      <c r="A42" s="2713" t="s">
        <v>2729</v>
      </c>
      <c r="B42" s="2714" t="str">
        <f>'预评函-2'!N3</f>
        <v>（分摊）出让国有建设用地使用权面积/㎡</v>
      </c>
    </row>
    <row r="43" spans="1:2">
      <c r="A43" s="2713" t="s">
        <v>2711</v>
      </c>
      <c r="B43" s="2714">
        <f>'预评函-2'!N5</f>
        <v>177193.01</v>
      </c>
    </row>
    <row r="44" spans="1:2">
      <c r="A44" s="2713" t="s">
        <v>2730</v>
      </c>
      <c r="B44" s="2714" t="str">
        <f>'预评函-2'!O3</f>
        <v>规划建筑面积/㎡</v>
      </c>
    </row>
    <row r="45" spans="1:2">
      <c r="A45" s="2713" t="s">
        <v>2712</v>
      </c>
      <c r="B45" s="2714">
        <f>'预评函-2'!O5</f>
        <v>472085.52</v>
      </c>
    </row>
    <row r="46" spans="1:2">
      <c r="A46" s="2713" t="s">
        <v>2713</v>
      </c>
      <c r="B46" s="2714">
        <f ca="1">'预评函-2'!P5</f>
        <v>10088</v>
      </c>
    </row>
    <row r="47" spans="1:2">
      <c r="A47" s="2713" t="s">
        <v>2714</v>
      </c>
      <c r="B47" s="2714">
        <f ca="1">'预评函-2'!Q5</f>
        <v>3786</v>
      </c>
    </row>
    <row r="48" spans="1:2">
      <c r="A48" s="2713" t="s">
        <v>2715</v>
      </c>
      <c r="B48" s="2714">
        <f ca="1">'预评函-2'!R5</f>
        <v>178751</v>
      </c>
    </row>
    <row r="49" spans="1:2">
      <c r="A49" s="2713" t="s">
        <v>2731</v>
      </c>
      <c r="B49" s="2714" t="str">
        <f>'预评函-2'!A6</f>
        <v>抵押价格</v>
      </c>
    </row>
    <row r="50" spans="1:2">
      <c r="A50" s="2713" t="s">
        <v>2716</v>
      </c>
      <c r="B50" s="2714">
        <f ca="1">'预评函-2'!R6</f>
        <v>178751</v>
      </c>
    </row>
    <row r="51" spans="1:2">
      <c r="A51" s="2713" t="s">
        <v>2732</v>
      </c>
      <c r="B51" s="2714" t="str">
        <f>'预评函-2'!A7</f>
        <v>——</v>
      </c>
    </row>
    <row r="52" spans="1:2">
      <c r="A52" s="2713" t="s">
        <v>2717</v>
      </c>
      <c r="B52" s="2714" t="str">
        <f>'预评函-2'!R7</f>
        <v>——</v>
      </c>
    </row>
    <row r="53" spans="1:2">
      <c r="A53" s="2713" t="s">
        <v>2733</v>
      </c>
      <c r="B53" s="2714">
        <f>'预评函-2'!A8</f>
        <v>0</v>
      </c>
    </row>
    <row r="54" spans="1:2" s="2728" customFormat="1" ht="15" thickBot="1">
      <c r="A54" s="2735" t="s">
        <v>2718</v>
      </c>
      <c r="B54" s="2736" t="str">
        <f>'预评函-2'!R8</f>
        <v>——</v>
      </c>
    </row>
    <row r="55" spans="1:2" ht="15" thickTop="1">
      <c r="A55" s="2724" t="s">
        <v>2668</v>
      </c>
      <c r="B55" s="2725" t="str">
        <f>'预评函-3'!A2</f>
        <v>1.权利限制：根据估价对象《不动产权证书》原件、《国有土地使用权》复印件，截至估价期日，估价对象抵押权未见登记。未设定租赁等其他他项权利。</v>
      </c>
    </row>
    <row r="56" spans="1:2">
      <c r="A56" s="2713" t="s">
        <v>2669</v>
      </c>
      <c r="B56" s="2714" t="str">
        <f>'预评函-3'!A3</f>
        <v>2.基础设施条件：估价对象实际开发程度为红线外七通、宗地红线内；本次评估设定开发程度为红线外七通、宗地红线内场地。</v>
      </c>
    </row>
    <row r="57" spans="1:2">
      <c r="A57" s="2713" t="s">
        <v>2670</v>
      </c>
      <c r="B57" s="2714" t="str">
        <f>'预评函-3'!A4</f>
        <v>3.估价规划限制条件：详见《建设工程规划许可证》[]、《出让合同》[]。</v>
      </c>
    </row>
    <row r="58" spans="1:2" s="2728" customFormat="1" ht="15" thickBot="1">
      <c r="A58" s="2735" t="s">
        <v>2719</v>
      </c>
      <c r="B58" s="2736" t="str">
        <f>'预评函-3'!A5</f>
        <v>4.影响价格的其他限定条件：无。</v>
      </c>
    </row>
    <row r="59" spans="1:2" ht="15" thickTop="1">
      <c r="A59" s="2724" t="s">
        <v>2671</v>
      </c>
      <c r="B59" s="2725" t="str">
        <f>'预评函-3'!A8</f>
        <v>2.本《评估意见函》仅供金融机构进行内部审核使用，不做其他目的之用。</v>
      </c>
    </row>
    <row r="60" spans="1:2">
      <c r="A60" s="2713" t="s">
        <v>2672</v>
      </c>
      <c r="B60" s="2714" t="str">
        <f>'预评函-3'!A9</f>
        <v>3.抵押双方在办理抵押登记手续时，应使用本公司出具的正式《土地估价报告》，特提请报告使用者注意。</v>
      </c>
    </row>
    <row r="61" spans="1:2">
      <c r="A61" s="2713" t="s">
        <v>2674</v>
      </c>
      <c r="B61" s="2714" t="str">
        <f>'预评函-3'!A10</f>
        <v>4.估价师所知悉的法定优先受偿款情况为：</v>
      </c>
    </row>
    <row r="62" spans="1:2">
      <c r="A62" s="2713" t="s">
        <v>2673</v>
      </c>
      <c r="B62" s="27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3" t="s">
        <v>2675</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2676</v>
      </c>
      <c r="B64" s="2719" t="str">
        <f>'预评函-3'!A13</f>
        <v>（3）。</v>
      </c>
    </row>
    <row r="65" spans="1:2">
      <c r="A65" s="2713" t="s">
        <v>2677</v>
      </c>
      <c r="B65" s="2720" t="str">
        <f>'预评函-3'!A14</f>
        <v>综上，本次评估不存在估价师知悉的法定优先受偿款</v>
      </c>
    </row>
    <row r="66" spans="1:2">
      <c r="A66" s="2713" t="s">
        <v>2678</v>
      </c>
      <c r="B66" s="2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2679</v>
      </c>
      <c r="B67" s="2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2682</v>
      </c>
      <c r="B68" s="2739">
        <f>'预评函-3'!D30</f>
        <v>42558</v>
      </c>
    </row>
    <row r="69" spans="1:2" ht="15" thickTop="1">
      <c r="A69" s="2724" t="s">
        <v>2680</v>
      </c>
      <c r="B69" s="2725" t="str">
        <f>'预评函-3'!A20</f>
        <v>土地估价师</v>
      </c>
    </row>
    <row r="70" spans="1:2">
      <c r="A70" s="2713" t="s">
        <v>2680</v>
      </c>
      <c r="B70" s="2720">
        <f>'预评函-3'!B20</f>
        <v>0</v>
      </c>
    </row>
    <row r="71" spans="1:2">
      <c r="A71" s="2713" t="s">
        <v>2681</v>
      </c>
      <c r="B71" s="2714" t="str">
        <f>'预评函-3'!A21</f>
        <v>土地估价师</v>
      </c>
    </row>
    <row r="72" spans="1:2" s="2728" customFormat="1" ht="15" thickBot="1">
      <c r="A72" s="2735" t="s">
        <v>2681</v>
      </c>
      <c r="B72" s="2741">
        <f>'预评函-3'!B21</f>
        <v>0</v>
      </c>
    </row>
    <row r="73" spans="1:2" ht="15" thickTop="1">
      <c r="A73" s="2724" t="s">
        <v>2740</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2741</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2742</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2777</v>
      </c>
      <c r="B76" s="272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6" sqref="C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1929</v>
      </c>
      <c r="B1" s="3373" t="str">
        <f>IF(B10="北京市","北京市",C10)&amp;F10&amp;B16&amp;"国有建设用地使用权"&amp;B9&amp;"预评估"</f>
        <v>出让国有建设用地使用权抵押价格预评估</v>
      </c>
      <c r="C1" s="3374"/>
      <c r="D1" s="3374"/>
      <c r="E1" s="3374"/>
      <c r="F1" s="3374"/>
      <c r="G1" s="3374"/>
      <c r="H1" s="3374"/>
      <c r="I1" s="3375"/>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1930</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1931</v>
      </c>
      <c r="B3" s="1642">
        <v>44050</v>
      </c>
      <c r="C3" s="1643" t="s">
        <v>1987</v>
      </c>
      <c r="D3" s="1642">
        <v>44050</v>
      </c>
      <c r="E3" s="1674"/>
      <c r="F3" s="1674"/>
      <c r="G3" s="1674"/>
      <c r="H3" s="1640"/>
      <c r="I3" s="1675"/>
      <c r="J3" s="1674"/>
      <c r="K3" s="1754"/>
      <c r="L3" s="1703"/>
      <c r="M3" s="1703"/>
      <c r="N3" s="1674"/>
      <c r="O3" s="1675"/>
      <c r="P3" s="1674"/>
      <c r="Q3" s="1674"/>
      <c r="R3" s="1674"/>
      <c r="S3" s="1674"/>
      <c r="T3" s="1674"/>
      <c r="U3" s="1674"/>
    </row>
    <row r="4" spans="1:21" ht="29.25" thickBot="1">
      <c r="A4" s="1644" t="s">
        <v>1932</v>
      </c>
      <c r="B4" s="1823" t="s">
        <v>2879</v>
      </c>
      <c r="C4" s="1826">
        <f>SUMIF(土地估价师,B4,估价师及机构信息!E3:E24)</f>
        <v>0</v>
      </c>
      <c r="D4" s="1823" t="s">
        <v>2879</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1933</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2696</v>
      </c>
      <c r="B6" s="1769"/>
      <c r="C6" s="1741"/>
      <c r="D6" s="1648"/>
      <c r="E6" s="1674"/>
      <c r="F6" s="1674"/>
      <c r="G6" s="1674"/>
      <c r="H6" s="1640"/>
      <c r="I6" s="1675"/>
      <c r="J6" s="1674"/>
      <c r="K6" s="2880" t="str">
        <f>IF(COUNTIF(B6,"*上海银行*"),"上海银行","")</f>
        <v/>
      </c>
      <c r="L6" s="1703"/>
      <c r="M6" s="1703"/>
      <c r="N6" s="1674"/>
      <c r="O6" s="1675"/>
      <c r="P6" s="1674"/>
      <c r="Q6" s="1674"/>
      <c r="R6" s="1674"/>
      <c r="S6" s="1674"/>
      <c r="T6" s="1674"/>
      <c r="U6" s="1674"/>
    </row>
    <row r="7" spans="1:21">
      <c r="A7" s="1649" t="s">
        <v>2697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1934</v>
      </c>
      <c r="B8" s="1650" t="s">
        <v>2981</v>
      </c>
      <c r="C8" s="1651"/>
      <c r="D8" s="3379" t="s">
        <v>1936</v>
      </c>
      <c r="E8" s="1824" t="s">
        <v>2993</v>
      </c>
      <c r="F8" s="1652"/>
      <c r="G8" s="1640"/>
      <c r="H8" s="1640"/>
      <c r="I8" s="1687"/>
      <c r="J8" s="1674"/>
      <c r="K8" s="1754"/>
      <c r="L8" s="1703"/>
      <c r="M8" s="1703"/>
      <c r="N8" s="1674"/>
      <c r="O8" s="1675"/>
      <c r="P8" s="1674"/>
      <c r="Q8" s="1674"/>
      <c r="R8" s="1674"/>
      <c r="S8" s="1674"/>
      <c r="T8" s="1674"/>
      <c r="U8" s="1674"/>
    </row>
    <row r="9" spans="1:21" ht="15" thickBot="1">
      <c r="A9" s="1653" t="s">
        <v>1935</v>
      </c>
      <c r="B9" s="1654" t="s">
        <v>2993</v>
      </c>
      <c r="C9" s="1655"/>
      <c r="D9" s="3380"/>
      <c r="E9" s="1654"/>
      <c r="F9" s="1727"/>
      <c r="G9" s="1722"/>
      <c r="H9" s="1722"/>
      <c r="I9" s="1723"/>
      <c r="J9" s="1674"/>
      <c r="K9" s="1754"/>
      <c r="L9" s="1703"/>
      <c r="M9" s="1703"/>
      <c r="N9" s="1674"/>
      <c r="O9" s="1675"/>
      <c r="P9" s="1674"/>
      <c r="Q9" s="1674"/>
      <c r="R9" s="1674"/>
      <c r="S9" s="1674"/>
      <c r="T9" s="1674"/>
      <c r="U9" s="1674"/>
    </row>
    <row r="10" spans="1:21" ht="15" thickTop="1">
      <c r="A10" s="1724" t="s">
        <v>1991</v>
      </c>
      <c r="B10" s="1699" t="s">
        <v>2994</v>
      </c>
      <c r="C10" s="1656"/>
      <c r="D10" s="1647"/>
      <c r="E10" s="1657" t="s">
        <v>1938</v>
      </c>
      <c r="F10" s="1658"/>
      <c r="G10" s="1725"/>
      <c r="H10" s="1726"/>
      <c r="I10" s="1647"/>
      <c r="J10" s="1674"/>
      <c r="K10" s="1754"/>
      <c r="L10" s="1703"/>
      <c r="M10" s="1703"/>
      <c r="N10" s="1674"/>
      <c r="O10" s="1675"/>
      <c r="P10" s="1674"/>
      <c r="Q10" s="1674"/>
      <c r="R10" s="1674"/>
      <c r="S10" s="1674"/>
      <c r="T10" s="1674"/>
      <c r="U10" s="1674"/>
    </row>
    <row r="11" spans="1:21">
      <c r="A11" s="1677" t="s">
        <v>1992</v>
      </c>
      <c r="B11" s="1678" t="s">
        <v>2995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2050</v>
      </c>
      <c r="B12" s="3376"/>
      <c r="C12" s="3377"/>
      <c r="D12" s="3378"/>
      <c r="E12" s="1679" t="s">
        <v>2053</v>
      </c>
      <c r="F12" s="3394" t="s">
        <v>2880</v>
      </c>
      <c r="G12" s="3395"/>
      <c r="H12" s="3395"/>
      <c r="I12" s="3396"/>
      <c r="J12" s="1674"/>
      <c r="K12" s="1754"/>
      <c r="L12" s="1703"/>
      <c r="M12" s="1703"/>
      <c r="N12" s="1674"/>
      <c r="O12" s="1675"/>
      <c r="P12" s="1674"/>
      <c r="Q12" s="1674"/>
      <c r="R12" s="1674"/>
      <c r="S12" s="1674"/>
      <c r="T12" s="1674"/>
      <c r="U12" s="1674"/>
    </row>
    <row r="13" spans="1:21">
      <c r="A13" s="1667" t="s">
        <v>2051</v>
      </c>
      <c r="B13" s="3376"/>
      <c r="C13" s="3377"/>
      <c r="D13" s="3378"/>
      <c r="E13" s="1679" t="s">
        <v>2053</v>
      </c>
      <c r="F13" s="3394" t="s">
        <v>2881</v>
      </c>
      <c r="G13" s="3395"/>
      <c r="H13" s="3395"/>
      <c r="I13" s="3396"/>
      <c r="J13" s="1674"/>
      <c r="K13" s="1754"/>
      <c r="L13" s="1703"/>
      <c r="M13" s="1703"/>
      <c r="N13" s="1674"/>
      <c r="O13" s="1675"/>
      <c r="P13" s="1674"/>
      <c r="Q13" s="1674"/>
      <c r="R13" s="1674"/>
      <c r="S13" s="1674"/>
      <c r="T13" s="1674"/>
      <c r="U13" s="1674"/>
    </row>
    <row r="14" spans="1:21">
      <c r="A14" s="1641" t="s">
        <v>2054</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1941</v>
      </c>
      <c r="E15" s="1746" t="s">
        <v>1942</v>
      </c>
      <c r="F15" s="1746" t="s">
        <v>1943</v>
      </c>
      <c r="G15" s="1666" t="s">
        <v>1944</v>
      </c>
      <c r="H15" s="1666" t="s">
        <v>1945</v>
      </c>
      <c r="I15" s="1666" t="s">
        <v>1946</v>
      </c>
      <c r="J15" s="1674"/>
      <c r="K15" s="1754"/>
      <c r="L15" s="1703"/>
      <c r="M15" s="1703"/>
      <c r="N15" s="1674"/>
      <c r="O15" s="1675"/>
      <c r="P15" s="1674"/>
      <c r="Q15" s="1674"/>
      <c r="R15" s="1674"/>
      <c r="S15" s="1674"/>
      <c r="T15" s="1674"/>
      <c r="U15" s="1674"/>
    </row>
    <row r="16" spans="1:21" ht="42.75">
      <c r="A16" s="1660" t="s">
        <v>1939</v>
      </c>
      <c r="B16" s="1661" t="s">
        <v>2976</v>
      </c>
      <c r="C16" s="1679" t="s">
        <v>1940</v>
      </c>
      <c r="D16" s="2606" t="s">
        <v>1941</v>
      </c>
      <c r="E16" s="1702" t="s">
        <v>2996</v>
      </c>
      <c r="F16" s="1702" t="s">
        <v>1674</v>
      </c>
      <c r="G16" s="1702" t="s">
        <v>35</v>
      </c>
      <c r="H16" s="1702"/>
      <c r="I16" s="1666" t="s">
        <v>1946</v>
      </c>
      <c r="J16" s="1674"/>
      <c r="K16" s="2416" t="str">
        <f>IF(D17="","",D16&amp;TEXT(D17,"yyyy年m月d日;;"))</f>
        <v>住宅2082年3月30日</v>
      </c>
      <c r="L16" s="1679" t="str">
        <f>IF(OR(K16="",M16=""),"","、")</f>
        <v>、</v>
      </c>
      <c r="M16" s="2416" t="str">
        <f>IF(E17="","",E16&amp;TEXT(E17,"yyyy年m月d日;;"))</f>
        <v>商业2052年3月30日</v>
      </c>
      <c r="N16" s="1679" t="str">
        <f>IF(OR(M16="",O16=""),"","、")</f>
        <v>、</v>
      </c>
      <c r="O16" s="2416" t="str">
        <f>IF(F17="","",F16&amp;TEXT(F17,"yyyy年m月d日;;"))</f>
        <v>办公2062年3月30日</v>
      </c>
      <c r="P16" s="1679" t="str">
        <f>IF(OR(O16="",Q16=""),"","、")</f>
        <v>、</v>
      </c>
      <c r="Q16" s="2416" t="str">
        <f>IF(G17="","",G16&amp;TEXT(G17,"yyyy年m月d日;;"))</f>
        <v>地下车库2062年3月30日</v>
      </c>
      <c r="R16" s="1679" t="str">
        <f>IF(OR(Q16="",S16=""),"","、")</f>
        <v/>
      </c>
      <c r="S16" s="2416" t="str">
        <f>IF(H17="","",H16&amp;TEXT(H17,"yyyy年m月d日;;"))</f>
        <v/>
      </c>
      <c r="T16" s="1679" t="str">
        <f>IF(OR(S16="",U16=""),"","、")</f>
        <v/>
      </c>
      <c r="U16" s="2416" t="str">
        <f>IF(I17="","",I16&amp;TEXT(I17,"yyyy年m月d日;;"))</f>
        <v/>
      </c>
    </row>
    <row r="17" spans="1:21">
      <c r="A17" s="1743"/>
      <c r="B17" s="1662"/>
      <c r="C17" s="1663" t="s">
        <v>1947</v>
      </c>
      <c r="D17" s="1680">
        <v>66565</v>
      </c>
      <c r="E17" s="1680">
        <v>55608</v>
      </c>
      <c r="F17" s="1680">
        <v>59260</v>
      </c>
      <c r="G17" s="1680">
        <v>59260</v>
      </c>
      <c r="H17" s="1680"/>
      <c r="I17" s="1680"/>
      <c r="J17" s="1674"/>
      <c r="K17" s="2415" t="str">
        <f>CONCATENATE(K16,L16,M16,N16,O16,P16,Q16,R16,S16,T16,,U16)</f>
        <v>住宅2082年3月30日、商业2052年3月30日、办公2062年3月30日、地下车库2062年3月30日</v>
      </c>
      <c r="L17" s="1703"/>
      <c r="M17" s="1703"/>
      <c r="N17" s="1674"/>
      <c r="O17" s="1675"/>
      <c r="P17" s="1674"/>
      <c r="Q17" s="1674"/>
      <c r="R17" s="1674"/>
      <c r="S17" s="1674"/>
      <c r="T17" s="1674"/>
      <c r="U17" s="1674"/>
    </row>
    <row r="18" spans="1:21">
      <c r="A18" s="1743"/>
      <c r="B18" s="1662"/>
      <c r="C18" s="1663" t="s">
        <v>1948</v>
      </c>
      <c r="D18" s="1664">
        <v>70</v>
      </c>
      <c r="E18" s="1664">
        <v>40</v>
      </c>
      <c r="F18" s="1664">
        <v>50</v>
      </c>
      <c r="G18" s="1664">
        <v>50</v>
      </c>
      <c r="H18" s="1664"/>
      <c r="I18" s="1664"/>
      <c r="J18" s="1674"/>
      <c r="K18" s="1754"/>
      <c r="L18" s="1703"/>
      <c r="M18" s="1703"/>
      <c r="N18" s="1674"/>
      <c r="O18" s="1675"/>
      <c r="P18" s="1674"/>
      <c r="Q18" s="1674"/>
      <c r="R18" s="1674"/>
      <c r="S18" s="1674"/>
      <c r="T18" s="1674"/>
      <c r="U18" s="1674"/>
    </row>
    <row r="19" spans="1:21">
      <c r="A19" s="1743"/>
      <c r="B19" s="1662"/>
      <c r="C19" s="1640" t="s">
        <v>1949</v>
      </c>
      <c r="D19" s="1738">
        <f>IF(B16="出让",IF(D17="","",ROUNDDOWN(MIN((D17-$D$3)/365,D18),2)),D18)</f>
        <v>61.68</v>
      </c>
      <c r="E19" s="1665">
        <f>IF(B16="出让",IF(E17="","",ROUNDDOWN(MIN((E17-$D$3)/365,E18),2)),E18)</f>
        <v>31.66</v>
      </c>
      <c r="F19" s="1665">
        <f>IF(B16="出让",IF(F17="","",ROUNDDOWN(MIN((F17-$D$3)/365,F18),2)),F18)</f>
        <v>41.67</v>
      </c>
      <c r="G19" s="1665">
        <f>IF(B16="出让",IF(G17="","",ROUNDDOWN(MIN((G17-$D$3)/365,G18),2)),G18)</f>
        <v>41.67</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2052</v>
      </c>
      <c r="D20" s="3391"/>
      <c r="E20" s="3392"/>
      <c r="F20" s="3392"/>
      <c r="G20" s="3392"/>
      <c r="H20" s="3392"/>
      <c r="I20" s="3393"/>
      <c r="J20" s="1674"/>
      <c r="K20" s="1754"/>
      <c r="L20" s="1703"/>
      <c r="M20" s="1703"/>
      <c r="N20" s="1674"/>
      <c r="O20" s="1675"/>
      <c r="P20" s="1674"/>
      <c r="Q20" s="1674"/>
      <c r="R20" s="1674"/>
      <c r="S20" s="1674"/>
      <c r="T20" s="1674"/>
      <c r="U20" s="1674"/>
    </row>
    <row r="21" spans="1:21">
      <c r="A21" s="1743" t="s">
        <v>1950</v>
      </c>
      <c r="B21" s="1744" t="s">
        <v>1951</v>
      </c>
      <c r="C21" s="1739">
        <f>'数据-汇总表'!E3</f>
        <v>472085.52</v>
      </c>
      <c r="D21" s="1740" t="s">
        <v>1952</v>
      </c>
      <c r="E21" s="3381" t="s">
        <v>1990</v>
      </c>
      <c r="F21" s="3382"/>
      <c r="G21" s="3382"/>
      <c r="H21" s="3382"/>
      <c r="I21" s="3383"/>
      <c r="J21" s="1674"/>
      <c r="K21" s="1754"/>
      <c r="L21" s="1703"/>
      <c r="M21" s="1703"/>
      <c r="N21" s="1674"/>
      <c r="O21" s="1675"/>
      <c r="P21" s="1674"/>
      <c r="Q21" s="1674"/>
      <c r="R21" s="1674"/>
      <c r="S21" s="1674"/>
      <c r="T21" s="1674"/>
      <c r="U21" s="1674"/>
    </row>
    <row r="22" spans="1:21">
      <c r="A22" s="2947" t="s">
        <v>949</v>
      </c>
      <c r="B22" s="1641" t="s">
        <v>1953</v>
      </c>
      <c r="C22" s="1666">
        <f>'数据-汇总表'!D3</f>
        <v>177193.01</v>
      </c>
      <c r="D22" s="1667" t="s">
        <v>1952</v>
      </c>
      <c r="E22" s="3381" t="s">
        <v>2882</v>
      </c>
      <c r="F22" s="3382"/>
      <c r="G22" s="3382"/>
      <c r="H22" s="3382"/>
      <c r="I22" s="3383"/>
      <c r="J22" s="1674"/>
      <c r="K22" s="1754"/>
      <c r="L22" s="1703"/>
      <c r="M22" s="1703"/>
      <c r="N22" s="1674"/>
      <c r="O22" s="1675"/>
      <c r="P22" s="1674"/>
      <c r="Q22" s="1674"/>
      <c r="R22" s="1674"/>
      <c r="S22" s="1674"/>
      <c r="T22" s="1674"/>
      <c r="U22" s="1674"/>
    </row>
    <row r="23" spans="1:21" ht="43.5" thickBot="1">
      <c r="A23" s="1745" t="s">
        <v>1954</v>
      </c>
      <c r="B23" s="1681" t="s">
        <v>1955</v>
      </c>
      <c r="C23" s="1682"/>
      <c r="D23" s="1683" t="s">
        <v>1956</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1957</v>
      </c>
      <c r="B24" s="3384" t="s">
        <v>1958</v>
      </c>
      <c r="C24" s="3385"/>
      <c r="D24" s="3386" t="s">
        <v>1959</v>
      </c>
      <c r="E24" s="3387"/>
      <c r="F24" s="1688" t="s">
        <v>1960</v>
      </c>
      <c r="G24" s="1674"/>
      <c r="H24" s="1674"/>
      <c r="I24" s="1687"/>
      <c r="J24" s="1674"/>
      <c r="K24" s="3372" t="s">
        <v>1961</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2316</v>
      </c>
      <c r="C25" s="1689" t="s">
        <v>1962</v>
      </c>
      <c r="D25" s="1690"/>
      <c r="E25" s="1691" t="s">
        <v>949</v>
      </c>
      <c r="F25" s="1692"/>
      <c r="G25" s="1674"/>
      <c r="H25" s="1674"/>
      <c r="I25" s="1687"/>
      <c r="J25" s="1674"/>
      <c r="K25" s="337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1963</v>
      </c>
      <c r="C26" s="1689" t="s">
        <v>2317</v>
      </c>
      <c r="D26" s="1640"/>
      <c r="E26" s="1640"/>
      <c r="F26" s="1668"/>
      <c r="G26" s="1674"/>
      <c r="H26" s="1674"/>
      <c r="I26" s="1687"/>
      <c r="J26" s="1674"/>
      <c r="K26" s="337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1964</v>
      </c>
      <c r="B27" s="1733" t="s">
        <v>1965</v>
      </c>
      <c r="C27" s="1693"/>
      <c r="D27" s="2611" t="s">
        <v>1965</v>
      </c>
      <c r="E27" s="1694"/>
      <c r="F27" s="1668"/>
      <c r="G27" s="1674"/>
      <c r="H27" s="1674"/>
      <c r="I27" s="1687"/>
      <c r="J27" s="1674"/>
      <c r="K27" s="1754"/>
      <c r="L27" s="1703"/>
      <c r="M27" s="1703"/>
      <c r="N27" s="1674"/>
      <c r="O27" s="1675"/>
      <c r="P27" s="1674"/>
      <c r="Q27" s="1674"/>
      <c r="R27" s="1674"/>
      <c r="S27" s="1674"/>
      <c r="T27" s="1674"/>
      <c r="U27" s="1674"/>
    </row>
    <row r="28" spans="1:21">
      <c r="A28" s="1736"/>
      <c r="B28" s="1733" t="s">
        <v>1966</v>
      </c>
      <c r="C28" s="1695"/>
      <c r="D28" s="2612" t="s">
        <v>1966</v>
      </c>
      <c r="E28" s="1696"/>
      <c r="F28" s="1668"/>
      <c r="G28" s="1674"/>
      <c r="H28" s="1674"/>
      <c r="I28" s="1687"/>
      <c r="J28" s="1674"/>
      <c r="K28" s="1754"/>
      <c r="L28" s="1703"/>
      <c r="M28" s="1703"/>
      <c r="N28" s="1674"/>
      <c r="O28" s="1675"/>
      <c r="P28" s="1674"/>
      <c r="Q28" s="1674"/>
      <c r="R28" s="1674"/>
      <c r="S28" s="1674"/>
      <c r="T28" s="1674"/>
      <c r="U28" s="1674"/>
    </row>
    <row r="29" spans="1:21">
      <c r="A29" s="1736"/>
      <c r="B29" s="1733" t="s">
        <v>1967</v>
      </c>
      <c r="C29" s="1695"/>
      <c r="D29" s="2612" t="s">
        <v>1967</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1968</v>
      </c>
      <c r="C30" s="1697"/>
      <c r="D30" s="2613" t="s">
        <v>1968</v>
      </c>
      <c r="E30" s="1698"/>
      <c r="F30" s="1669"/>
      <c r="G30" s="1722"/>
      <c r="H30" s="1722"/>
      <c r="I30" s="1723"/>
      <c r="J30" s="1674"/>
      <c r="K30" s="1754"/>
      <c r="L30" s="1703"/>
      <c r="M30" s="1703"/>
      <c r="N30" s="1674"/>
      <c r="O30" s="1675"/>
      <c r="P30" s="1674"/>
      <c r="Q30" s="1674"/>
      <c r="R30" s="1674"/>
      <c r="S30" s="1674"/>
      <c r="T30" s="1674"/>
      <c r="U30" s="1674"/>
    </row>
    <row r="31" spans="1:21" ht="15" thickTop="1">
      <c r="A31" s="3399" t="s">
        <v>1993</v>
      </c>
      <c r="B31" s="1744" t="s">
        <v>1994</v>
      </c>
      <c r="C31" s="3397"/>
      <c r="D31" s="3398"/>
      <c r="E31" s="1674"/>
      <c r="F31" s="1674"/>
      <c r="G31" s="1674"/>
      <c r="H31" s="1674"/>
      <c r="I31" s="1687"/>
      <c r="J31" s="1674"/>
      <c r="K31" s="2418"/>
      <c r="L31" s="1674"/>
      <c r="M31" s="1674"/>
      <c r="N31" s="1674"/>
      <c r="O31" s="1674"/>
      <c r="P31" s="1674"/>
      <c r="Q31" s="1674"/>
      <c r="R31" s="1674"/>
      <c r="S31" s="1674"/>
      <c r="T31" s="1674"/>
      <c r="U31" s="1674"/>
    </row>
    <row r="32" spans="1:21">
      <c r="A32" s="3399"/>
      <c r="B32" s="1641" t="s">
        <v>1995</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99"/>
      <c r="B33" s="1641" t="s">
        <v>1996</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400"/>
      <c r="B34" s="1641" t="s">
        <v>1997</v>
      </c>
      <c r="C34" s="3401"/>
      <c r="D34" s="3402"/>
      <c r="E34" s="1674"/>
      <c r="F34" s="1674"/>
      <c r="G34" s="1674"/>
      <c r="H34" s="1674"/>
      <c r="I34" s="1687"/>
      <c r="J34" s="1674"/>
      <c r="K34" s="2418"/>
      <c r="L34" s="1674"/>
      <c r="M34" s="1674"/>
      <c r="N34" s="1674"/>
      <c r="O34" s="1674"/>
      <c r="P34" s="1674"/>
      <c r="Q34" s="1674"/>
      <c r="R34" s="1674"/>
      <c r="S34" s="1674"/>
      <c r="T34" s="1674"/>
      <c r="U34" s="1674"/>
    </row>
    <row r="35" spans="1:21">
      <c r="A35" s="3403" t="s">
        <v>844</v>
      </c>
      <c r="B35" s="1702"/>
      <c r="C35" s="1756" t="str">
        <f>IF(B35="场地平整","——","具体情况：")</f>
        <v>具体情况：</v>
      </c>
      <c r="D35" s="3405"/>
      <c r="E35" s="3406"/>
      <c r="F35" s="3406"/>
      <c r="G35" s="3406"/>
      <c r="H35" s="3406"/>
      <c r="I35" s="3407"/>
      <c r="J35" s="1674"/>
      <c r="K35" s="1755"/>
      <c r="L35" s="1703"/>
      <c r="M35" s="1703"/>
      <c r="N35" s="1674"/>
      <c r="O35" s="1675"/>
      <c r="P35" s="1674"/>
      <c r="Q35" s="1674"/>
      <c r="R35" s="1674"/>
      <c r="S35" s="1674"/>
      <c r="T35" s="1674"/>
      <c r="U35" s="1674"/>
    </row>
    <row r="36" spans="1:21">
      <c r="A36" s="3399"/>
      <c r="B36" s="3408" t="s">
        <v>2046</v>
      </c>
      <c r="C36" s="3409"/>
      <c r="D36" s="1772"/>
      <c r="E36" s="3410"/>
      <c r="F36" s="3410"/>
      <c r="G36" s="1667" t="str">
        <f>IF(B35="场地未平整","估价结果处理","")</f>
        <v/>
      </c>
      <c r="H36" s="3411"/>
      <c r="I36" s="3411"/>
      <c r="J36" s="1674"/>
      <c r="K36" s="1755"/>
      <c r="L36" s="1703"/>
      <c r="M36" s="1703"/>
      <c r="N36" s="1674"/>
      <c r="O36" s="1675"/>
      <c r="P36" s="1674"/>
      <c r="Q36" s="1674"/>
      <c r="R36" s="1674"/>
      <c r="S36" s="1674"/>
      <c r="T36" s="1674"/>
      <c r="U36" s="1674"/>
    </row>
    <row r="37" spans="1:21" ht="28.5">
      <c r="A37" s="3399"/>
      <c r="B37" s="3388"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399"/>
      <c r="B38" s="3389"/>
      <c r="C38" s="1649" t="s">
        <v>847</v>
      </c>
      <c r="D38" s="1771">
        <f>ROUNDDOWN(MIN(('数据-取费表'!$B$2-D37)/365,D34),1)</f>
        <v>120.6</v>
      </c>
      <c r="E38" s="1707" t="s">
        <v>848</v>
      </c>
      <c r="F38" s="1674"/>
      <c r="G38" s="1674"/>
      <c r="H38" s="1674"/>
      <c r="I38" s="1687"/>
      <c r="J38" s="1674"/>
      <c r="K38" s="1755"/>
      <c r="L38" s="1674"/>
      <c r="M38" s="1674"/>
      <c r="N38" s="1674"/>
      <c r="O38" s="1674"/>
      <c r="P38" s="1674"/>
      <c r="Q38" s="1674"/>
      <c r="R38" s="1674"/>
      <c r="S38" s="1674"/>
      <c r="T38" s="1674"/>
      <c r="U38" s="1674"/>
    </row>
    <row r="39" spans="1:21">
      <c r="A39" s="3400"/>
      <c r="B39" s="339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1969</v>
      </c>
      <c r="B40" s="1670"/>
      <c r="C40" s="1670"/>
      <c r="D40" s="1670"/>
      <c r="E40" s="1670"/>
      <c r="F40" s="1670"/>
      <c r="G40" s="1670"/>
      <c r="H40" s="1670"/>
      <c r="I40" s="1687"/>
      <c r="J40" s="1674"/>
      <c r="K40" s="1710">
        <f>COUNTIF(B40:H40,"——")</f>
        <v>0</v>
      </c>
      <c r="L40" s="1679" t="s">
        <v>1970</v>
      </c>
      <c r="M40" s="1676" t="s">
        <v>1971</v>
      </c>
      <c r="N40" s="1676" t="s">
        <v>1972</v>
      </c>
      <c r="O40" s="1676" t="s">
        <v>1973</v>
      </c>
      <c r="P40" s="1676" t="s">
        <v>1974</v>
      </c>
      <c r="Q40" s="1676" t="s">
        <v>1975</v>
      </c>
      <c r="R40" s="1676" t="s">
        <v>1976</v>
      </c>
      <c r="S40" s="3371" t="s">
        <v>1977</v>
      </c>
      <c r="T40" s="1711" t="str">
        <f>NUMBERSTRING(7-K40,1)&amp;"通"</f>
        <v>七通</v>
      </c>
      <c r="U40" s="1674"/>
    </row>
    <row r="41" spans="1:21">
      <c r="A41" s="1643"/>
      <c r="B41" s="3404" t="s">
        <v>1715</v>
      </c>
      <c r="C41" s="3404"/>
      <c r="D41" s="3404"/>
      <c r="E41" s="3404"/>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371"/>
      <c r="T41" s="1713" t="str">
        <f>IF(T40="一通",L41,IF(T40="二通",M41,IF(T40="三通",N41,IF(T40="四通",O41,IF(T40="五通",P41,IF(T40="六通",Q41,R41))))))</f>
        <v>、、、、、、</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2897" customFormat="1" ht="21" thickBot="1">
      <c r="A45" s="2898" t="s">
        <v>2883</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1998</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1999</v>
      </c>
      <c r="B48" s="1666" t="s">
        <v>2000</v>
      </c>
      <c r="C48" s="1666" t="s">
        <v>2001</v>
      </c>
      <c r="D48" s="1666" t="s">
        <v>2002</v>
      </c>
      <c r="E48" s="1666" t="s">
        <v>2003</v>
      </c>
      <c r="F48" s="1666" t="s">
        <v>2004</v>
      </c>
      <c r="G48" s="1666" t="s">
        <v>2005</v>
      </c>
      <c r="H48" s="1666" t="s">
        <v>2006</v>
      </c>
      <c r="I48" s="1666" t="s">
        <v>2007</v>
      </c>
      <c r="J48" s="1752" t="s">
        <v>2008</v>
      </c>
      <c r="K48" s="1746" t="s">
        <v>2009</v>
      </c>
      <c r="L48" s="1746" t="s">
        <v>2010</v>
      </c>
      <c r="M48" s="1746" t="s">
        <v>2011</v>
      </c>
      <c r="N48" s="1666" t="s">
        <v>2012</v>
      </c>
      <c r="O48" s="1666" t="s">
        <v>2013</v>
      </c>
      <c r="P48" s="1666" t="s">
        <v>2014</v>
      </c>
      <c r="Q48" s="1679" t="s">
        <v>2015</v>
      </c>
      <c r="R48" s="1679" t="s">
        <v>2016</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5" sqref="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2" width="9.5" style="15" customWidth="1"/>
    <col min="13" max="13" width="12"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2324</v>
      </c>
      <c r="BA2" s="2321" t="s">
        <v>2323</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64929.45+112263.56</f>
        <v>177193.01</v>
      </c>
      <c r="B3" s="22">
        <f>IF(C3="否",G5-AT5,G5)</f>
        <v>472085.52</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472085.52</v>
      </c>
      <c r="H5" s="27">
        <f t="shared" ref="H5:AT5" si="0">SUM(H13:H641)</f>
        <v>434352.25</v>
      </c>
      <c r="I5" s="27">
        <f t="shared" si="0"/>
        <v>195457.31999999998</v>
      </c>
      <c r="J5" s="27">
        <f t="shared" si="0"/>
        <v>0</v>
      </c>
      <c r="K5" s="27">
        <f t="shared" si="0"/>
        <v>41200.360000000008</v>
      </c>
      <c r="L5" s="27">
        <f t="shared" si="0"/>
        <v>0</v>
      </c>
      <c r="M5" s="27">
        <f t="shared" si="0"/>
        <v>13269.76</v>
      </c>
      <c r="N5" s="27">
        <f t="shared" si="0"/>
        <v>0</v>
      </c>
      <c r="O5" s="27">
        <f t="shared" si="0"/>
        <v>11647.55</v>
      </c>
      <c r="P5" s="27">
        <f t="shared" si="0"/>
        <v>0</v>
      </c>
      <c r="Q5" s="27">
        <f t="shared" si="0"/>
        <v>55077.55</v>
      </c>
      <c r="R5" s="27">
        <f t="shared" si="0"/>
        <v>0</v>
      </c>
      <c r="S5" s="27">
        <f t="shared" si="0"/>
        <v>109970</v>
      </c>
      <c r="T5" s="27">
        <f t="shared" si="0"/>
        <v>0</v>
      </c>
      <c r="U5" s="27">
        <f t="shared" si="0"/>
        <v>7729.71</v>
      </c>
      <c r="V5" s="27">
        <f t="shared" si="0"/>
        <v>0</v>
      </c>
      <c r="W5" s="27">
        <f t="shared" si="0"/>
        <v>0</v>
      </c>
      <c r="X5" s="27">
        <f t="shared" si="0"/>
        <v>0</v>
      </c>
      <c r="Y5" s="27">
        <f t="shared" si="0"/>
        <v>0</v>
      </c>
      <c r="Z5" s="27">
        <f t="shared" si="0"/>
        <v>0</v>
      </c>
      <c r="AA5" s="27">
        <f t="shared" si="0"/>
        <v>0</v>
      </c>
      <c r="AB5" s="27">
        <f t="shared" si="0"/>
        <v>0</v>
      </c>
      <c r="AC5" s="27">
        <f t="shared" si="0"/>
        <v>37733.270000000011</v>
      </c>
      <c r="AD5" s="27">
        <f t="shared" si="0"/>
        <v>6935.72</v>
      </c>
      <c r="AE5" s="27">
        <f t="shared" si="0"/>
        <v>0</v>
      </c>
      <c r="AF5" s="27">
        <f t="shared" si="0"/>
        <v>0</v>
      </c>
      <c r="AG5" s="27">
        <f t="shared" si="0"/>
        <v>0</v>
      </c>
      <c r="AH5" s="27">
        <f t="shared" si="0"/>
        <v>0</v>
      </c>
      <c r="AI5" s="27">
        <f t="shared" si="0"/>
        <v>0</v>
      </c>
      <c r="AJ5" s="27">
        <f t="shared" si="0"/>
        <v>0</v>
      </c>
      <c r="AK5" s="27">
        <f t="shared" si="0"/>
        <v>0</v>
      </c>
      <c r="AL5" s="27">
        <f t="shared" si="0"/>
        <v>4566.88</v>
      </c>
      <c r="AM5" s="27">
        <f t="shared" si="0"/>
        <v>0</v>
      </c>
      <c r="AN5" s="27">
        <f t="shared" si="0"/>
        <v>26230.670000000013</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472085.52</v>
      </c>
      <c r="BA5" s="29">
        <f t="shared" si="1"/>
        <v>434352.25</v>
      </c>
      <c r="BB5" s="29">
        <f t="shared" si="1"/>
        <v>195457.31999999998</v>
      </c>
      <c r="BC5" s="29">
        <f t="shared" si="1"/>
        <v>41200.360000000008</v>
      </c>
      <c r="BD5" s="29">
        <f t="shared" si="1"/>
        <v>13269.76</v>
      </c>
      <c r="BE5" s="29">
        <f t="shared" si="1"/>
        <v>11647.55</v>
      </c>
      <c r="BF5" s="29">
        <f t="shared" si="1"/>
        <v>55077.55</v>
      </c>
      <c r="BG5" s="29">
        <f t="shared" si="1"/>
        <v>109970</v>
      </c>
      <c r="BH5" s="29">
        <f t="shared" si="1"/>
        <v>7729.71</v>
      </c>
      <c r="BI5" s="29">
        <f t="shared" si="1"/>
        <v>0</v>
      </c>
      <c r="BJ5" s="29">
        <f t="shared" si="1"/>
        <v>0</v>
      </c>
      <c r="BK5" s="29">
        <f t="shared" si="1"/>
        <v>0</v>
      </c>
      <c r="BL5" s="29">
        <f t="shared" si="1"/>
        <v>37733.270000000011</v>
      </c>
      <c r="BM5" s="29">
        <f t="shared" si="1"/>
        <v>6935.72</v>
      </c>
      <c r="BN5" s="29">
        <f t="shared" si="1"/>
        <v>0</v>
      </c>
      <c r="BO5" s="29">
        <f t="shared" si="1"/>
        <v>0</v>
      </c>
      <c r="BP5" s="29">
        <f t="shared" si="1"/>
        <v>0</v>
      </c>
      <c r="BQ5" s="29">
        <f t="shared" si="1"/>
        <v>4566.88</v>
      </c>
      <c r="BR5" s="29">
        <f t="shared" si="1"/>
        <v>26230.670000000013</v>
      </c>
      <c r="BS5" s="29">
        <f t="shared" si="1"/>
        <v>0</v>
      </c>
      <c r="BT5" s="30">
        <f t="shared" si="1"/>
        <v>0</v>
      </c>
    </row>
    <row r="6" spans="1:72" s="37" customFormat="1" ht="12.75">
      <c r="A6" s="26" t="s">
        <v>169</v>
      </c>
      <c r="B6" s="31"/>
      <c r="C6" s="31"/>
      <c r="D6" s="32"/>
      <c r="E6" s="27">
        <f>H6+AC6+AT6</f>
        <v>177193.00999999998</v>
      </c>
      <c r="F6" s="27" t="s">
        <v>1</v>
      </c>
      <c r="G6" s="27" t="s">
        <v>2</v>
      </c>
      <c r="H6" s="33">
        <f>SUMIF(I$12:AB$12,"总值",I6:AB6)</f>
        <v>163030.16999999998</v>
      </c>
      <c r="I6" s="27">
        <f t="shared" ref="I6:AB6" si="2">ROUND($A$3*I5/$B$3,2)</f>
        <v>73363.13</v>
      </c>
      <c r="J6" s="27">
        <f t="shared" si="2"/>
        <v>0</v>
      </c>
      <c r="K6" s="27">
        <f t="shared" si="2"/>
        <v>15464.18</v>
      </c>
      <c r="L6" s="27">
        <f t="shared" si="2"/>
        <v>0</v>
      </c>
      <c r="M6" s="27">
        <f t="shared" si="2"/>
        <v>4980.68</v>
      </c>
      <c r="N6" s="27">
        <f t="shared" si="2"/>
        <v>0</v>
      </c>
      <c r="O6" s="27">
        <f t="shared" si="2"/>
        <v>4371.8</v>
      </c>
      <c r="P6" s="27">
        <f t="shared" si="2"/>
        <v>0</v>
      </c>
      <c r="Q6" s="27">
        <f t="shared" si="2"/>
        <v>20672.86</v>
      </c>
      <c r="R6" s="27">
        <f t="shared" si="2"/>
        <v>0</v>
      </c>
      <c r="S6" s="27">
        <f t="shared" si="2"/>
        <v>41276.239999999998</v>
      </c>
      <c r="T6" s="27">
        <f t="shared" si="2"/>
        <v>0</v>
      </c>
      <c r="U6" s="27">
        <f t="shared" si="2"/>
        <v>2901.28</v>
      </c>
      <c r="V6" s="27">
        <f t="shared" si="2"/>
        <v>0</v>
      </c>
      <c r="W6" s="27">
        <f t="shared" si="2"/>
        <v>0</v>
      </c>
      <c r="X6" s="27">
        <f t="shared" si="2"/>
        <v>0</v>
      </c>
      <c r="Y6" s="27">
        <f t="shared" si="2"/>
        <v>0</v>
      </c>
      <c r="Z6" s="27">
        <f t="shared" si="2"/>
        <v>0</v>
      </c>
      <c r="AA6" s="27">
        <f t="shared" si="2"/>
        <v>0</v>
      </c>
      <c r="AB6" s="27">
        <f t="shared" si="2"/>
        <v>0</v>
      </c>
      <c r="AC6" s="33">
        <f>SUMIF(AD$12:AS$12,"总值",AD6:AS6)</f>
        <v>14162.84</v>
      </c>
      <c r="AD6" s="27">
        <f t="shared" ref="AD6:AS6" si="3">ROUND($A$3*AD5/$B$3,2)</f>
        <v>2603.2600000000002</v>
      </c>
      <c r="AE6" s="27">
        <f t="shared" si="3"/>
        <v>0</v>
      </c>
      <c r="AF6" s="27">
        <f t="shared" si="3"/>
        <v>0</v>
      </c>
      <c r="AG6" s="27">
        <f t="shared" si="3"/>
        <v>0</v>
      </c>
      <c r="AH6" s="27">
        <f t="shared" si="3"/>
        <v>0</v>
      </c>
      <c r="AI6" s="27">
        <f t="shared" si="3"/>
        <v>0</v>
      </c>
      <c r="AJ6" s="27">
        <f t="shared" si="3"/>
        <v>0</v>
      </c>
      <c r="AK6" s="27">
        <f t="shared" si="3"/>
        <v>0</v>
      </c>
      <c r="AL6" s="27">
        <f t="shared" si="3"/>
        <v>1714.14</v>
      </c>
      <c r="AM6" s="27">
        <f t="shared" si="3"/>
        <v>0</v>
      </c>
      <c r="AN6" s="27">
        <f t="shared" si="3"/>
        <v>9845.44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177193.01</v>
      </c>
      <c r="AZ6" s="27" t="s">
        <v>3</v>
      </c>
      <c r="BA6" s="27">
        <f>ROUND($AY$6*BA5/$AZ$5,2)</f>
        <v>163030.17000000001</v>
      </c>
      <c r="BB6" s="27">
        <f>ROUND($AY$6*BB5/$AZ$5,2)</f>
        <v>73363.13</v>
      </c>
      <c r="BC6" s="27">
        <f t="shared" ref="BC6:BH6" si="4">ROUND($AY$6*BC5/$AZ$5,2)</f>
        <v>15464.18</v>
      </c>
      <c r="BD6" s="27">
        <f t="shared" si="4"/>
        <v>4980.68</v>
      </c>
      <c r="BE6" s="27">
        <f t="shared" si="4"/>
        <v>4371.8</v>
      </c>
      <c r="BF6" s="27">
        <f t="shared" si="4"/>
        <v>20672.86</v>
      </c>
      <c r="BG6" s="27">
        <f t="shared" si="4"/>
        <v>41276.239999999998</v>
      </c>
      <c r="BH6" s="27">
        <f t="shared" si="4"/>
        <v>2901.28</v>
      </c>
      <c r="BI6" s="27">
        <f t="shared" ref="BI6:BT6" si="5">ROUND($AY$6*BI5/$AZ$5,2)</f>
        <v>0</v>
      </c>
      <c r="BJ6" s="27">
        <f t="shared" si="5"/>
        <v>0</v>
      </c>
      <c r="BK6" s="27">
        <f t="shared" si="5"/>
        <v>0</v>
      </c>
      <c r="BL6" s="27">
        <f t="shared" si="5"/>
        <v>14162.84</v>
      </c>
      <c r="BM6" s="27">
        <f t="shared" si="5"/>
        <v>2603.2600000000002</v>
      </c>
      <c r="BN6" s="27">
        <f t="shared" si="5"/>
        <v>0</v>
      </c>
      <c r="BO6" s="27">
        <f t="shared" si="5"/>
        <v>0</v>
      </c>
      <c r="BP6" s="27">
        <f t="shared" si="5"/>
        <v>0</v>
      </c>
      <c r="BQ6" s="27">
        <f t="shared" si="5"/>
        <v>1714.14</v>
      </c>
      <c r="BR6" s="27">
        <f t="shared" si="5"/>
        <v>9845.44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850" t="s">
        <v>2998</v>
      </c>
      <c r="J9" s="51"/>
      <c r="K9" s="2850" t="s">
        <v>2998</v>
      </c>
      <c r="L9" s="51"/>
      <c r="M9" s="2850" t="s">
        <v>2998</v>
      </c>
      <c r="N9" s="51"/>
      <c r="O9" s="59" t="s">
        <v>2998</v>
      </c>
      <c r="P9" s="51"/>
      <c r="Q9" s="59" t="s">
        <v>2998</v>
      </c>
      <c r="R9" s="51"/>
      <c r="S9" s="59" t="s">
        <v>2999</v>
      </c>
      <c r="T9" s="51"/>
      <c r="U9" s="59" t="s">
        <v>2998</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850" t="s">
        <v>920</v>
      </c>
      <c r="J10" s="51"/>
      <c r="K10" s="2852" t="s">
        <v>920</v>
      </c>
      <c r="L10" s="51"/>
      <c r="M10" s="2852" t="s">
        <v>920</v>
      </c>
      <c r="N10" s="51"/>
      <c r="O10" s="66" t="s">
        <v>2996</v>
      </c>
      <c r="P10" s="51"/>
      <c r="Q10" s="66" t="s">
        <v>1674</v>
      </c>
      <c r="R10" s="51"/>
      <c r="S10" s="66" t="s">
        <v>2997</v>
      </c>
      <c r="T10" s="51"/>
      <c r="U10" s="66" t="s">
        <v>920</v>
      </c>
      <c r="V10" s="51"/>
      <c r="W10" s="66"/>
      <c r="X10" s="51"/>
      <c r="Y10" s="66"/>
      <c r="Z10" s="51"/>
      <c r="AA10" s="66"/>
      <c r="AB10" s="51"/>
      <c r="AC10" s="55"/>
      <c r="AD10" s="2295" t="s">
        <v>2308</v>
      </c>
      <c r="AE10" s="2317"/>
      <c r="AF10" s="2295" t="s">
        <v>2308</v>
      </c>
      <c r="AG10" s="2317"/>
      <c r="AH10" s="2295" t="s">
        <v>2309</v>
      </c>
      <c r="AI10" s="2317"/>
      <c r="AJ10" s="26" t="s">
        <v>2322</v>
      </c>
      <c r="AK10" s="2314"/>
      <c r="AL10" s="2295" t="s">
        <v>2310</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地上</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51"/>
      <c r="J11" s="71"/>
      <c r="K11" s="2851" t="s">
        <v>3013</v>
      </c>
      <c r="L11" s="71"/>
      <c r="M11" s="70" t="s">
        <v>3014</v>
      </c>
      <c r="N11" s="71"/>
      <c r="O11" s="70"/>
      <c r="P11" s="71"/>
      <c r="Q11" s="70"/>
      <c r="R11" s="71"/>
      <c r="S11" s="70"/>
      <c r="T11" s="71"/>
      <c r="U11" s="70"/>
      <c r="V11" s="71"/>
      <c r="W11" s="70"/>
      <c r="X11" s="71"/>
      <c r="Y11" s="70"/>
      <c r="Z11" s="71"/>
      <c r="AA11" s="70"/>
      <c r="AB11" s="71"/>
      <c r="AC11" s="55"/>
      <c r="AD11" s="2315" t="s">
        <v>2321</v>
      </c>
      <c r="AE11" s="1000"/>
      <c r="AF11" s="2315" t="s">
        <v>2321</v>
      </c>
      <c r="AG11" s="1000"/>
      <c r="AH11" s="2315" t="s">
        <v>2320</v>
      </c>
      <c r="AI11" s="2316"/>
      <c r="AJ11" s="2315" t="s">
        <v>2320</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住宅</v>
      </c>
      <c r="BE11" s="50" t="str">
        <f>O10</f>
        <v>商业</v>
      </c>
      <c r="BF11" s="50" t="str">
        <f>Q10</f>
        <v>办公</v>
      </c>
      <c r="BG11" s="50" t="str">
        <f>S10</f>
        <v>车库</v>
      </c>
      <c r="BH11" s="50" t="str">
        <f>U10</f>
        <v>住宅</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t="str">
        <f>K11</f>
        <v>叠拼</v>
      </c>
      <c r="BD12" s="79" t="str">
        <f>M11</f>
        <v>独栋</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5"/>
      <c r="B13" s="2845"/>
      <c r="C13" s="2845"/>
      <c r="D13" s="2846" t="s">
        <v>1675</v>
      </c>
      <c r="E13" s="27">
        <f t="shared" ref="E13:E20" si="6">IF($C$3="是",ROUND($A$3*G13/$B$3,2),ROUND($A$3*(G13-AT13)/$B$3,2))</f>
        <v>177193.01</v>
      </c>
      <c r="F13" s="81"/>
      <c r="G13" s="82">
        <f t="shared" ref="G13:G20" si="7">H13+AC13+AT13</f>
        <v>472085.52</v>
      </c>
      <c r="H13" s="33">
        <f t="shared" ref="H13:H20" si="8">SUMIF(I$12:AB$12,"总值",I13:AB13)</f>
        <v>434352.25</v>
      </c>
      <c r="I13" s="2849">
        <f>257657.15-K13-M13-U13</f>
        <v>195457.31999999998</v>
      </c>
      <c r="J13" s="2849"/>
      <c r="K13" s="2849">
        <f>Sheet1!E56</f>
        <v>41200.360000000008</v>
      </c>
      <c r="L13" s="2849"/>
      <c r="M13" s="2849">
        <f>Sheet1!F56</f>
        <v>13269.76</v>
      </c>
      <c r="N13" s="83"/>
      <c r="O13" s="83">
        <v>11647.55</v>
      </c>
      <c r="P13" s="83"/>
      <c r="Q13" s="83">
        <v>55077.55</v>
      </c>
      <c r="R13" s="83"/>
      <c r="S13" s="83">
        <v>109970</v>
      </c>
      <c r="T13" s="83"/>
      <c r="U13" s="83">
        <v>7729.71</v>
      </c>
      <c r="V13" s="83"/>
      <c r="W13" s="83"/>
      <c r="X13" s="83"/>
      <c r="Y13" s="83"/>
      <c r="Z13" s="83"/>
      <c r="AA13" s="83"/>
      <c r="AB13" s="83"/>
      <c r="AC13" s="27">
        <f t="shared" ref="AC13:AC20" si="9">SUMIF(AD$12:AS$12,"总值",AD13:AS13)</f>
        <v>37733.270000000011</v>
      </c>
      <c r="AD13" s="2853">
        <v>6935.72</v>
      </c>
      <c r="AE13" s="2853"/>
      <c r="AF13" s="2853"/>
      <c r="AG13" s="2853"/>
      <c r="AH13" s="2853"/>
      <c r="AI13" s="2853"/>
      <c r="AJ13" s="2853"/>
      <c r="AK13" s="2853"/>
      <c r="AL13" s="2853">
        <v>4566.88</v>
      </c>
      <c r="AM13" s="2853"/>
      <c r="AN13" s="2853">
        <f>136200.67-S13</f>
        <v>26230.670000000013</v>
      </c>
      <c r="AO13" s="2853"/>
      <c r="AP13" s="2853"/>
      <c r="AQ13" s="2853"/>
      <c r="AR13" s="2853"/>
      <c r="AS13" s="2853"/>
      <c r="AT13" s="2854"/>
      <c r="AU13" s="2855"/>
      <c r="AV13" s="17">
        <f t="shared" ref="AV13:AX20" si="10">A13</f>
        <v>0</v>
      </c>
      <c r="AW13" s="17">
        <f t="shared" si="10"/>
        <v>0</v>
      </c>
      <c r="AX13" s="17">
        <f t="shared" si="10"/>
        <v>0</v>
      </c>
      <c r="AY13" s="994">
        <f t="shared" ref="AY13:AY20" si="11">ROUND($AY$6*AZ13/$AZ$5,2)</f>
        <v>177193.01</v>
      </c>
      <c r="AZ13" s="27">
        <f t="shared" ref="AZ13:AZ20" si="12">BA13+BL13</f>
        <v>472085.52</v>
      </c>
      <c r="BA13" s="27">
        <f t="shared" ref="BA13:BA20" si="13">SUM(BB13:BK13)</f>
        <v>434352.25</v>
      </c>
      <c r="BB13" s="27">
        <f t="shared" ref="BB13:BB20" si="14">IF($D13="是",I13-J13,0)</f>
        <v>195457.31999999998</v>
      </c>
      <c r="BC13" s="27">
        <f t="shared" ref="BC13:BC20" si="15">IF($D13="是",K13-L13,0)</f>
        <v>41200.360000000008</v>
      </c>
      <c r="BD13" s="27">
        <f t="shared" ref="BD13:BD20" si="16">IF($D13="是",M13-N13,0)</f>
        <v>13269.76</v>
      </c>
      <c r="BE13" s="27">
        <f t="shared" ref="BE13:BE20" si="17">IF($D13="是",O13-P13,0)</f>
        <v>11647.55</v>
      </c>
      <c r="BF13" s="27">
        <f t="shared" ref="BF13:BF20" si="18">IF($D13="是",Q13-R13,0)</f>
        <v>55077.55</v>
      </c>
      <c r="BG13" s="27">
        <f t="shared" ref="BG13:BG20" si="19">IF($D13="是",S13-T13,0)</f>
        <v>109970</v>
      </c>
      <c r="BH13" s="27">
        <f t="shared" ref="BH13:BH20" si="20">IF($D13="是",U13-V13,0)</f>
        <v>7729.71</v>
      </c>
      <c r="BI13" s="27">
        <f t="shared" ref="BI13:BI20" si="21">IF($D13="是",W13-X13,0)</f>
        <v>0</v>
      </c>
      <c r="BJ13" s="27">
        <f t="shared" ref="BJ13:BJ20" si="22">IF($D13="是",Y13-Z13,0)</f>
        <v>0</v>
      </c>
      <c r="BK13" s="27">
        <f t="shared" ref="BK13:BK20" si="23">IF($D13="是",AA13-AB13,0)</f>
        <v>0</v>
      </c>
      <c r="BL13" s="27">
        <f t="shared" ref="BL13:BL20" si="24">SUM(BM13:BT13)</f>
        <v>37733.270000000011</v>
      </c>
      <c r="BM13" s="27">
        <f t="shared" ref="BM13:BM20" si="25">IF($D13="是",AD13-AE13,0)</f>
        <v>6935.72</v>
      </c>
      <c r="BN13" s="27">
        <f t="shared" ref="BN13:BN20" si="26">IF($D13="是",AF13-AG13,0)</f>
        <v>0</v>
      </c>
      <c r="BO13" s="27">
        <f t="shared" ref="BO13:BO20" si="27">IF($D13="是",AH13-AI13,0)</f>
        <v>0</v>
      </c>
      <c r="BP13" s="27">
        <f t="shared" ref="BP13:BP20" si="28">IF($D13="是",AJ13-AK13,0)</f>
        <v>0</v>
      </c>
      <c r="BQ13" s="27">
        <f t="shared" ref="BQ13:BQ20" si="29">IF($D13="是",AL13-AM13,0)</f>
        <v>4566.88</v>
      </c>
      <c r="BR13" s="27">
        <f t="shared" ref="BR13:BR20" si="30">IF($D13="是",AN13-AO13,0)</f>
        <v>26230.670000000013</v>
      </c>
      <c r="BS13" s="27">
        <f t="shared" ref="BS13:BS20" si="31">IF($D13="是",AP13-AQ13,0)</f>
        <v>0</v>
      </c>
      <c r="BT13" s="36">
        <f t="shared" ref="BT13:BT20" si="32">IF($D13="是",AR13-AS13,0)</f>
        <v>0</v>
      </c>
    </row>
    <row r="14" spans="1:72" s="18" customFormat="1" ht="12.75">
      <c r="A14" s="2845"/>
      <c r="B14" s="2845"/>
      <c r="C14" s="2847"/>
      <c r="D14" s="2846"/>
      <c r="E14" s="27">
        <f t="shared" si="6"/>
        <v>0</v>
      </c>
      <c r="F14" s="81"/>
      <c r="G14" s="82">
        <f t="shared" si="7"/>
        <v>0</v>
      </c>
      <c r="H14" s="33">
        <f t="shared" si="8"/>
        <v>0</v>
      </c>
      <c r="I14" s="2849"/>
      <c r="J14" s="2849"/>
      <c r="K14" s="2849"/>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2" t="s">
        <v>0</v>
      </c>
      <c r="B1" s="3412" t="s">
        <v>4</v>
      </c>
      <c r="C1" s="3412" t="s">
        <v>5</v>
      </c>
      <c r="D1" s="3413" t="s">
        <v>40</v>
      </c>
      <c r="E1" s="3413" t="s">
        <v>41</v>
      </c>
      <c r="F1" s="3413"/>
      <c r="G1" s="3413"/>
      <c r="H1" s="3413"/>
      <c r="I1" s="3413"/>
      <c r="J1" s="3413"/>
      <c r="K1" s="3413"/>
      <c r="L1" s="3413"/>
      <c r="M1" s="3413"/>
    </row>
    <row r="2" spans="1:13" ht="27" customHeight="1">
      <c r="A2" s="3412"/>
      <c r="B2" s="3412"/>
      <c r="C2" s="3412"/>
      <c r="D2" s="3413"/>
      <c r="E2" s="3413" t="s">
        <v>24</v>
      </c>
      <c r="F2" s="3413" t="s">
        <v>25</v>
      </c>
      <c r="G2" s="3413"/>
      <c r="H2" s="3413"/>
      <c r="I2" s="3413"/>
      <c r="J2" s="3413" t="s">
        <v>26</v>
      </c>
      <c r="K2" s="3413"/>
      <c r="L2" s="3413"/>
      <c r="M2" s="3413"/>
    </row>
    <row r="3" spans="1:13" ht="28.5">
      <c r="A3" s="3412"/>
      <c r="B3" s="3412"/>
      <c r="C3" s="3412"/>
      <c r="D3" s="3413"/>
      <c r="E3" s="34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3" t="s">
        <v>42</v>
      </c>
      <c r="B9" s="3413"/>
      <c r="C9" s="34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A28" workbookViewId="0">
      <selection activeCell="H32" sqref="H32"/>
    </sheetView>
  </sheetViews>
  <sheetFormatPr defaultColWidth="9" defaultRowHeight="13.5"/>
  <cols>
    <col min="1" max="3" width="9" style="1775"/>
    <col min="4" max="4" width="10.5" style="1775" customWidth="1"/>
    <col min="5" max="5" width="10.75" style="1775" customWidth="1"/>
    <col min="6" max="6" width="11.125" style="1775" customWidth="1"/>
    <col min="7" max="9" width="10.375" style="1775" customWidth="1"/>
    <col min="10" max="16384" width="9" style="1775"/>
  </cols>
  <sheetData>
    <row r="1" spans="1:5">
      <c r="A1" s="3180" t="s">
        <v>3000</v>
      </c>
    </row>
    <row r="2" spans="1:5">
      <c r="B2" s="3180" t="s">
        <v>3001</v>
      </c>
      <c r="C2" s="3180" t="s">
        <v>3002</v>
      </c>
      <c r="D2" s="3180" t="s">
        <v>3003</v>
      </c>
      <c r="E2" s="3180" t="s">
        <v>3004</v>
      </c>
    </row>
    <row r="3" spans="1:5">
      <c r="B3" s="1775">
        <v>1</v>
      </c>
      <c r="C3" s="1775">
        <v>2</v>
      </c>
      <c r="D3" s="3181">
        <v>1542.44</v>
      </c>
    </row>
    <row r="4" spans="1:5">
      <c r="B4" s="1775">
        <v>2</v>
      </c>
      <c r="C4" s="1775">
        <v>2</v>
      </c>
      <c r="D4" s="3181">
        <v>807</v>
      </c>
    </row>
    <row r="5" spans="1:5">
      <c r="B5" s="1775">
        <v>3</v>
      </c>
      <c r="C5" s="1775">
        <v>2</v>
      </c>
      <c r="D5" s="3181">
        <v>806.46</v>
      </c>
    </row>
    <row r="6" spans="1:5">
      <c r="B6" s="1775">
        <v>4</v>
      </c>
      <c r="C6" s="1775">
        <v>2</v>
      </c>
      <c r="D6" s="3181">
        <v>1046.78</v>
      </c>
    </row>
    <row r="7" spans="1:5">
      <c r="B7" s="1775">
        <v>5</v>
      </c>
      <c r="C7" s="1775">
        <v>2</v>
      </c>
      <c r="D7" s="3181">
        <v>806.46</v>
      </c>
    </row>
    <row r="8" spans="1:5">
      <c r="B8" s="1775">
        <v>6</v>
      </c>
      <c r="C8" s="1775">
        <v>2</v>
      </c>
      <c r="D8" s="3181">
        <v>1046.78</v>
      </c>
    </row>
    <row r="9" spans="1:5">
      <c r="B9" s="1775">
        <v>7</v>
      </c>
      <c r="C9" s="1775">
        <v>2</v>
      </c>
      <c r="D9" s="3181">
        <v>807</v>
      </c>
    </row>
    <row r="10" spans="1:5">
      <c r="B10" s="1775">
        <v>8</v>
      </c>
      <c r="C10" s="1775">
        <v>2</v>
      </c>
      <c r="D10" s="3181">
        <v>997.97</v>
      </c>
    </row>
    <row r="11" spans="1:5">
      <c r="B11" s="1775">
        <v>9</v>
      </c>
      <c r="C11" s="1775">
        <v>2</v>
      </c>
      <c r="D11" s="3181">
        <v>1038.6300000000001</v>
      </c>
    </row>
    <row r="12" spans="1:5">
      <c r="B12" s="1775">
        <v>10</v>
      </c>
      <c r="C12" s="1775">
        <v>2</v>
      </c>
      <c r="D12" s="3181">
        <v>1189.5</v>
      </c>
    </row>
    <row r="13" spans="1:5">
      <c r="B13" s="1775">
        <v>11</v>
      </c>
      <c r="C13" s="1775">
        <v>2</v>
      </c>
      <c r="D13" s="3181">
        <v>1041.32</v>
      </c>
    </row>
    <row r="14" spans="1:5">
      <c r="B14" s="1775">
        <v>12</v>
      </c>
      <c r="C14" s="1775">
        <v>4</v>
      </c>
      <c r="D14" s="3182">
        <v>2633.66</v>
      </c>
    </row>
    <row r="15" spans="1:5">
      <c r="B15" s="1775">
        <v>13</v>
      </c>
      <c r="C15" s="1775">
        <v>4</v>
      </c>
      <c r="D15" s="3182">
        <v>2641.56</v>
      </c>
    </row>
    <row r="16" spans="1:5">
      <c r="B16" s="1775">
        <v>14</v>
      </c>
      <c r="C16" s="1775">
        <v>4</v>
      </c>
      <c r="D16" s="3182">
        <v>1633.48</v>
      </c>
    </row>
    <row r="17" spans="2:4">
      <c r="B17" s="1775">
        <v>15</v>
      </c>
      <c r="C17" s="1775">
        <v>4</v>
      </c>
      <c r="D17" s="3182">
        <v>2400.4699999999998</v>
      </c>
    </row>
    <row r="18" spans="2:4">
      <c r="B18" s="1775">
        <v>16</v>
      </c>
      <c r="C18" s="1775">
        <v>4</v>
      </c>
      <c r="D18" s="3182">
        <v>2385.39</v>
      </c>
    </row>
    <row r="19" spans="2:4">
      <c r="B19" s="1775">
        <v>17</v>
      </c>
      <c r="C19" s="1775">
        <v>4</v>
      </c>
      <c r="D19" s="3182">
        <v>1655.86</v>
      </c>
    </row>
    <row r="20" spans="2:4">
      <c r="B20" s="1775">
        <v>18</v>
      </c>
      <c r="C20" s="1775">
        <v>4</v>
      </c>
      <c r="D20" s="3182">
        <v>1876.34</v>
      </c>
    </row>
    <row r="21" spans="2:4">
      <c r="B21" s="1775">
        <v>19</v>
      </c>
      <c r="C21" s="1775">
        <v>4</v>
      </c>
      <c r="D21" s="3182">
        <v>2400.2199999999998</v>
      </c>
    </row>
    <row r="22" spans="2:4">
      <c r="B22" s="1775">
        <v>20</v>
      </c>
      <c r="C22" s="1775">
        <v>4</v>
      </c>
      <c r="D22" s="3182">
        <v>2385.39</v>
      </c>
    </row>
    <row r="23" spans="2:4">
      <c r="B23" s="1775">
        <v>21</v>
      </c>
      <c r="C23" s="1775">
        <v>4</v>
      </c>
      <c r="D23" s="3182">
        <v>1655.86</v>
      </c>
    </row>
    <row r="24" spans="2:4">
      <c r="B24" s="1775">
        <v>22</v>
      </c>
      <c r="C24" s="1775">
        <v>4</v>
      </c>
      <c r="D24" s="3182">
        <v>1876.34</v>
      </c>
    </row>
    <row r="25" spans="2:4">
      <c r="B25" s="1775">
        <v>23</v>
      </c>
      <c r="C25" s="1775">
        <v>4</v>
      </c>
      <c r="D25" s="3182">
        <v>1631.14</v>
      </c>
    </row>
    <row r="26" spans="2:4">
      <c r="B26" s="1775">
        <v>24</v>
      </c>
      <c r="C26" s="1775">
        <v>4</v>
      </c>
      <c r="D26" s="3182">
        <v>872.69</v>
      </c>
    </row>
    <row r="27" spans="2:4">
      <c r="B27" s="1775">
        <v>25</v>
      </c>
      <c r="C27" s="1775">
        <v>4</v>
      </c>
      <c r="D27" s="3182">
        <v>874.41</v>
      </c>
    </row>
    <row r="28" spans="2:4">
      <c r="B28" s="1775">
        <v>26</v>
      </c>
      <c r="C28" s="1775">
        <v>4</v>
      </c>
      <c r="D28" s="3182">
        <v>1655.86</v>
      </c>
    </row>
    <row r="29" spans="2:4">
      <c r="B29" s="1775">
        <v>27</v>
      </c>
      <c r="C29" s="1775">
        <v>4</v>
      </c>
      <c r="D29" s="3182">
        <v>1655.86</v>
      </c>
    </row>
    <row r="30" spans="2:4">
      <c r="B30" s="1775">
        <v>28</v>
      </c>
      <c r="C30" s="1775">
        <v>4</v>
      </c>
      <c r="D30" s="3182">
        <v>2644.73</v>
      </c>
    </row>
    <row r="31" spans="2:4">
      <c r="B31" s="1775">
        <v>29</v>
      </c>
      <c r="C31" s="1775">
        <v>4</v>
      </c>
      <c r="D31" s="3182">
        <v>1631.14</v>
      </c>
    </row>
    <row r="32" spans="2:4">
      <c r="B32" s="1775">
        <v>30</v>
      </c>
      <c r="C32" s="1775">
        <v>4</v>
      </c>
      <c r="D32" s="3182">
        <v>1631.14</v>
      </c>
    </row>
    <row r="33" spans="1:4">
      <c r="B33" s="1775">
        <v>31</v>
      </c>
      <c r="C33" s="1775">
        <v>4</v>
      </c>
      <c r="D33" s="3182">
        <v>872.69</v>
      </c>
    </row>
    <row r="34" spans="1:4">
      <c r="B34" s="1775">
        <v>32</v>
      </c>
      <c r="C34" s="1775">
        <v>4</v>
      </c>
      <c r="D34" s="3182">
        <v>874.41</v>
      </c>
    </row>
    <row r="35" spans="1:4">
      <c r="B35" s="1775">
        <v>33</v>
      </c>
      <c r="C35" s="1775">
        <v>4</v>
      </c>
      <c r="D35" s="3182">
        <v>1655.86</v>
      </c>
    </row>
    <row r="36" spans="1:4">
      <c r="B36" s="1775">
        <v>34</v>
      </c>
      <c r="C36" s="1775">
        <v>4</v>
      </c>
      <c r="D36" s="3182">
        <v>1655.86</v>
      </c>
    </row>
    <row r="37" spans="1:4">
      <c r="A37" s="3180" t="s">
        <v>3015</v>
      </c>
      <c r="B37" s="1775">
        <v>35</v>
      </c>
      <c r="C37" s="1775">
        <v>2</v>
      </c>
      <c r="D37" s="3183">
        <v>2139.42</v>
      </c>
    </row>
    <row r="38" spans="1:4">
      <c r="B38" s="1775">
        <v>36</v>
      </c>
      <c r="C38" s="1775">
        <v>7</v>
      </c>
      <c r="D38" s="3184">
        <v>6504.05</v>
      </c>
    </row>
    <row r="39" spans="1:4">
      <c r="B39" s="1775">
        <v>37</v>
      </c>
      <c r="C39" s="1775">
        <v>9</v>
      </c>
      <c r="D39" s="3184">
        <v>8611.7800000000007</v>
      </c>
    </row>
    <row r="40" spans="1:4">
      <c r="B40" s="1775">
        <v>38</v>
      </c>
      <c r="C40" s="3180" t="s">
        <v>3007</v>
      </c>
      <c r="D40" s="3184">
        <v>8413.64</v>
      </c>
    </row>
    <row r="41" spans="1:4">
      <c r="B41" s="1775">
        <v>39</v>
      </c>
      <c r="C41" s="3180" t="s">
        <v>3005</v>
      </c>
      <c r="D41" s="3184">
        <v>9189.09</v>
      </c>
    </row>
    <row r="42" spans="1:4">
      <c r="B42" s="1775">
        <v>40</v>
      </c>
      <c r="C42" s="3180" t="s">
        <v>3005</v>
      </c>
      <c r="D42" s="3184">
        <v>9020.61</v>
      </c>
    </row>
    <row r="43" spans="1:4">
      <c r="B43" s="1775">
        <v>41</v>
      </c>
      <c r="C43" s="3180" t="s">
        <v>3005</v>
      </c>
      <c r="D43" s="3184">
        <v>10140.68</v>
      </c>
    </row>
    <row r="44" spans="1:4">
      <c r="B44" s="1775">
        <v>42</v>
      </c>
      <c r="C44" s="3180" t="s">
        <v>3005</v>
      </c>
      <c r="D44" s="3184">
        <v>9189.41</v>
      </c>
    </row>
    <row r="45" spans="1:4">
      <c r="B45" s="1775">
        <v>43</v>
      </c>
      <c r="C45" s="3180" t="s">
        <v>3005</v>
      </c>
      <c r="D45" s="3184">
        <v>8954.0499999999993</v>
      </c>
    </row>
    <row r="46" spans="1:4">
      <c r="B46" s="1775">
        <v>44</v>
      </c>
      <c r="C46" s="3180" t="s">
        <v>3005</v>
      </c>
      <c r="D46" s="3184">
        <v>9934.86</v>
      </c>
    </row>
    <row r="47" spans="1:4">
      <c r="B47" s="1775">
        <v>45</v>
      </c>
      <c r="C47" s="3180" t="s">
        <v>3005</v>
      </c>
      <c r="D47" s="3184">
        <v>9455.9599999999991</v>
      </c>
    </row>
    <row r="48" spans="1:4">
      <c r="B48" s="1775">
        <v>46</v>
      </c>
      <c r="C48" s="3180" t="s">
        <v>3005</v>
      </c>
      <c r="D48" s="3184">
        <v>3961.26</v>
      </c>
    </row>
    <row r="49" spans="1:10">
      <c r="B49" s="1775">
        <v>47</v>
      </c>
      <c r="C49" s="3180" t="s">
        <v>3005</v>
      </c>
      <c r="D49" s="3184">
        <v>3837.16</v>
      </c>
    </row>
    <row r="50" spans="1:10">
      <c r="B50" s="1775">
        <v>48</v>
      </c>
      <c r="C50" s="3180" t="s">
        <v>3005</v>
      </c>
      <c r="D50" s="3184">
        <v>9542.42</v>
      </c>
    </row>
    <row r="51" spans="1:10">
      <c r="B51" s="1775">
        <v>49</v>
      </c>
      <c r="C51" s="3180" t="s">
        <v>3005</v>
      </c>
      <c r="D51" s="3184">
        <v>9866.3799999999992</v>
      </c>
    </row>
    <row r="52" spans="1:10">
      <c r="A52" s="3180" t="s">
        <v>3016</v>
      </c>
      <c r="B52" s="1775">
        <v>50</v>
      </c>
      <c r="C52" s="3180">
        <v>1</v>
      </c>
      <c r="D52" s="3183">
        <v>84.62</v>
      </c>
    </row>
    <row r="53" spans="1:10">
      <c r="B53" s="3180" t="s">
        <v>3006</v>
      </c>
      <c r="E53" s="1775">
        <v>32689.65</v>
      </c>
    </row>
    <row r="54" spans="1:10">
      <c r="E54" s="1775">
        <v>41636.9</v>
      </c>
    </row>
    <row r="55" spans="1:10">
      <c r="D55" s="3180" t="s">
        <v>3008</v>
      </c>
      <c r="E55" s="3180" t="s">
        <v>3010</v>
      </c>
      <c r="F55" s="3180" t="s">
        <v>3012</v>
      </c>
      <c r="G55" s="3180" t="s">
        <v>3016</v>
      </c>
      <c r="H55" s="3180" t="s">
        <v>3015</v>
      </c>
      <c r="I55" s="3180" t="s">
        <v>3004</v>
      </c>
    </row>
    <row r="56" spans="1:10">
      <c r="D56" s="1775">
        <f>SUM(D38:D51)</f>
        <v>116621.35</v>
      </c>
      <c r="E56" s="1775">
        <f>SUM(D14:D36)</f>
        <v>41200.360000000008</v>
      </c>
      <c r="F56" s="1775">
        <f>SUM(D3:D13)+D37</f>
        <v>13269.76</v>
      </c>
      <c r="G56" s="1775">
        <f>D52</f>
        <v>84.62</v>
      </c>
      <c r="H56" s="1775">
        <f>D37</f>
        <v>2139.42</v>
      </c>
      <c r="I56" s="1775">
        <f>E53+E54</f>
        <v>74326.55</v>
      </c>
      <c r="J56" s="1775">
        <f>SUM(D56:I56)</f>
        <v>247642.06000000006</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topLeftCell="A7" zoomScale="90" zoomScaleNormal="90" zoomScaleSheetLayoutView="90" workbookViewId="0">
      <selection activeCell="F34" sqref="F34"/>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423" t="s">
        <v>203</v>
      </c>
      <c r="B2" s="3423"/>
      <c r="C2" s="3423"/>
      <c r="D2" s="1956" t="s">
        <v>204</v>
      </c>
      <c r="E2" s="106" t="s">
        <v>205</v>
      </c>
      <c r="F2" s="1965"/>
      <c r="G2" s="1192"/>
      <c r="H2" s="1193"/>
      <c r="I2" s="1194" t="s">
        <v>854</v>
      </c>
      <c r="J2" s="1965"/>
      <c r="K2" s="1965"/>
      <c r="L2" s="1965"/>
    </row>
    <row r="3" spans="1:16" ht="15.75" thickBot="1">
      <c r="A3" s="3424" t="s">
        <v>206</v>
      </c>
      <c r="B3" s="3424"/>
      <c r="C3" s="3424"/>
      <c r="D3" s="107">
        <f>'数据-基础表'!AY6</f>
        <v>177193.01</v>
      </c>
      <c r="E3" s="107">
        <f>'数据-基础表'!AZ5</f>
        <v>472085.52</v>
      </c>
      <c r="F3" s="1965"/>
      <c r="G3" s="279" t="s">
        <v>855</v>
      </c>
      <c r="H3" s="274" t="s">
        <v>856</v>
      </c>
      <c r="I3" s="1957">
        <f>ROUND('数据-基础表'!B3/'数据-基础表'!A3,2)</f>
        <v>2.66</v>
      </c>
      <c r="J3" s="1965"/>
      <c r="K3" s="1965"/>
      <c r="L3" s="1965"/>
    </row>
    <row r="4" spans="1:16" ht="15">
      <c r="A4" s="3425"/>
      <c r="B4" s="3426"/>
      <c r="C4" s="3427"/>
      <c r="D4" s="108" t="s">
        <v>204</v>
      </c>
      <c r="E4" s="109" t="s">
        <v>205</v>
      </c>
      <c r="F4" s="1965"/>
      <c r="G4" s="1195"/>
      <c r="H4" s="274" t="s">
        <v>857</v>
      </c>
      <c r="I4" s="1957">
        <f>ROUND(SUMIF('数据-基础表'!I9:AS9,"地上",'数据-基础表'!I5:AS5)/'数据-基础表'!A3,2)</f>
        <v>1.9</v>
      </c>
      <c r="J4" s="1965"/>
      <c r="K4" s="1965"/>
      <c r="L4" s="1965"/>
    </row>
    <row r="5" spans="1:16">
      <c r="A5" s="110" t="s">
        <v>207</v>
      </c>
      <c r="B5" s="3428" t="s">
        <v>230</v>
      </c>
      <c r="C5" s="3428"/>
      <c r="D5" s="111">
        <f>ROUND($D$3*E5/$E$3,2)</f>
        <v>96709.27</v>
      </c>
      <c r="E5" s="112">
        <f>SUMIF('数据-基础表'!$11:$11,"住宅",'数据-基础表'!$5:$5)</f>
        <v>257657.15</v>
      </c>
      <c r="F5" s="1965"/>
      <c r="G5" s="279" t="s">
        <v>858</v>
      </c>
      <c r="H5" s="274" t="s">
        <v>856</v>
      </c>
      <c r="I5" s="1957">
        <f>ROUND(E31/D31,2)</f>
        <v>2.66</v>
      </c>
      <c r="J5" s="1965"/>
      <c r="K5" s="1965"/>
      <c r="L5" s="1965"/>
    </row>
    <row r="6" spans="1:16" ht="15" thickBot="1">
      <c r="A6" s="113"/>
      <c r="B6" s="3428" t="s">
        <v>208</v>
      </c>
      <c r="C6" s="3428"/>
      <c r="D6" s="111">
        <f>ROUND($D$3*E6/$E$3,2)</f>
        <v>80483.740000000005</v>
      </c>
      <c r="E6" s="112">
        <f>E3-E5</f>
        <v>214428.37000000002</v>
      </c>
      <c r="F6" s="1965"/>
      <c r="G6" s="1195"/>
      <c r="H6" s="274" t="s">
        <v>857</v>
      </c>
      <c r="I6" s="1957">
        <f>ROUND(F31/D31,2)</f>
        <v>1.9</v>
      </c>
      <c r="J6" s="1965"/>
      <c r="K6" s="1965"/>
      <c r="L6" s="1965"/>
    </row>
    <row r="7" spans="1:16" ht="15">
      <c r="A7" s="3420"/>
      <c r="B7" s="3421"/>
      <c r="C7" s="3422"/>
      <c r="D7" s="108" t="s">
        <v>204</v>
      </c>
      <c r="E7" s="114" t="s">
        <v>231</v>
      </c>
      <c r="F7" s="1965"/>
      <c r="G7" s="1150" t="s">
        <v>1642</v>
      </c>
      <c r="H7" s="1151"/>
      <c r="I7" s="1827">
        <f>('数据-基础表'!I13+'数据-基础表'!K13+'数据-基础表'!M13+'数据-基础表'!O13+'数据-基础表'!Q13+'数据-基础表'!U13)/'数据-基础表'!A3</f>
        <v>1.8306718193906182</v>
      </c>
      <c r="J7" s="1965"/>
      <c r="K7" s="1965"/>
      <c r="L7" s="1965"/>
    </row>
    <row r="8" spans="1:16">
      <c r="A8" s="110" t="s">
        <v>209</v>
      </c>
      <c r="B8" s="115" t="s">
        <v>210</v>
      </c>
      <c r="C8" s="111" t="s">
        <v>211</v>
      </c>
      <c r="D8" s="111">
        <f t="shared" ref="D8:D15" si="0">ROUND($D$3*E8/$E$3,2)</f>
        <v>121753.93</v>
      </c>
      <c r="E8" s="116">
        <f>SUMIF('数据-基础表'!BB10:BK10,"地上",'数据-基础表'!BB5:BK5)</f>
        <v>324382.25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2318</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2325</v>
      </c>
      <c r="D13" s="111">
        <f t="shared" si="0"/>
        <v>41276.239999999998</v>
      </c>
      <c r="E13" s="116">
        <f>SUMPRODUCT(('数据-基础表'!BB10:BK10="地下")*('数据-基础表'!BB11:BK11="车库")*('数据-基础表'!BB5:BK5))</f>
        <v>109970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163030.16999999998</v>
      </c>
      <c r="E16" s="120">
        <f>SUM(E8:E15)</f>
        <v>434352.25</v>
      </c>
      <c r="F16" s="1965"/>
      <c r="G16" s="1967"/>
      <c r="H16" s="966" t="s">
        <v>219</v>
      </c>
      <c r="I16" s="967"/>
      <c r="J16" s="1965"/>
      <c r="K16" s="3414" t="s">
        <v>2557</v>
      </c>
      <c r="L16" s="3415"/>
      <c r="M16" s="3415"/>
      <c r="N16" s="3415"/>
      <c r="O16" s="3415"/>
      <c r="P16" s="3416"/>
    </row>
    <row r="17" spans="1:19" ht="15">
      <c r="A17" s="121" t="s">
        <v>216</v>
      </c>
      <c r="B17" s="122" t="s">
        <v>217</v>
      </c>
      <c r="C17" s="2279" t="s">
        <v>2304</v>
      </c>
      <c r="D17" s="108" t="s">
        <v>204</v>
      </c>
      <c r="E17" s="124" t="s">
        <v>205</v>
      </c>
      <c r="F17" s="125"/>
      <c r="G17" s="1359"/>
      <c r="H17" s="968" t="s">
        <v>218</v>
      </c>
      <c r="I17" s="969" t="s">
        <v>2303</v>
      </c>
      <c r="J17" s="1965"/>
      <c r="K17" s="3417" t="s">
        <v>2558</v>
      </c>
      <c r="L17" s="3418"/>
      <c r="M17" s="3419"/>
      <c r="N17" s="3417" t="s">
        <v>2559</v>
      </c>
      <c r="O17" s="3418"/>
      <c r="P17" s="3419"/>
      <c r="R17" s="2280" t="s">
        <v>2302</v>
      </c>
      <c r="S17" s="143"/>
    </row>
    <row r="18" spans="1:19" ht="15">
      <c r="A18" s="117"/>
      <c r="B18" s="128"/>
      <c r="C18" s="129"/>
      <c r="D18" s="2602"/>
      <c r="E18" s="130" t="s">
        <v>220</v>
      </c>
      <c r="F18" s="131" t="s">
        <v>221</v>
      </c>
      <c r="G18" s="1360" t="s">
        <v>222</v>
      </c>
      <c r="H18" s="970" t="s">
        <v>223</v>
      </c>
      <c r="I18" s="971" t="s">
        <v>224</v>
      </c>
      <c r="J18" s="1965"/>
      <c r="K18" s="2565" t="s">
        <v>2560</v>
      </c>
      <c r="L18" s="2566" t="s">
        <v>2561</v>
      </c>
      <c r="M18" s="2567" t="s">
        <v>2562</v>
      </c>
      <c r="N18" s="2565" t="s">
        <v>2560</v>
      </c>
      <c r="O18" s="2566" t="s">
        <v>2561</v>
      </c>
      <c r="P18" s="2567" t="s">
        <v>2562</v>
      </c>
      <c r="R18" s="2281" t="s">
        <v>2300</v>
      </c>
      <c r="S18" s="2281" t="s">
        <v>2301</v>
      </c>
    </row>
    <row r="19" spans="1:19">
      <c r="A19" s="133"/>
      <c r="B19" s="115" t="s">
        <v>225</v>
      </c>
      <c r="C19" s="2856" t="s">
        <v>3018</v>
      </c>
      <c r="D19" s="111">
        <f t="shared" ref="D19:D26" si="1">ROUND($D$3*E19/$E$3,2)</f>
        <v>73363.13</v>
      </c>
      <c r="E19" s="134">
        <f t="shared" ref="E19:E26" si="2">SUM(F19:G19)</f>
        <v>195457.31999999998</v>
      </c>
      <c r="F19" s="135">
        <f>'数据-基础表'!I13</f>
        <v>195457.31999999998</v>
      </c>
      <c r="G19" s="1361"/>
      <c r="H19" s="972">
        <f>ROUND($D$3*I19/$E$3,2)</f>
        <v>5201.78</v>
      </c>
      <c r="I19" s="116">
        <f>IF($I$17="自定义",P19,M19)</f>
        <v>13858.81</v>
      </c>
      <c r="J19" s="1965"/>
      <c r="K19" s="2568">
        <f t="shared" ref="K19:K26" si="3">ROUND(E$28*E19/E$27,2)</f>
        <v>13858.81</v>
      </c>
      <c r="L19" s="274">
        <f t="shared" ref="L19:L26" si="4">ROUND(IF(COUNTIF(C19,"*住宅*")&gt;0,E$29*E19/E$32,0),2)</f>
        <v>0</v>
      </c>
      <c r="M19" s="2569">
        <f>K19+L19</f>
        <v>13858.81</v>
      </c>
      <c r="N19" s="2570"/>
      <c r="O19" s="2571"/>
      <c r="P19" s="2572">
        <f>N19+O19</f>
        <v>0</v>
      </c>
      <c r="R19" s="274">
        <f t="shared" ref="R19:S26" si="5">D19+H19</f>
        <v>78564.91</v>
      </c>
      <c r="S19" s="2282">
        <f t="shared" si="5"/>
        <v>209316.12999999998</v>
      </c>
    </row>
    <row r="20" spans="1:19">
      <c r="A20" s="138"/>
      <c r="B20" s="115" t="s">
        <v>226</v>
      </c>
      <c r="C20" s="2856" t="s">
        <v>3019</v>
      </c>
      <c r="D20" s="111">
        <f t="shared" si="1"/>
        <v>15464.18</v>
      </c>
      <c r="E20" s="134">
        <f t="shared" si="2"/>
        <v>41200.360000000008</v>
      </c>
      <c r="F20" s="135">
        <f>'数据-基础表'!K13</f>
        <v>41200.360000000008</v>
      </c>
      <c r="G20" s="1361"/>
      <c r="H20" s="972">
        <f t="shared" ref="H20:H26" si="6">ROUND($D$3*I20/$E$3,2)</f>
        <v>1096.48</v>
      </c>
      <c r="I20" s="116">
        <f t="shared" ref="I20:I26" si="7">IF($I$17="自定义",P20,M20)</f>
        <v>2921.29</v>
      </c>
      <c r="J20" s="1965"/>
      <c r="K20" s="2568">
        <f t="shared" si="3"/>
        <v>2921.29</v>
      </c>
      <c r="L20" s="274">
        <f t="shared" si="4"/>
        <v>0</v>
      </c>
      <c r="M20" s="2569">
        <f t="shared" ref="M20:M26" si="8">K20+L20</f>
        <v>2921.29</v>
      </c>
      <c r="N20" s="2570"/>
      <c r="O20" s="2571"/>
      <c r="P20" s="2572">
        <f t="shared" ref="P20:P26" si="9">N20+O20</f>
        <v>0</v>
      </c>
      <c r="R20" s="274">
        <f t="shared" si="5"/>
        <v>16560.66</v>
      </c>
      <c r="S20" s="2282">
        <f t="shared" si="5"/>
        <v>44121.650000000009</v>
      </c>
    </row>
    <row r="21" spans="1:19">
      <c r="A21" s="138"/>
      <c r="B21" s="115" t="s">
        <v>226</v>
      </c>
      <c r="C21" s="2856" t="s">
        <v>3020</v>
      </c>
      <c r="D21" s="111">
        <f t="shared" si="1"/>
        <v>4980.68</v>
      </c>
      <c r="E21" s="134">
        <f t="shared" si="2"/>
        <v>13269.76</v>
      </c>
      <c r="F21" s="135">
        <f>'数据-基础表'!M13</f>
        <v>13269.76</v>
      </c>
      <c r="G21" s="1361"/>
      <c r="H21" s="972">
        <f t="shared" si="6"/>
        <v>353.15</v>
      </c>
      <c r="I21" s="116">
        <f t="shared" si="7"/>
        <v>940.89</v>
      </c>
      <c r="J21" s="1965"/>
      <c r="K21" s="2568">
        <f t="shared" si="3"/>
        <v>940.89</v>
      </c>
      <c r="L21" s="274">
        <f t="shared" si="4"/>
        <v>0</v>
      </c>
      <c r="M21" s="2569">
        <f t="shared" si="8"/>
        <v>940.89</v>
      </c>
      <c r="N21" s="2570"/>
      <c r="O21" s="2571"/>
      <c r="P21" s="2572">
        <f t="shared" si="9"/>
        <v>0</v>
      </c>
      <c r="R21" s="274">
        <f t="shared" si="5"/>
        <v>5333.83</v>
      </c>
      <c r="S21" s="2282">
        <f t="shared" si="5"/>
        <v>14210.65</v>
      </c>
    </row>
    <row r="22" spans="1:19">
      <c r="A22" s="138"/>
      <c r="B22" s="115" t="s">
        <v>226</v>
      </c>
      <c r="C22" s="3185" t="s">
        <v>3021</v>
      </c>
      <c r="D22" s="111">
        <f t="shared" si="1"/>
        <v>4371.8</v>
      </c>
      <c r="E22" s="134">
        <f t="shared" si="2"/>
        <v>11647.55</v>
      </c>
      <c r="F22" s="139">
        <f>'数据-基础表'!O13</f>
        <v>11647.55</v>
      </c>
      <c r="G22" s="1362"/>
      <c r="H22" s="972">
        <f t="shared" si="6"/>
        <v>309.98</v>
      </c>
      <c r="I22" s="116">
        <f t="shared" si="7"/>
        <v>825.86</v>
      </c>
      <c r="J22" s="1965"/>
      <c r="K22" s="2568">
        <f t="shared" si="3"/>
        <v>825.86</v>
      </c>
      <c r="L22" s="274">
        <f t="shared" si="4"/>
        <v>0</v>
      </c>
      <c r="M22" s="2569">
        <f t="shared" si="8"/>
        <v>825.86</v>
      </c>
      <c r="N22" s="2570"/>
      <c r="O22" s="2571"/>
      <c r="P22" s="2572">
        <f t="shared" si="9"/>
        <v>0</v>
      </c>
      <c r="R22" s="274">
        <f t="shared" si="5"/>
        <v>4681.7800000000007</v>
      </c>
      <c r="S22" s="2282">
        <f t="shared" si="5"/>
        <v>12473.41</v>
      </c>
    </row>
    <row r="23" spans="1:19">
      <c r="A23" s="138"/>
      <c r="B23" s="115" t="s">
        <v>226</v>
      </c>
      <c r="C23" s="3185" t="s">
        <v>3022</v>
      </c>
      <c r="D23" s="111">
        <f>ROUND($D$3*E23/$E$3,2)</f>
        <v>20672.86</v>
      </c>
      <c r="E23" s="134">
        <f>SUM(F23:G23)</f>
        <v>55077.55</v>
      </c>
      <c r="F23" s="139">
        <f>'数据-基础表'!Q13</f>
        <v>55077.55</v>
      </c>
      <c r="G23" s="1362"/>
      <c r="H23" s="972">
        <f>ROUND($D$3*I23/$E$3,2)</f>
        <v>1465.8</v>
      </c>
      <c r="I23" s="116">
        <f t="shared" si="7"/>
        <v>3905.25</v>
      </c>
      <c r="J23" s="1965"/>
      <c r="K23" s="2568">
        <f t="shared" si="3"/>
        <v>3905.25</v>
      </c>
      <c r="L23" s="274">
        <f t="shared" si="4"/>
        <v>0</v>
      </c>
      <c r="M23" s="2569">
        <f t="shared" si="8"/>
        <v>3905.25</v>
      </c>
      <c r="N23" s="2570"/>
      <c r="O23" s="2571"/>
      <c r="P23" s="2572">
        <f t="shared" si="9"/>
        <v>0</v>
      </c>
      <c r="R23" s="274">
        <f t="shared" si="5"/>
        <v>22138.66</v>
      </c>
      <c r="S23" s="2282">
        <f t="shared" si="5"/>
        <v>58982.8</v>
      </c>
    </row>
    <row r="24" spans="1:19">
      <c r="A24" s="138"/>
      <c r="B24" s="115" t="s">
        <v>226</v>
      </c>
      <c r="C24" s="3185" t="s">
        <v>3023</v>
      </c>
      <c r="D24" s="111">
        <f>ROUND($D$3*E24/$E$3,2)</f>
        <v>41276.239999999998</v>
      </c>
      <c r="E24" s="134">
        <f>SUM(F24:G24)</f>
        <v>109970</v>
      </c>
      <c r="F24" s="139"/>
      <c r="G24" s="1362">
        <f>'数据-基础表'!S13</f>
        <v>109970</v>
      </c>
      <c r="H24" s="972">
        <f>ROUND($D$3*I24/$E$3,2)</f>
        <v>2926.67</v>
      </c>
      <c r="I24" s="116">
        <f t="shared" si="7"/>
        <v>7797.37</v>
      </c>
      <c r="J24" s="1965"/>
      <c r="K24" s="2568">
        <f t="shared" si="3"/>
        <v>7797.37</v>
      </c>
      <c r="L24" s="274">
        <f t="shared" si="4"/>
        <v>0</v>
      </c>
      <c r="M24" s="2569">
        <f t="shared" si="8"/>
        <v>7797.37</v>
      </c>
      <c r="N24" s="2570"/>
      <c r="O24" s="2571"/>
      <c r="P24" s="2572">
        <f t="shared" si="9"/>
        <v>0</v>
      </c>
      <c r="R24" s="274">
        <f t="shared" si="5"/>
        <v>44202.909999999996</v>
      </c>
      <c r="S24" s="2282">
        <f t="shared" si="5"/>
        <v>117767.37</v>
      </c>
    </row>
    <row r="25" spans="1:19">
      <c r="A25" s="138"/>
      <c r="B25" s="115" t="s">
        <v>226</v>
      </c>
      <c r="C25" s="3185" t="s">
        <v>3025</v>
      </c>
      <c r="D25" s="111">
        <f t="shared" si="1"/>
        <v>2901.28</v>
      </c>
      <c r="E25" s="134">
        <f t="shared" si="2"/>
        <v>7729.71</v>
      </c>
      <c r="F25" s="139">
        <f>'数据-基础表'!U13</f>
        <v>7729.71</v>
      </c>
      <c r="G25" s="1362"/>
      <c r="H25" s="110">
        <f t="shared" si="6"/>
        <v>205.71</v>
      </c>
      <c r="I25" s="116">
        <f t="shared" si="7"/>
        <v>548.07000000000005</v>
      </c>
      <c r="J25" s="1965"/>
      <c r="K25" s="2568">
        <f t="shared" si="3"/>
        <v>548.07000000000005</v>
      </c>
      <c r="L25" s="274">
        <f t="shared" si="4"/>
        <v>0</v>
      </c>
      <c r="M25" s="2569">
        <f t="shared" si="8"/>
        <v>548.07000000000005</v>
      </c>
      <c r="N25" s="2570"/>
      <c r="O25" s="2571"/>
      <c r="P25" s="2572">
        <f t="shared" si="9"/>
        <v>0</v>
      </c>
      <c r="R25" s="274">
        <f t="shared" si="5"/>
        <v>3106.9900000000002</v>
      </c>
      <c r="S25" s="2282">
        <f t="shared" si="5"/>
        <v>8277.7800000000007</v>
      </c>
    </row>
    <row r="26" spans="1:19">
      <c r="A26" s="138"/>
      <c r="B26" s="115" t="s">
        <v>226</v>
      </c>
      <c r="C26" s="141"/>
      <c r="D26" s="111">
        <f t="shared" si="1"/>
        <v>0</v>
      </c>
      <c r="E26" s="134">
        <f t="shared" si="2"/>
        <v>0</v>
      </c>
      <c r="F26" s="139"/>
      <c r="G26" s="1362"/>
      <c r="H26" s="110">
        <f t="shared" si="6"/>
        <v>0</v>
      </c>
      <c r="I26" s="116">
        <f t="shared" si="7"/>
        <v>0</v>
      </c>
      <c r="J26" s="1965"/>
      <c r="K26" s="2573">
        <f t="shared" si="3"/>
        <v>0</v>
      </c>
      <c r="L26" s="279">
        <f t="shared" si="4"/>
        <v>0</v>
      </c>
      <c r="M26" s="145">
        <f t="shared" si="8"/>
        <v>0</v>
      </c>
      <c r="N26" s="2574"/>
      <c r="O26" s="2575"/>
      <c r="P26" s="2576">
        <f t="shared" si="9"/>
        <v>0</v>
      </c>
      <c r="R26" s="274">
        <f t="shared" si="5"/>
        <v>0</v>
      </c>
      <c r="S26" s="2282">
        <f t="shared" si="5"/>
        <v>0</v>
      </c>
    </row>
    <row r="27" spans="1:19" ht="43.5" thickBot="1">
      <c r="A27" s="138"/>
      <c r="B27" s="111"/>
      <c r="C27" s="127" t="s">
        <v>215</v>
      </c>
      <c r="D27" s="134">
        <f>SUM(D19:D26)</f>
        <v>163030.16999999998</v>
      </c>
      <c r="E27" s="142">
        <f>IF(SUM(E19:E26)='数据-基础表'!BA5,SUM(E19:E26),IF(F27="地上面积有误","面积有误","地下面积有误"))</f>
        <v>434352.25</v>
      </c>
      <c r="F27" s="134">
        <f>IF(SUM(F19:F26)=E8,SUM(F19:F26),"地上面积有误")</f>
        <v>324382.25</v>
      </c>
      <c r="G27" s="112">
        <f>SUM(G19:G26)</f>
        <v>109970</v>
      </c>
      <c r="H27" s="973">
        <f>SUM(H19:H26)</f>
        <v>11559.569999999998</v>
      </c>
      <c r="I27" s="974">
        <f>SUM(I19:I26)</f>
        <v>30797.539999999997</v>
      </c>
      <c r="J27" s="1965"/>
      <c r="K27" s="2577">
        <f>SUM(K19:K26)</f>
        <v>30797.539999999997</v>
      </c>
      <c r="L27" s="2578">
        <f>SUM(L19:L26)</f>
        <v>0</v>
      </c>
      <c r="M27" s="2579">
        <f>SUM(M19:M26)</f>
        <v>30797.539999999997</v>
      </c>
      <c r="N27" s="2577">
        <f t="shared" ref="N27:O27" si="10">SUM(N19:N26)</f>
        <v>0</v>
      </c>
      <c r="O27" s="2578">
        <f t="shared" si="10"/>
        <v>0</v>
      </c>
      <c r="P27" s="2580">
        <f>SUM(P19:P26)</f>
        <v>0</v>
      </c>
      <c r="R27" s="2286" t="str">
        <f>IF(SUM(R19:R26)=$D$3,SUM(R19:R26),SUM(R19:R26)&amp;"误差"&amp;ROUND(SUM(R19:R26)-$D$3,2))</f>
        <v>174589.74误差-2603.27</v>
      </c>
      <c r="S27" s="274" t="str">
        <f>IF(SUM(S19:S26)=$E$3,SUM(S19:S26),SUM(S19:S26)&amp;"误差"&amp;ROUND(SUM(S19:S26)-E3,2))</f>
        <v>465149.79误差-6935.73</v>
      </c>
    </row>
    <row r="28" spans="1:19">
      <c r="A28" s="138"/>
      <c r="B28" s="115" t="s">
        <v>227</v>
      </c>
      <c r="C28" s="136" t="s">
        <v>228</v>
      </c>
      <c r="D28" s="111">
        <f>ROUND($D$3*E28/$E$3,2)</f>
        <v>11559.58</v>
      </c>
      <c r="E28" s="134">
        <f>SUM(F28:G28)</f>
        <v>30797.550000000014</v>
      </c>
      <c r="F28" s="143">
        <f>'数据-基础表'!BQ5+'数据-基础表'!BS5</f>
        <v>4566.88</v>
      </c>
      <c r="G28" s="144">
        <f>'数据-基础表'!BR5+'数据-基础表'!BT5</f>
        <v>26230.670000000013</v>
      </c>
      <c r="H28" s="1965"/>
      <c r="I28" s="1965"/>
      <c r="J28" s="1965"/>
      <c r="K28" s="1965"/>
      <c r="L28" s="1965"/>
    </row>
    <row r="29" spans="1:19">
      <c r="A29" s="138"/>
      <c r="B29" s="115" t="s">
        <v>227</v>
      </c>
      <c r="C29" s="2294" t="s">
        <v>2311</v>
      </c>
      <c r="D29" s="111">
        <f>ROUND($D$3*E29/$E$3,2)</f>
        <v>2603.2600000000002</v>
      </c>
      <c r="E29" s="134">
        <f>SUM(F29:G29)</f>
        <v>6935.72</v>
      </c>
      <c r="F29" s="143">
        <f>'数据-基础表'!BM5+'数据-基础表'!BO5</f>
        <v>6935.72</v>
      </c>
      <c r="G29" s="145">
        <f>'数据-基础表'!BN5+'数据-基础表'!BP5</f>
        <v>0</v>
      </c>
      <c r="H29" s="1965"/>
      <c r="I29" s="1965"/>
      <c r="J29" s="1965"/>
      <c r="K29" s="1965"/>
      <c r="L29" s="1965"/>
    </row>
    <row r="30" spans="1:19">
      <c r="A30" s="138"/>
      <c r="B30" s="111"/>
      <c r="C30" s="146" t="s">
        <v>215</v>
      </c>
      <c r="D30" s="134">
        <f>SUM(D28:D29)</f>
        <v>14162.84</v>
      </c>
      <c r="E30" s="134">
        <f>SUM(E28:E29)</f>
        <v>37733.270000000011</v>
      </c>
      <c r="F30" s="134">
        <f>SUM(F28:F29)</f>
        <v>11502.6</v>
      </c>
      <c r="G30" s="112">
        <f>SUM(G28:G29)</f>
        <v>26230.670000000013</v>
      </c>
      <c r="H30" s="1965"/>
      <c r="I30" s="1965"/>
      <c r="J30" s="1965"/>
      <c r="K30" s="1965"/>
      <c r="L30" s="1965"/>
    </row>
    <row r="31" spans="1:19" ht="32.25" customHeight="1" thickBot="1">
      <c r="A31" s="1363"/>
      <c r="B31" s="1364" t="s">
        <v>229</v>
      </c>
      <c r="C31" s="2311" t="s">
        <v>2313</v>
      </c>
      <c r="D31" s="1365">
        <f>D27+D30</f>
        <v>177193.00999999998</v>
      </c>
      <c r="E31" s="1365">
        <f>E27+E30</f>
        <v>472085.52</v>
      </c>
      <c r="F31" s="1366">
        <f>F27+F30</f>
        <v>335884.85</v>
      </c>
      <c r="G31" s="1367">
        <f>G27+G30</f>
        <v>136200.67000000001</v>
      </c>
      <c r="H31" s="1965"/>
      <c r="I31" s="1965"/>
      <c r="J31" s="1965"/>
      <c r="K31" s="1965"/>
      <c r="L31" s="1965"/>
    </row>
    <row r="32" spans="1:19">
      <c r="A32" s="1965"/>
      <c r="B32" s="2323" t="s">
        <v>2312</v>
      </c>
      <c r="C32" s="2607"/>
      <c r="D32" s="1195"/>
      <c r="E32" s="1195">
        <f>SUMIF(C19:C26,"*住宅*",E19:E26)</f>
        <v>0</v>
      </c>
      <c r="F32" s="1195"/>
      <c r="G32" s="1195"/>
    </row>
    <row r="33" spans="4:6">
      <c r="D33" s="1969"/>
    </row>
    <row r="34" spans="4:6">
      <c r="F34" s="1966">
        <f>11834.51-F22</f>
        <v>186.96000000000095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4" sqref="J2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8" t="s">
        <v>235</v>
      </c>
      <c r="B2" s="2319">
        <f>项目基本情况!D3</f>
        <v>44050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861</v>
      </c>
      <c r="B4" s="151"/>
      <c r="C4" s="152"/>
      <c r="D4" s="1202"/>
      <c r="E4" s="1203" t="s">
        <v>862</v>
      </c>
      <c r="F4" s="152"/>
      <c r="G4" s="152"/>
      <c r="H4" s="152"/>
      <c r="I4" s="152"/>
      <c r="J4" s="153"/>
      <c r="K4" s="1204"/>
      <c r="L4" s="1205"/>
      <c r="M4" s="152"/>
      <c r="N4" s="1203" t="s">
        <v>863</v>
      </c>
      <c r="O4" s="152"/>
      <c r="P4" s="152"/>
      <c r="Q4" s="152"/>
      <c r="R4" s="152"/>
      <c r="S4" s="153"/>
      <c r="T4" s="975" t="str">
        <f>'数据-汇总表'!I17</f>
        <v>按面积比例</v>
      </c>
      <c r="U4" s="151" t="s">
        <v>864</v>
      </c>
      <c r="V4" s="152"/>
      <c r="W4" s="152"/>
      <c r="X4" s="152"/>
      <c r="Y4" s="153"/>
      <c r="Z4" s="123" t="s">
        <v>865</v>
      </c>
      <c r="AA4" s="123"/>
      <c r="AB4" s="123"/>
      <c r="AC4" s="123"/>
      <c r="AD4" s="123"/>
      <c r="AE4" s="121" t="s">
        <v>866</v>
      </c>
      <c r="AF4" s="123"/>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2315</v>
      </c>
      <c r="B5" s="155" t="s">
        <v>236</v>
      </c>
      <c r="C5" s="156" t="s">
        <v>237</v>
      </c>
      <c r="D5" s="157" t="s">
        <v>238</v>
      </c>
      <c r="E5" s="158" t="s">
        <v>239</v>
      </c>
      <c r="F5" s="159" t="s">
        <v>240</v>
      </c>
      <c r="G5" s="158" t="s">
        <v>241</v>
      </c>
      <c r="H5" s="158" t="s">
        <v>859</v>
      </c>
      <c r="I5" s="158" t="s">
        <v>860</v>
      </c>
      <c r="J5" s="160" t="s">
        <v>242</v>
      </c>
      <c r="K5" s="161" t="s">
        <v>243</v>
      </c>
      <c r="L5" s="162" t="s">
        <v>244</v>
      </c>
      <c r="M5" s="163" t="s">
        <v>245</v>
      </c>
      <c r="N5" s="1213" t="s">
        <v>2818</v>
      </c>
      <c r="O5" s="162" t="s">
        <v>246</v>
      </c>
      <c r="P5" s="164" t="s">
        <v>247</v>
      </c>
      <c r="Q5" s="165" t="s">
        <v>248</v>
      </c>
      <c r="R5" s="166" t="s">
        <v>249</v>
      </c>
      <c r="S5" s="2581" t="s">
        <v>2563</v>
      </c>
      <c r="T5" s="167" t="s">
        <v>250</v>
      </c>
      <c r="U5" s="168" t="s">
        <v>251</v>
      </c>
      <c r="V5" s="158" t="s">
        <v>252</v>
      </c>
      <c r="W5" s="158" t="s">
        <v>253</v>
      </c>
      <c r="X5" s="1799"/>
      <c r="Y5" s="169" t="s">
        <v>254</v>
      </c>
      <c r="Z5" s="170" t="s">
        <v>255</v>
      </c>
      <c r="AA5" s="158" t="s">
        <v>252</v>
      </c>
      <c r="AB5" s="158" t="s">
        <v>253</v>
      </c>
      <c r="AC5" s="1800"/>
      <c r="AD5" s="171" t="s">
        <v>254</v>
      </c>
      <c r="AE5" s="1" t="s">
        <v>867</v>
      </c>
      <c r="AF5" s="158" t="s">
        <v>256</v>
      </c>
      <c r="AG5" s="169" t="s">
        <v>257</v>
      </c>
      <c r="AH5" s="1800" t="s">
        <v>2314</v>
      </c>
      <c r="AI5" s="170" t="s">
        <v>2283</v>
      </c>
      <c r="AJ5" s="170" t="s">
        <v>258</v>
      </c>
      <c r="AK5" s="158" t="s">
        <v>259</v>
      </c>
      <c r="AL5" s="158" t="s">
        <v>260</v>
      </c>
      <c r="AM5" s="171" t="s">
        <v>261</v>
      </c>
      <c r="AN5" s="2351" t="s">
        <v>2364</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高层</v>
      </c>
      <c r="B6" s="2318" t="str">
        <f>IF(A6=0,"","经营性")</f>
        <v>经营性</v>
      </c>
      <c r="C6" s="172" t="s">
        <v>920</v>
      </c>
      <c r="D6" s="2289">
        <f>SUMIF(项目基本情况!D$15:I$15,C6,项目基本情况!D$18:I$18)</f>
        <v>70</v>
      </c>
      <c r="E6" s="2290">
        <f>IF(B6="","",SUMIF(项目基本情况!D$15:I$15,C6,项目基本情况!D$17:I$17))</f>
        <v>66565</v>
      </c>
      <c r="F6" s="173">
        <f>SUMIF(项目基本情况!D$15:I$15,C6,项目基本情况!D$19:I$19)</f>
        <v>61.68</v>
      </c>
      <c r="G6" s="174">
        <f>IF(ISERROR(ROUND(POWER(1+H6,D6-F6)*(POWER(1+H6,F6)-1)/(POWER(1+H6,D6)-1),3)),0,ROUND(POWER(1+H6,D6-F6)*(POWER(1+H6,F6)-1)/(POWER(1+H6,D6)-1),3))</f>
        <v>0.97899999999999998</v>
      </c>
      <c r="H6" s="2857">
        <v>4.4999999999999998E-2</v>
      </c>
      <c r="I6" s="2857">
        <v>0.05</v>
      </c>
      <c r="J6" s="175">
        <v>0.08</v>
      </c>
      <c r="K6" s="178">
        <f>SUMIF('数据-汇总表'!C$19:C$33,'数据-取费表'!A6,'数据-汇总表'!E$19:E$33)</f>
        <v>195457.31999999998</v>
      </c>
      <c r="L6" s="2858">
        <v>2600</v>
      </c>
      <c r="M6" s="176">
        <f t="shared" ref="M6:M14" si="0">ROUND(K6*L6/10000,0)</f>
        <v>50819</v>
      </c>
      <c r="N6" s="2859">
        <v>0</v>
      </c>
      <c r="O6" s="176">
        <f>IF($N$5="成新度","——",ROUND(M6*N6,0))</f>
        <v>0</v>
      </c>
      <c r="P6" s="177">
        <f>IF($N$5="成新度","——",M6-O6)</f>
        <v>50819</v>
      </c>
      <c r="Q6" s="2860">
        <v>0.15</v>
      </c>
      <c r="R6" s="178">
        <f>SUMIF('数据-汇总表'!C$19:C$33,A6,'数据-汇总表'!R$19:R$33)</f>
        <v>78564.91</v>
      </c>
      <c r="S6" s="132">
        <f>IF('数据-汇总表'!$I$17="按面积比例",SUMIF('数据-汇总表'!C$19:C$33,A6,'数据-汇总表'!K$19:K$33),SUMIF('数据-汇总表'!C$19:C$33,A6,'数据-汇总表'!N$19:N$33))</f>
        <v>13858.81</v>
      </c>
      <c r="T6" s="2215">
        <f>IF($T$4="按面积比例",IF(ISERROR(ROUND($M$14*S6/S$16,0)),"0",ROUND($M$14*S6/S$16,0)),"需自行计算录入")</f>
        <v>3603</v>
      </c>
      <c r="U6" s="179"/>
      <c r="V6" s="180"/>
      <c r="W6" s="180"/>
      <c r="X6" s="2302"/>
      <c r="Y6" s="181"/>
      <c r="Z6" s="182"/>
      <c r="AA6" s="175"/>
      <c r="AB6" s="175"/>
      <c r="AC6" s="2305"/>
      <c r="AD6" s="183"/>
      <c r="AE6" s="970">
        <f ca="1">IF(AN6="",0,SUMIF(INDIRECT("'"&amp;AN6&amp;"'"&amp;"!E:E"),$AE$5,INDIRECT("'"&amp;AN6&amp;"'"&amp;"!F:F")))</f>
        <v>0</v>
      </c>
      <c r="AF6" s="140"/>
      <c r="AG6" s="1207">
        <f>IF(AF6="",0,AE6-AF6)</f>
        <v>0</v>
      </c>
      <c r="AH6" s="140"/>
      <c r="AI6" s="186"/>
      <c r="AJ6" s="187"/>
      <c r="AK6" s="188"/>
      <c r="AL6" s="189"/>
      <c r="AM6" s="2871"/>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叠墅</v>
      </c>
      <c r="B7" s="2318" t="str">
        <f t="shared" ref="B7:B13" si="1">IF(A7=0,"","经营性")</f>
        <v>经营性</v>
      </c>
      <c r="C7" s="172" t="s">
        <v>920</v>
      </c>
      <c r="D7" s="2289">
        <f>SUMIF(项目基本情况!D$15:I$15,C7,项目基本情况!D$18:I$18)</f>
        <v>70</v>
      </c>
      <c r="E7" s="2290">
        <f>IF(B7="","",SUMIF(项目基本情况!D$15:I$15,C7,项目基本情况!D$17:I$17))</f>
        <v>66565</v>
      </c>
      <c r="F7" s="173">
        <f>SUMIF(项目基本情况!D$15:I$15,C7,项目基本情况!D$19:I$19)</f>
        <v>61.68</v>
      </c>
      <c r="G7" s="174">
        <f t="shared" ref="G7:G11" si="2">IF(ISERROR(ROUND(POWER(1+H7,D7-F7)*(POWER(1+H7,F7)-1)/(POWER(1+H7,D7)-1),3)),0,ROUND(POWER(1+H7,D7-F7)*(POWER(1+H7,F7)-1)/(POWER(1+H7,D7)-1),3))</f>
        <v>0.97899999999999998</v>
      </c>
      <c r="H7" s="2857">
        <f>H6</f>
        <v>4.4999999999999998E-2</v>
      </c>
      <c r="I7" s="2857">
        <f>I6</f>
        <v>0.05</v>
      </c>
      <c r="J7" s="175">
        <f>J6</f>
        <v>0.08</v>
      </c>
      <c r="K7" s="178">
        <f>SUMIF('数据-汇总表'!C$19:C$33,'数据-取费表'!A7,'数据-汇总表'!E$19:E$33)</f>
        <v>41200.360000000008</v>
      </c>
      <c r="L7" s="2858">
        <f>L6</f>
        <v>2600</v>
      </c>
      <c r="M7" s="176">
        <f t="shared" si="0"/>
        <v>10712</v>
      </c>
      <c r="N7" s="2859">
        <f>N6</f>
        <v>0</v>
      </c>
      <c r="O7" s="176">
        <f t="shared" ref="O7:O14" si="3">IF($N$5="成新度","——",ROUND(M7*N7,0))</f>
        <v>0</v>
      </c>
      <c r="P7" s="177">
        <f t="shared" ref="P7:P14" si="4">IF($N$5="成新度","——",M7-O7)</f>
        <v>10712</v>
      </c>
      <c r="Q7" s="2860">
        <f>Q6</f>
        <v>0.15</v>
      </c>
      <c r="R7" s="178">
        <f>SUMIF('数据-汇总表'!C$19:C$33,A7,'数据-汇总表'!R$19:R$33)</f>
        <v>16560.66</v>
      </c>
      <c r="S7" s="132">
        <f>IF('数据-汇总表'!$I$17="按面积比例",SUMIF('数据-汇总表'!C$19:C$33,A7,'数据-汇总表'!K$19:K$33),SUMIF('数据-汇总表'!C$19:C$33,A7,'数据-汇总表'!N$19:N$33))</f>
        <v>2921.29</v>
      </c>
      <c r="T7" s="2215">
        <f t="shared" ref="T7:T13" si="5">IF($T$4="按面积比例",IF(ISERROR(ROUND($M$14*S7/S$16,0)),"0",ROUND($M$14*S7/S$16,0)),"需自行计算录入")</f>
        <v>760</v>
      </c>
      <c r="U7" s="179"/>
      <c r="V7" s="180"/>
      <c r="W7" s="180"/>
      <c r="X7" s="2302"/>
      <c r="Y7" s="181"/>
      <c r="Z7" s="182"/>
      <c r="AA7" s="175"/>
      <c r="AB7" s="175"/>
      <c r="AC7" s="2305"/>
      <c r="AD7" s="183"/>
      <c r="AE7" s="970">
        <f t="shared" ref="AE7:AE13" ca="1" si="6">IF(AN7="",0,SUMIF(INDIRECT("'"&amp;AN7&amp;"'"&amp;"!E:E"),$AE$5,INDIRECT("'"&amp;AN7&amp;"'"&amp;"!F:F")))</f>
        <v>0</v>
      </c>
      <c r="AF7" s="140"/>
      <c r="AG7" s="1207">
        <f t="shared" ref="AG7:AG13" si="7">IF(AF7="",0,AE7-AF7)</f>
        <v>0</v>
      </c>
      <c r="AH7" s="140"/>
      <c r="AI7" s="186"/>
      <c r="AJ7" s="187"/>
      <c r="AK7" s="188"/>
      <c r="AL7" s="189"/>
      <c r="AM7" s="2350"/>
      <c r="AN7" s="2352"/>
      <c r="AO7" s="1981"/>
      <c r="AP7" s="1198">
        <f t="shared" ref="AP7:AP13" si="8">ROUND(1-1/(1+H7)^F7,3)</f>
        <v>0.93400000000000005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合院</v>
      </c>
      <c r="B8" s="2318" t="str">
        <f t="shared" si="1"/>
        <v>经营性</v>
      </c>
      <c r="C8" s="172" t="s">
        <v>920</v>
      </c>
      <c r="D8" s="2289">
        <f>SUMIF(项目基本情况!D$15:I$15,C8,项目基本情况!D$18:I$18)</f>
        <v>70</v>
      </c>
      <c r="E8" s="2290">
        <f>IF(B8="","",SUMIF(项目基本情况!D$15:I$15,C8,项目基本情况!D$17:I$17))</f>
        <v>66565</v>
      </c>
      <c r="F8" s="173">
        <f>SUMIF(项目基本情况!D$15:I$15,C8,项目基本情况!D$19:I$19)</f>
        <v>61.68</v>
      </c>
      <c r="G8" s="174">
        <f t="shared" si="2"/>
        <v>0.97899999999999998</v>
      </c>
      <c r="H8" s="2857">
        <f>H6</f>
        <v>4.4999999999999998E-2</v>
      </c>
      <c r="I8" s="2857">
        <f>I6</f>
        <v>0.05</v>
      </c>
      <c r="J8" s="175">
        <f>J6</f>
        <v>0.08</v>
      </c>
      <c r="K8" s="178">
        <f>SUMIF('数据-汇总表'!C$19:C$33,'数据-取费表'!A8,'数据-汇总表'!E$19:E$33)</f>
        <v>13269.76</v>
      </c>
      <c r="L8" s="2858">
        <f>L6</f>
        <v>2600</v>
      </c>
      <c r="M8" s="176">
        <f>ROUND(K8*L8/10000,0)</f>
        <v>3450</v>
      </c>
      <c r="N8" s="2859">
        <f>N6</f>
        <v>0</v>
      </c>
      <c r="O8" s="176">
        <f t="shared" si="3"/>
        <v>0</v>
      </c>
      <c r="P8" s="177">
        <f t="shared" si="4"/>
        <v>3450</v>
      </c>
      <c r="Q8" s="2860">
        <f>Q6</f>
        <v>0.15</v>
      </c>
      <c r="R8" s="178">
        <f>SUMIF('数据-汇总表'!C$19:C$33,A8,'数据-汇总表'!R$19:R$33)</f>
        <v>5333.83</v>
      </c>
      <c r="S8" s="132">
        <f>IF('数据-汇总表'!$I$17="按面积比例",SUMIF('数据-汇总表'!C$19:C$33,A8,'数据-汇总表'!K$19:K$33),SUMIF('数据-汇总表'!C$19:C$33,A8,'数据-汇总表'!N$19:N$33))</f>
        <v>940.89</v>
      </c>
      <c r="T8" s="2215">
        <f t="shared" si="5"/>
        <v>245</v>
      </c>
      <c r="U8" s="179"/>
      <c r="V8" s="180"/>
      <c r="W8" s="180"/>
      <c r="X8" s="2302"/>
      <c r="Y8" s="181"/>
      <c r="Z8" s="182"/>
      <c r="AA8" s="175"/>
      <c r="AB8" s="175"/>
      <c r="AC8" s="2305"/>
      <c r="AD8" s="183"/>
      <c r="AE8" s="970">
        <f t="shared" ca="1" si="6"/>
        <v>0</v>
      </c>
      <c r="AF8" s="140"/>
      <c r="AG8" s="1207">
        <f t="shared" si="7"/>
        <v>0</v>
      </c>
      <c r="AH8" s="140"/>
      <c r="AI8" s="186"/>
      <c r="AJ8" s="187"/>
      <c r="AK8" s="188"/>
      <c r="AL8" s="189"/>
      <c r="AM8" s="2350"/>
      <c r="AN8" s="2352"/>
      <c r="AO8" s="1981"/>
      <c r="AP8" s="1198">
        <f t="shared" si="8"/>
        <v>0.93400000000000005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商业</v>
      </c>
      <c r="B9" s="2318" t="str">
        <f t="shared" si="1"/>
        <v>经营性</v>
      </c>
      <c r="C9" s="172" t="s">
        <v>2996</v>
      </c>
      <c r="D9" s="2289">
        <f>SUMIF(项目基本情况!D$15:I$15,C9,项目基本情况!D$18:I$18)</f>
        <v>40</v>
      </c>
      <c r="E9" s="2290">
        <f>IF(B9="","",SUMIF(项目基本情况!D$15:I$15,C9,项目基本情况!D$17:I$17))</f>
        <v>55608</v>
      </c>
      <c r="F9" s="173">
        <f>SUMIF(项目基本情况!D$15:I$15,C9,项目基本情况!D$19:I$19)</f>
        <v>31.66</v>
      </c>
      <c r="G9" s="174">
        <f t="shared" si="2"/>
        <v>0.91700000000000004</v>
      </c>
      <c r="H9" s="175">
        <v>0.05</v>
      </c>
      <c r="I9" s="175">
        <v>5.5E-2</v>
      </c>
      <c r="J9" s="175">
        <v>0.08</v>
      </c>
      <c r="K9" s="178">
        <f>SUMIF('数据-汇总表'!C$19:C$33,'数据-取费表'!A9,'数据-汇总表'!E$19:E$33)</f>
        <v>11647.55</v>
      </c>
      <c r="L9" s="192">
        <v>3500</v>
      </c>
      <c r="M9" s="176">
        <f t="shared" si="0"/>
        <v>4077</v>
      </c>
      <c r="N9" s="193">
        <f>N6</f>
        <v>0</v>
      </c>
      <c r="O9" s="176">
        <f t="shared" si="3"/>
        <v>0</v>
      </c>
      <c r="P9" s="177">
        <f t="shared" si="4"/>
        <v>4077</v>
      </c>
      <c r="Q9" s="191">
        <v>0.2</v>
      </c>
      <c r="R9" s="178">
        <f>SUMIF('数据-汇总表'!C$19:C$33,A9,'数据-汇总表'!R$19:R$33)</f>
        <v>4681.7800000000007</v>
      </c>
      <c r="S9" s="132">
        <f>IF('数据-汇总表'!$I$17="按面积比例",SUMIF('数据-汇总表'!C$19:C$33,A9,'数据-汇总表'!K$19:K$33),SUMIF('数据-汇总表'!C$19:C$33,A9,'数据-汇总表'!N$19:N$33))</f>
        <v>825.86</v>
      </c>
      <c r="T9" s="2215">
        <f t="shared" si="5"/>
        <v>215</v>
      </c>
      <c r="U9" s="179">
        <v>3</v>
      </c>
      <c r="V9" s="180">
        <v>0.03</v>
      </c>
      <c r="W9" s="3213">
        <v>0.1</v>
      </c>
      <c r="X9" s="2302"/>
      <c r="Y9" s="181">
        <v>1</v>
      </c>
      <c r="Z9" s="182"/>
      <c r="AA9" s="175"/>
      <c r="AB9" s="175"/>
      <c r="AC9" s="2305"/>
      <c r="AD9" s="183"/>
      <c r="AE9" s="970">
        <f t="shared" ca="1" si="6"/>
        <v>31.66</v>
      </c>
      <c r="AF9" s="140"/>
      <c r="AG9" s="1207">
        <f t="shared" si="7"/>
        <v>0</v>
      </c>
      <c r="AH9" s="140"/>
      <c r="AI9" s="186">
        <v>365</v>
      </c>
      <c r="AJ9" s="187"/>
      <c r="AK9" s="188">
        <v>1.4999999999999999E-2</v>
      </c>
      <c r="AL9" s="189">
        <v>1.5E-3</v>
      </c>
      <c r="AM9" s="2350">
        <v>1.4999999999999999E-2</v>
      </c>
      <c r="AN9" s="2352" t="s">
        <v>3301</v>
      </c>
      <c r="AO9" s="1981"/>
      <c r="AP9" s="1198">
        <f t="shared" si="8"/>
        <v>0.78700000000000003</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t="str">
        <f>'数据-汇总表'!C23</f>
        <v>办公</v>
      </c>
      <c r="B10" s="2318" t="str">
        <f t="shared" si="1"/>
        <v>经营性</v>
      </c>
      <c r="C10" s="172" t="s">
        <v>1674</v>
      </c>
      <c r="D10" s="2289">
        <f>SUMIF(项目基本情况!D$15:I$15,C10,项目基本情况!D$18:I$18)</f>
        <v>50</v>
      </c>
      <c r="E10" s="2290">
        <f>IF(B10="","",SUMIF(项目基本情况!D$15:I$15,C10,项目基本情况!D$17:I$17))</f>
        <v>59260</v>
      </c>
      <c r="F10" s="173">
        <f>SUMIF(项目基本情况!D$15:I$15,C10,项目基本情况!D$19:I$19)</f>
        <v>41.67</v>
      </c>
      <c r="G10" s="174">
        <f t="shared" si="2"/>
        <v>0.95199999999999996</v>
      </c>
      <c r="H10" s="175">
        <f>H9</f>
        <v>0.05</v>
      </c>
      <c r="I10" s="175">
        <f>I9</f>
        <v>5.5E-2</v>
      </c>
      <c r="J10" s="175">
        <f>J9</f>
        <v>0.08</v>
      </c>
      <c r="K10" s="178">
        <f>SUMIF('数据-汇总表'!C$19:C$33,'数据-取费表'!A10,'数据-汇总表'!E$19:E$33)</f>
        <v>55077.55</v>
      </c>
      <c r="L10" s="192">
        <v>3500</v>
      </c>
      <c r="M10" s="176">
        <f t="shared" si="0"/>
        <v>19277</v>
      </c>
      <c r="N10" s="193">
        <f>N6</f>
        <v>0</v>
      </c>
      <c r="O10" s="176">
        <f t="shared" si="3"/>
        <v>0</v>
      </c>
      <c r="P10" s="177">
        <f t="shared" si="4"/>
        <v>19277</v>
      </c>
      <c r="Q10" s="191">
        <v>0.2</v>
      </c>
      <c r="R10" s="178">
        <f>SUMIF('数据-汇总表'!C$19:C$33,A10,'数据-汇总表'!R$19:R$33)</f>
        <v>22138.66</v>
      </c>
      <c r="S10" s="132">
        <f>IF('数据-汇总表'!$I$17="按面积比例",SUMIF('数据-汇总表'!C$19:C$33,A10,'数据-汇总表'!K$19:K$33),SUMIF('数据-汇总表'!C$19:C$33,A10,'数据-汇总表'!N$19:N$33))</f>
        <v>3905.25</v>
      </c>
      <c r="T10" s="2215">
        <f t="shared" si="5"/>
        <v>1015</v>
      </c>
      <c r="U10" s="179">
        <v>1.2</v>
      </c>
      <c r="V10" s="180">
        <v>0.03</v>
      </c>
      <c r="W10" s="3213">
        <v>0.1</v>
      </c>
      <c r="X10" s="2302"/>
      <c r="Y10" s="181">
        <v>1</v>
      </c>
      <c r="Z10" s="182"/>
      <c r="AA10" s="175"/>
      <c r="AB10" s="175"/>
      <c r="AC10" s="2305"/>
      <c r="AD10" s="183"/>
      <c r="AE10" s="970">
        <f t="shared" ca="1" si="6"/>
        <v>41.67</v>
      </c>
      <c r="AF10" s="140"/>
      <c r="AG10" s="1207">
        <f t="shared" si="7"/>
        <v>0</v>
      </c>
      <c r="AH10" s="140"/>
      <c r="AI10" s="186">
        <v>365</v>
      </c>
      <c r="AJ10" s="187"/>
      <c r="AK10" s="188">
        <v>1.4999999999999999E-2</v>
      </c>
      <c r="AL10" s="189">
        <v>1.5E-3</v>
      </c>
      <c r="AM10" s="2350">
        <v>1.4999999999999999E-2</v>
      </c>
      <c r="AN10" s="2352" t="s">
        <v>3302</v>
      </c>
      <c r="AO10" s="1981"/>
      <c r="AP10" s="1198">
        <f t="shared" si="8"/>
        <v>0.86899999999999999</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t="str">
        <f>'数据-汇总表'!C24</f>
        <v>车库</v>
      </c>
      <c r="B11" s="2318" t="str">
        <f t="shared" si="1"/>
        <v>经营性</v>
      </c>
      <c r="C11" s="172" t="s">
        <v>2997</v>
      </c>
      <c r="D11" s="2289">
        <f>SUMIF(项目基本情况!D$15:I$15,C11,项目基本情况!D$18:I$18)</f>
        <v>50</v>
      </c>
      <c r="E11" s="2290">
        <f>IF(B11="","",SUMIF(项目基本情况!D$15:I$15,C11,项目基本情况!D$17:I$17))</f>
        <v>59260</v>
      </c>
      <c r="F11" s="173">
        <f>SUMIF(项目基本情况!D$15:I$15,C11,项目基本情况!D$19:I$19)</f>
        <v>41.67</v>
      </c>
      <c r="G11" s="174">
        <f t="shared" si="2"/>
        <v>0.93700000000000006</v>
      </c>
      <c r="H11" s="175">
        <v>0.04</v>
      </c>
      <c r="I11" s="175">
        <v>4.4999999999999998E-2</v>
      </c>
      <c r="J11" s="175">
        <v>0.08</v>
      </c>
      <c r="K11" s="178">
        <f>SUMIF('数据-汇总表'!C$19:C$33,'数据-取费表'!A11,'数据-汇总表'!E$19:E$33)</f>
        <v>109970</v>
      </c>
      <c r="L11" s="192">
        <f>L6</f>
        <v>2600</v>
      </c>
      <c r="M11" s="176">
        <f t="shared" si="0"/>
        <v>28592</v>
      </c>
      <c r="N11" s="193">
        <f>N6</f>
        <v>0</v>
      </c>
      <c r="O11" s="176">
        <f t="shared" si="3"/>
        <v>0</v>
      </c>
      <c r="P11" s="177">
        <f t="shared" si="4"/>
        <v>28592</v>
      </c>
      <c r="Q11" s="191">
        <v>0.03</v>
      </c>
      <c r="R11" s="178">
        <f>SUMIF('数据-汇总表'!C$19:C$33,A11,'数据-汇总表'!R$19:R$33)</f>
        <v>44202.909999999996</v>
      </c>
      <c r="S11" s="132">
        <f>IF('数据-汇总表'!$I$17="按面积比例",SUMIF('数据-汇总表'!C$19:C$33,A11,'数据-汇总表'!K$19:K$33),SUMIF('数据-汇总表'!C$19:C$33,A11,'数据-汇总表'!N$19:N$33))</f>
        <v>7797.37</v>
      </c>
      <c r="T11" s="2215">
        <f t="shared" si="5"/>
        <v>2027</v>
      </c>
      <c r="U11" s="184">
        <v>400</v>
      </c>
      <c r="V11" s="175">
        <v>0.02</v>
      </c>
      <c r="W11" s="3214">
        <v>0.1</v>
      </c>
      <c r="X11" s="2305"/>
      <c r="Y11" s="181">
        <v>1</v>
      </c>
      <c r="Z11" s="194"/>
      <c r="AA11" s="175"/>
      <c r="AB11" s="175"/>
      <c r="AC11" s="2305"/>
      <c r="AD11" s="183"/>
      <c r="AE11" s="970">
        <f t="shared" ca="1" si="6"/>
        <v>41.67</v>
      </c>
      <c r="AF11" s="140"/>
      <c r="AG11" s="1207">
        <f t="shared" si="7"/>
        <v>0</v>
      </c>
      <c r="AH11" s="140">
        <v>3159</v>
      </c>
      <c r="AI11" s="186">
        <v>12</v>
      </c>
      <c r="AJ11" s="187"/>
      <c r="AK11" s="195">
        <v>1.4999999999999999E-2</v>
      </c>
      <c r="AL11" s="196">
        <v>1.5E-3</v>
      </c>
      <c r="AM11" s="1798">
        <v>0.01</v>
      </c>
      <c r="AN11" s="2352" t="s">
        <v>3315</v>
      </c>
      <c r="AO11" s="1981"/>
      <c r="AP11" s="1198">
        <f t="shared" si="8"/>
        <v>0.80500000000000005</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t="str">
        <f>'数据-汇总表'!C25</f>
        <v>保障房</v>
      </c>
      <c r="B12" s="2318" t="str">
        <f t="shared" si="1"/>
        <v>经营性</v>
      </c>
      <c r="C12" s="172" t="s">
        <v>920</v>
      </c>
      <c r="D12" s="2289">
        <f>SUMIF(项目基本情况!D$15:I$15,C12,项目基本情况!D$18:I$18)</f>
        <v>70</v>
      </c>
      <c r="E12" s="2290">
        <f>IF(B12="","",SUMIF(项目基本情况!D$15:I$15,C12,项目基本情况!D$17:I$17))</f>
        <v>66565</v>
      </c>
      <c r="F12" s="173">
        <f>SUMIF(项目基本情况!D$15:I$15,C12,项目基本情况!D$19:I$19)</f>
        <v>61.68</v>
      </c>
      <c r="G12" s="174">
        <f>IF(ISERROR(ROUND(POWER(1+H12,D12-F12)*(POWER(1+H12,F12)-1)/(POWER(1+H12,D12)-1),3)),0,ROUND(POWER(1+H12,D12-F12)*(POWER(1+H12,F12)-1)/(POWER(1+H12,D12)-1),3))</f>
        <v>0.97899999999999998</v>
      </c>
      <c r="H12" s="175">
        <f>H6</f>
        <v>4.4999999999999998E-2</v>
      </c>
      <c r="I12" s="175">
        <f>I6</f>
        <v>0.05</v>
      </c>
      <c r="J12" s="175">
        <f>J6</f>
        <v>0.08</v>
      </c>
      <c r="K12" s="178">
        <f>SUMIF('数据-汇总表'!C$19:C$33,'数据-取费表'!A12,'数据-汇总表'!E$19:E$33)</f>
        <v>7729.71</v>
      </c>
      <c r="L12" s="192">
        <v>2400</v>
      </c>
      <c r="M12" s="176">
        <f>ROUND(K12*L12/10000,0)</f>
        <v>1855</v>
      </c>
      <c r="N12" s="193">
        <f>N6</f>
        <v>0</v>
      </c>
      <c r="O12" s="176">
        <f t="shared" si="3"/>
        <v>0</v>
      </c>
      <c r="P12" s="177">
        <f t="shared" si="4"/>
        <v>1855</v>
      </c>
      <c r="Q12" s="191">
        <v>0</v>
      </c>
      <c r="R12" s="178">
        <f>SUMIF('数据-汇总表'!C$19:C$33,A12,'数据-汇总表'!R$19:R$33)</f>
        <v>3106.9900000000002</v>
      </c>
      <c r="S12" s="132">
        <f>IF('数据-汇总表'!$I$17="按面积比例",SUMIF('数据-汇总表'!C$19:C$33,A12,'数据-汇总表'!K$19:K$33),SUMIF('数据-汇总表'!C$19:C$33,A12,'数据-汇总表'!N$19:N$33))</f>
        <v>548.07000000000005</v>
      </c>
      <c r="T12" s="2215">
        <f t="shared" si="5"/>
        <v>142</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0.93400000000000005</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2305</v>
      </c>
      <c r="B14" s="2287" t="s">
        <v>1676</v>
      </c>
      <c r="C14" s="2288" t="s">
        <v>2305</v>
      </c>
      <c r="D14" s="2289"/>
      <c r="E14" s="2290"/>
      <c r="F14" s="173"/>
      <c r="G14" s="174"/>
      <c r="H14" s="2291"/>
      <c r="I14" s="2291"/>
      <c r="J14" s="2291"/>
      <c r="K14" s="178">
        <f>SUMIF('数据-汇总表'!C$19:C$33,'数据-取费表'!A14,'数据-汇总表'!E$19:E$33)</f>
        <v>30797.550000000014</v>
      </c>
      <c r="L14" s="192">
        <f>L6</f>
        <v>2600</v>
      </c>
      <c r="M14" s="176">
        <f t="shared" si="0"/>
        <v>8007</v>
      </c>
      <c r="N14" s="193">
        <f>N6</f>
        <v>0</v>
      </c>
      <c r="O14" s="176">
        <f t="shared" si="3"/>
        <v>0</v>
      </c>
      <c r="P14" s="177">
        <f t="shared" si="4"/>
        <v>8007</v>
      </c>
      <c r="Q14" s="2299"/>
      <c r="R14" s="178"/>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2307</v>
      </c>
      <c r="B15" s="2287" t="s">
        <v>1676</v>
      </c>
      <c r="C15" s="2288" t="s">
        <v>2306</v>
      </c>
      <c r="D15" s="2289"/>
      <c r="E15" s="2290"/>
      <c r="F15" s="173"/>
      <c r="G15" s="174"/>
      <c r="H15" s="2291"/>
      <c r="I15" s="2291"/>
      <c r="J15" s="2291"/>
      <c r="K15" s="178">
        <f>SUMIF('数据-汇总表'!C$19:C$33,'数据-取费表'!A15,'数据-汇总表'!E$19:E$33)</f>
        <v>6935.72</v>
      </c>
      <c r="L15" s="2297"/>
      <c r="M15" s="176"/>
      <c r="N15" s="2300"/>
      <c r="O15" s="176"/>
      <c r="P15" s="177"/>
      <c r="Q15" s="2299"/>
      <c r="R15" s="178"/>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7" t="s">
        <v>262</v>
      </c>
      <c r="B16" s="198"/>
      <c r="C16" s="199"/>
      <c r="D16" s="200"/>
      <c r="E16" s="198"/>
      <c r="F16" s="198"/>
      <c r="G16" s="201">
        <f>ROUND(SUMPRODUCT(G6:G13,K6:K13)/SUMPRODUCT((G6:G13&gt;0)*(K6:K13)),3)</f>
        <v>0.96299999999999997</v>
      </c>
      <c r="H16" s="202">
        <f>ROUND(SUMPRODUCT(H6:H13,K6:K13)/SUMPRODUCT((H6:H13&gt;0)*(K6:K13)),3)</f>
        <v>4.4999999999999998E-2</v>
      </c>
      <c r="I16" s="203"/>
      <c r="J16" s="203"/>
      <c r="K16" s="204">
        <f>SUM(K6:K15)</f>
        <v>472085.51999999996</v>
      </c>
      <c r="L16" s="205">
        <f>ROUND(M16*10000/SUM(K6:K14),0)</f>
        <v>2726</v>
      </c>
      <c r="M16" s="205">
        <f>SUM(M6:M14)</f>
        <v>126789</v>
      </c>
      <c r="N16" s="206">
        <f>ROUND(SUMPRODUCT(M6:M14,N6:N14)/M16,3)</f>
        <v>0</v>
      </c>
      <c r="O16" s="205">
        <f>SUM(O6:O14)</f>
        <v>0</v>
      </c>
      <c r="P16" s="205">
        <f>SUM(P6:P14)</f>
        <v>126789</v>
      </c>
      <c r="Q16" s="207">
        <f>ROUND(SUMPRODUCT(Q6:Q13,K6:K13)/SUMPRODUCT((Q6:Q13&gt;0)*(K6:K13)),2)</f>
        <v>0.13</v>
      </c>
      <c r="R16" s="2292">
        <f>SUM(R6:R13)</f>
        <v>174589.74</v>
      </c>
      <c r="S16" s="208">
        <f>SUM(S6:S13)</f>
        <v>30797.539999999997</v>
      </c>
      <c r="T16" s="209">
        <f>IF(SUMIF(T6:T13,"&lt;9E307")=M14,SUMIF(T6:T13,"&lt;9E307"),"有误，请检查")</f>
        <v>8007</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0.88900000000000001</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2327</v>
      </c>
      <c r="D19" s="1974"/>
      <c r="E19" s="1973"/>
      <c r="F19" s="1973"/>
      <c r="G19" s="1973"/>
      <c r="H19" s="1973"/>
      <c r="I19" s="1973"/>
      <c r="J19" s="1973"/>
      <c r="K19" s="1972"/>
      <c r="L19" s="1972"/>
      <c r="M19" s="1970"/>
      <c r="N19" s="1970"/>
      <c r="O19" s="1970"/>
      <c r="P19" s="1970"/>
      <c r="Q19" s="1970"/>
      <c r="R19" s="1970"/>
      <c r="S19" s="1970"/>
      <c r="T19" s="1970"/>
      <c r="U19" s="1970" t="s">
        <v>3303</v>
      </c>
      <c r="V19" s="1970">
        <v>1</v>
      </c>
      <c r="W19" s="1970">
        <v>3.5</v>
      </c>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3</v>
      </c>
      <c r="C20" s="2324" t="s">
        <v>2326</v>
      </c>
      <c r="D20" s="1974"/>
      <c r="E20" s="1973"/>
      <c r="F20" s="1973"/>
      <c r="G20" s="1973"/>
      <c r="H20" s="1973"/>
      <c r="I20" s="1973"/>
      <c r="J20" s="1973"/>
      <c r="K20" s="1972"/>
      <c r="L20" s="1972"/>
      <c r="M20" s="1970"/>
      <c r="N20" s="1970"/>
      <c r="O20" s="1970"/>
      <c r="P20" s="1970"/>
      <c r="Q20" s="1970"/>
      <c r="R20" s="1970"/>
      <c r="S20" s="1970"/>
      <c r="T20" s="1970"/>
      <c r="U20" s="1970" t="s">
        <v>3304</v>
      </c>
      <c r="V20" s="1970">
        <v>0.7</v>
      </c>
      <c r="W20" s="1970">
        <f>W19*V20</f>
        <v>2.4499999999999997</v>
      </c>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f>ROUND((W19+W20)/2,2)</f>
        <v>2.98</v>
      </c>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5" t="s">
        <v>2329</v>
      </c>
      <c r="B27" s="226">
        <v>105</v>
      </c>
      <c r="C27" s="2327" t="s">
        <v>2333</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2330</v>
      </c>
      <c r="B28" s="228">
        <v>105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2328</v>
      </c>
      <c r="B29" s="231"/>
      <c r="C29" s="1535" t="s">
        <v>2331</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180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180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3212">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5" t="s">
        <v>278</v>
      </c>
      <c r="B33" s="1371">
        <v>0.03</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0.05</v>
      </c>
      <c r="C34" s="2325" t="s">
        <v>2885</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180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2887</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2447</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2448</v>
      </c>
      <c r="B40" s="2441">
        <f ca="1">存贷款利率!E2</f>
        <v>4.7500000000000001E-2</v>
      </c>
      <c r="C40" s="2325" t="s">
        <v>2332</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292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2899"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2900"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2900"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922</v>
      </c>
      <c r="C53" s="2901" t="s">
        <v>2895</v>
      </c>
      <c r="D53" s="2902"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2904" t="s">
        <v>2897</v>
      </c>
      <c r="B54" s="185"/>
      <c r="C54" s="1975">
        <v>30</v>
      </c>
      <c r="D54" s="290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2904" t="s">
        <v>2898</v>
      </c>
      <c r="B55" s="185"/>
      <c r="C55" s="1975">
        <v>24</v>
      </c>
      <c r="D55" s="290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2904" t="s">
        <v>2899</v>
      </c>
      <c r="B56" s="185"/>
      <c r="C56" s="1975">
        <v>18</v>
      </c>
      <c r="D56" s="290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2904" t="s">
        <v>2900</v>
      </c>
      <c r="B57" s="185">
        <v>8</v>
      </c>
      <c r="C57" s="1975">
        <v>12</v>
      </c>
      <c r="D57" s="290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2904" t="s">
        <v>2901</v>
      </c>
      <c r="B58" s="185"/>
      <c r="C58" s="1975">
        <v>3</v>
      </c>
      <c r="D58" s="290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2904" t="s">
        <v>2902</v>
      </c>
      <c r="B59" s="185"/>
      <c r="C59" s="1975">
        <v>1.5</v>
      </c>
      <c r="D59" s="290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2904" t="s">
        <v>2903</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2904" t="s">
        <v>2904</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2904" t="s">
        <v>2905</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2905" t="s">
        <v>2906</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29" t="s">
        <v>1660</v>
      </c>
      <c r="B1" s="3430"/>
      <c r="C1" s="3430"/>
      <c r="D1" s="3430"/>
      <c r="E1" s="3430"/>
      <c r="F1" s="3430"/>
      <c r="G1" s="3430"/>
      <c r="H1" s="1983"/>
      <c r="I1" s="1984"/>
      <c r="J1" s="1985"/>
      <c r="K1" s="1983"/>
      <c r="L1" s="1984"/>
      <c r="M1" s="1985"/>
      <c r="N1" s="1983"/>
      <c r="O1" s="1984"/>
      <c r="P1" s="1985"/>
      <c r="Q1" s="1986"/>
      <c r="R1" s="1987"/>
    </row>
    <row r="2" spans="1:18" ht="14.25" thickBot="1">
      <c r="A2" s="1215"/>
      <c r="B2" s="1216"/>
      <c r="C2" s="1217" t="s">
        <v>1661</v>
      </c>
      <c r="D2" s="1218"/>
      <c r="E2" s="1219"/>
      <c r="F2" s="1220"/>
      <c r="G2" s="1217" t="s">
        <v>1662</v>
      </c>
      <c r="H2" s="1989"/>
      <c r="I2" s="1989"/>
      <c r="J2" s="1989"/>
      <c r="K2" s="1989"/>
      <c r="L2" s="1989"/>
      <c r="M2" s="1989"/>
      <c r="N2" s="1989"/>
      <c r="O2" s="1989"/>
      <c r="P2" s="1989"/>
      <c r="Q2" s="1989"/>
      <c r="R2" s="1989"/>
    </row>
    <row r="3" spans="1:18" ht="54">
      <c r="A3" s="1221" t="s">
        <v>1663</v>
      </c>
      <c r="B3" s="1222" t="s">
        <v>1650</v>
      </c>
      <c r="C3" s="2906" t="s">
        <v>2913</v>
      </c>
      <c r="D3" s="1990"/>
      <c r="E3" s="1223" t="s">
        <v>1663</v>
      </c>
      <c r="F3" s="1224" t="s">
        <v>1651</v>
      </c>
      <c r="G3" s="2910" t="s">
        <v>2912</v>
      </c>
      <c r="H3" s="1989"/>
      <c r="I3" s="1989"/>
      <c r="J3" s="1989"/>
      <c r="K3" s="1989"/>
      <c r="L3" s="1989"/>
      <c r="M3" s="1989"/>
      <c r="N3" s="1989"/>
      <c r="O3" s="1989"/>
      <c r="P3" s="1989"/>
      <c r="Q3" s="1989"/>
      <c r="R3" s="1989"/>
    </row>
    <row r="4" spans="1:18" ht="41.25">
      <c r="A4" s="1223"/>
      <c r="B4" s="1225" t="s">
        <v>1664</v>
      </c>
      <c r="C4" s="2907" t="s">
        <v>2914</v>
      </c>
      <c r="D4" s="1990"/>
      <c r="E4" s="1226"/>
      <c r="F4" s="1227" t="s">
        <v>1665</v>
      </c>
      <c r="G4" s="2908" t="s">
        <v>2909</v>
      </c>
      <c r="H4" s="1989"/>
      <c r="I4" s="1989"/>
      <c r="J4" s="1989"/>
      <c r="K4" s="1989"/>
      <c r="L4" s="1989"/>
      <c r="M4" s="1989"/>
      <c r="N4" s="1989"/>
      <c r="O4" s="1989"/>
      <c r="P4" s="1989"/>
      <c r="Q4" s="1989"/>
      <c r="R4" s="1989"/>
    </row>
    <row r="5" spans="1:18" ht="41.25">
      <c r="A5" s="1223"/>
      <c r="B5" s="1225" t="s">
        <v>1666</v>
      </c>
      <c r="C5" s="2907" t="s">
        <v>2915</v>
      </c>
      <c r="D5" s="1990"/>
      <c r="E5" s="1226"/>
      <c r="F5" s="1225" t="s">
        <v>2537</v>
      </c>
      <c r="G5" s="2908" t="s">
        <v>2910</v>
      </c>
      <c r="H5" s="1989"/>
      <c r="I5" s="1989"/>
      <c r="J5" s="1989"/>
      <c r="K5" s="1989"/>
      <c r="L5" s="1989"/>
      <c r="M5" s="1989"/>
      <c r="N5" s="1989"/>
      <c r="O5" s="1989"/>
      <c r="P5" s="1989"/>
      <c r="Q5" s="1989"/>
      <c r="R5" s="1989"/>
    </row>
    <row r="6" spans="1:18" ht="54">
      <c r="A6" s="1223"/>
      <c r="B6" s="1225" t="s">
        <v>1652</v>
      </c>
      <c r="C6" s="2908" t="s">
        <v>2909</v>
      </c>
      <c r="D6" s="1990"/>
      <c r="E6" s="1226"/>
      <c r="F6" s="1225" t="s">
        <v>2538</v>
      </c>
      <c r="G6" s="2908" t="s">
        <v>2907</v>
      </c>
      <c r="H6" s="1989"/>
      <c r="I6" s="1989"/>
      <c r="J6" s="1989"/>
      <c r="K6" s="1989"/>
      <c r="L6" s="1989"/>
      <c r="M6" s="1989"/>
      <c r="N6" s="1989"/>
      <c r="O6" s="1989"/>
      <c r="P6" s="1989"/>
      <c r="Q6" s="1989"/>
      <c r="R6" s="1989"/>
    </row>
    <row r="7" spans="1:18" ht="41.25" thickBot="1">
      <c r="A7" s="1223"/>
      <c r="B7" s="1225" t="s">
        <v>2537</v>
      </c>
      <c r="C7" s="2908" t="s">
        <v>2910</v>
      </c>
      <c r="D7" s="1991"/>
      <c r="E7" s="1228"/>
      <c r="F7" s="1229" t="s">
        <v>1667</v>
      </c>
      <c r="G7" s="2911" t="s">
        <v>2911</v>
      </c>
      <c r="H7" s="1989"/>
      <c r="I7" s="1989"/>
      <c r="J7" s="1989"/>
      <c r="K7" s="1989"/>
      <c r="L7" s="1989"/>
      <c r="M7" s="1989"/>
      <c r="N7" s="1989"/>
      <c r="O7" s="1989"/>
      <c r="P7" s="1989"/>
      <c r="Q7" s="1989"/>
      <c r="R7" s="1989"/>
    </row>
    <row r="8" spans="1:18" ht="27">
      <c r="A8" s="1223"/>
      <c r="B8" s="1225" t="s">
        <v>2538</v>
      </c>
      <c r="C8" s="2908" t="s">
        <v>2907</v>
      </c>
      <c r="D8" s="1991"/>
      <c r="E8" s="1991"/>
      <c r="F8" s="1536"/>
      <c r="G8" s="1536"/>
      <c r="H8" s="1989"/>
      <c r="I8" s="1989"/>
      <c r="J8" s="1989"/>
      <c r="K8" s="1989"/>
      <c r="L8" s="1989"/>
      <c r="M8" s="1989"/>
      <c r="N8" s="1989"/>
      <c r="O8" s="1989"/>
      <c r="P8" s="1989"/>
      <c r="Q8" s="1989"/>
      <c r="R8" s="1989"/>
    </row>
    <row r="9" spans="1:18" ht="40.5">
      <c r="A9" s="1223"/>
      <c r="B9" s="1225" t="s">
        <v>1653</v>
      </c>
      <c r="C9" s="2907" t="s">
        <v>2908</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290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1669</v>
      </c>
      <c r="B13" s="2538"/>
      <c r="C13" s="2538"/>
      <c r="D13" s="1218"/>
      <c r="E13" s="2538"/>
      <c r="F13" s="2538"/>
      <c r="G13" s="2538"/>
    </row>
    <row r="14" spans="1:18" ht="14.25" thickBot="1">
      <c r="A14" s="1232"/>
      <c r="B14" s="1233"/>
      <c r="C14" s="1234" t="s">
        <v>1661</v>
      </c>
      <c r="D14" s="1990"/>
      <c r="E14" s="1235"/>
      <c r="F14" s="1235"/>
      <c r="G14" s="1217" t="s">
        <v>1662</v>
      </c>
    </row>
    <row r="15" spans="1:18" ht="54">
      <c r="A15" s="2548" t="s">
        <v>1654</v>
      </c>
      <c r="B15" s="1236" t="s">
        <v>1650</v>
      </c>
      <c r="C15" s="1237" t="str">
        <f>C3</f>
        <v>估价对象周边居住用地比例、居住小区规模和社区发展完善程度，综合评价居住社区成熟度一般</v>
      </c>
      <c r="D15" s="1990"/>
      <c r="E15" s="2545" t="s">
        <v>1655</v>
      </c>
      <c r="F15" s="1236" t="s">
        <v>1670</v>
      </c>
      <c r="G15" s="1238" t="str">
        <f>G3</f>
        <v>估价对象位于XX开发区，园区建设成熟度XX，产业集聚程度XX</v>
      </c>
    </row>
    <row r="16" spans="1:18" ht="40.5">
      <c r="A16" s="2549"/>
      <c r="B16" s="1239" t="s">
        <v>1664</v>
      </c>
      <c r="C16" s="1240" t="str">
        <f>C4</f>
        <v>估价对象位于XX商圈，周边商业氛围成熟，人流量大，商业繁华度好</v>
      </c>
      <c r="D16" s="1990"/>
      <c r="E16" s="2546"/>
      <c r="F16" s="1241" t="s">
        <v>1665</v>
      </c>
      <c r="G16" s="1003" t="str">
        <f>G4</f>
        <v>估价对象周边道路状况、公共交通通达情况、停车便捷程度，综合评价交通便捷度较好</v>
      </c>
    </row>
    <row r="17" spans="1:7" ht="40.5">
      <c r="A17" s="2549"/>
      <c r="B17" s="1239" t="s">
        <v>1666</v>
      </c>
      <c r="C17" s="1240" t="str">
        <f>C5</f>
        <v>估价对象位于XX商圈，周边办公楼项目较多，入驻率高，办公集聚程度较好</v>
      </c>
      <c r="D17" s="1991"/>
      <c r="E17" s="2546"/>
      <c r="F17" s="1241" t="s">
        <v>1671</v>
      </c>
      <c r="G17" s="2631"/>
    </row>
    <row r="18" spans="1:7" ht="54">
      <c r="A18" s="2549"/>
      <c r="B18" s="1241" t="s">
        <v>1652</v>
      </c>
      <c r="C18" s="1003" t="str">
        <f>C6</f>
        <v>估价对象周边道路状况、公共交通通达情况、停车便捷程度，综合评价交通便捷度较好</v>
      </c>
      <c r="D18" s="1991"/>
      <c r="E18" s="2546"/>
      <c r="F18" s="1241" t="s">
        <v>1667</v>
      </c>
      <c r="G18" s="1003" t="str">
        <f>G7</f>
        <v>该园区内是否有污染型企业，绿化情况，卫生条件，整体环境状况判断</v>
      </c>
    </row>
    <row r="19" spans="1:7" ht="27">
      <c r="A19" s="2549"/>
      <c r="B19" s="1241" t="s">
        <v>1656</v>
      </c>
      <c r="C19" s="2631"/>
      <c r="D19" s="1990"/>
      <c r="E19" s="2546"/>
      <c r="F19" s="1225" t="s">
        <v>2537</v>
      </c>
      <c r="G19" s="1003" t="str">
        <f>G5</f>
        <v>估价对象所在区域公共配套设施齐备情况</v>
      </c>
    </row>
    <row r="20" spans="1:7" ht="40.5">
      <c r="A20" s="2549"/>
      <c r="B20" s="1241" t="s">
        <v>1657</v>
      </c>
      <c r="C20" s="1240" t="str">
        <f>C9</f>
        <v>区域自然环境：；人文环境；综合评价环境状况一般</v>
      </c>
      <c r="D20" s="1991"/>
      <c r="E20" s="2546"/>
      <c r="F20" s="1225" t="s">
        <v>2538</v>
      </c>
      <c r="G20" s="1003" t="str">
        <f>G6</f>
        <v>估价对象所在区域基础设施水平</v>
      </c>
    </row>
    <row r="21" spans="1:7" ht="27">
      <c r="A21" s="2549"/>
      <c r="B21" s="1225" t="s">
        <v>2537</v>
      </c>
      <c r="C21" s="1003" t="str">
        <f>C7</f>
        <v>估价对象所在区域公共配套设施齐备情况</v>
      </c>
      <c r="D21" s="1990"/>
      <c r="E21" s="2546"/>
      <c r="F21" s="1241" t="s">
        <v>1658</v>
      </c>
      <c r="G21" s="2912"/>
    </row>
    <row r="22" spans="1:7" ht="27">
      <c r="A22" s="2549"/>
      <c r="B22" s="1225" t="s">
        <v>2538</v>
      </c>
      <c r="C22" s="1003" t="str">
        <f>C8</f>
        <v>估价对象所在区域基础设施水平</v>
      </c>
      <c r="D22" s="1990"/>
      <c r="E22" s="2546"/>
      <c r="F22" s="1241" t="s">
        <v>1668</v>
      </c>
      <c r="G22" s="2631"/>
    </row>
    <row r="23" spans="1:7" ht="15" thickBot="1">
      <c r="A23" s="2549"/>
      <c r="B23" s="1241" t="s">
        <v>1658</v>
      </c>
      <c r="C23" s="2912"/>
      <c r="E23" s="2547"/>
      <c r="F23" s="1242" t="s">
        <v>1672</v>
      </c>
      <c r="G23" s="2913"/>
    </row>
    <row r="24" spans="1:7" ht="14.25" thickBot="1">
      <c r="A24" s="2550"/>
      <c r="B24" s="1242" t="s">
        <v>1659</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030" customWidth="1"/>
    <col min="2" max="16384" width="14.625" style="3030"/>
  </cols>
  <sheetData>
    <row r="1" spans="1:9" ht="16.5">
      <c r="A1" s="3031" t="s">
        <v>2834</v>
      </c>
      <c r="B1" s="3031">
        <f>SUM(B14:B23)</f>
        <v>472085.52</v>
      </c>
      <c r="C1" s="3029"/>
      <c r="D1" s="3029"/>
      <c r="E1" s="3029"/>
      <c r="F1" s="3029"/>
    </row>
    <row r="2" spans="1:9" ht="16.5">
      <c r="A2" s="3031" t="s">
        <v>2835</v>
      </c>
      <c r="B2" s="3031">
        <f>SUM(C14:C23)</f>
        <v>177193.01</v>
      </c>
      <c r="C2" s="3029"/>
      <c r="D2" s="3029"/>
      <c r="E2" s="3029"/>
      <c r="F2" s="3029"/>
    </row>
    <row r="3" spans="1:9" ht="16.5">
      <c r="A3" s="3031" t="s">
        <v>2836</v>
      </c>
      <c r="B3" s="3032">
        <f>项目基本情况!D3</f>
        <v>44050</v>
      </c>
      <c r="C3" s="3029"/>
      <c r="D3" s="3029"/>
      <c r="E3" s="3029"/>
      <c r="F3" s="3029"/>
    </row>
    <row r="4" spans="1:9" ht="33">
      <c r="A4" s="3031" t="s">
        <v>2837</v>
      </c>
      <c r="B4" s="3031" t="s">
        <v>2838</v>
      </c>
      <c r="C4" s="3031" t="s">
        <v>2839</v>
      </c>
      <c r="D4" s="3031" t="s">
        <v>2840</v>
      </c>
      <c r="E4" s="3029"/>
      <c r="F4" s="3029"/>
    </row>
    <row r="5" spans="1:9" ht="16.5">
      <c r="A5" s="3031" t="s">
        <v>2841</v>
      </c>
      <c r="B5" s="3031">
        <f ca="1">SUM(D14:D23)</f>
        <v>178751</v>
      </c>
      <c r="C5" s="3031">
        <f ca="1">ROUND(B5*10000/$B$1,0)</f>
        <v>3786</v>
      </c>
      <c r="D5" s="3031">
        <f ca="1">ROUND(B5*10000/$B$2,0)</f>
        <v>10088</v>
      </c>
      <c r="E5" s="3029"/>
      <c r="F5" s="3029"/>
    </row>
    <row r="6" spans="1:9" ht="16.5">
      <c r="A6" s="3031" t="s">
        <v>2842</v>
      </c>
      <c r="B6" s="3031">
        <f ca="1">SUM(G14:G23)</f>
        <v>178751</v>
      </c>
      <c r="C6" s="3031">
        <f t="shared" ref="C6:C8" ca="1" si="0">ROUND(B6*10000/$B$1,0)</f>
        <v>3786</v>
      </c>
      <c r="D6" s="3031">
        <f t="shared" ref="D6:D8" ca="1" si="1">ROUND(B6*10000/$B$2,0)</f>
        <v>10088</v>
      </c>
      <c r="E6" s="3029"/>
      <c r="F6" s="3029"/>
    </row>
    <row r="7" spans="1:9" ht="16.5">
      <c r="A7" s="3031" t="s">
        <v>2843</v>
      </c>
      <c r="B7" s="3031">
        <f>SUM(H14:H23)</f>
        <v>0</v>
      </c>
      <c r="C7" s="3031">
        <f t="shared" si="0"/>
        <v>0</v>
      </c>
      <c r="D7" s="3031">
        <f t="shared" si="1"/>
        <v>0</v>
      </c>
      <c r="E7" s="3029"/>
      <c r="F7" s="3029"/>
    </row>
    <row r="8" spans="1:9" ht="16.5">
      <c r="A8" s="3031" t="s">
        <v>2844</v>
      </c>
      <c r="B8" s="3031">
        <f>SUM(I14:I23)</f>
        <v>0</v>
      </c>
      <c r="C8" s="3031">
        <f t="shared" si="0"/>
        <v>0</v>
      </c>
      <c r="D8" s="3031">
        <f t="shared" si="1"/>
        <v>0</v>
      </c>
      <c r="E8" s="3029"/>
      <c r="F8" s="3029"/>
    </row>
    <row r="9" spans="1:9" ht="16.5">
      <c r="A9" s="3031" t="s">
        <v>2845</v>
      </c>
      <c r="B9" s="2876"/>
      <c r="C9" s="3029"/>
      <c r="D9" s="3029"/>
      <c r="E9" s="3029"/>
      <c r="F9" s="3029"/>
    </row>
    <row r="10" spans="1:9" ht="16.5">
      <c r="A10" s="3031" t="s">
        <v>2846</v>
      </c>
      <c r="B10" s="2876"/>
      <c r="C10" s="3029"/>
      <c r="D10" s="3029"/>
      <c r="E10" s="3029"/>
      <c r="F10" s="3029"/>
    </row>
    <row r="11" spans="1:9" ht="16.5">
      <c r="A11" s="3031" t="s">
        <v>2863</v>
      </c>
      <c r="B11" s="2876"/>
      <c r="C11" s="3029"/>
      <c r="D11" s="3029"/>
      <c r="E11" s="3029"/>
      <c r="F11" s="3029"/>
    </row>
    <row r="12" spans="1:9" ht="16.5">
      <c r="A12" s="3029"/>
      <c r="B12" s="3029"/>
      <c r="C12" s="3029"/>
      <c r="D12" s="3029"/>
      <c r="E12" s="3029"/>
      <c r="F12" s="3029"/>
    </row>
    <row r="13" spans="1:9" ht="33">
      <c r="A13" s="3033" t="s">
        <v>2862</v>
      </c>
      <c r="B13" s="3034" t="s">
        <v>2834</v>
      </c>
      <c r="C13" s="3034" t="s">
        <v>2835</v>
      </c>
      <c r="D13" s="3034" t="s">
        <v>2847</v>
      </c>
      <c r="E13" s="3031" t="s">
        <v>2861</v>
      </c>
      <c r="F13" s="3031" t="s">
        <v>2840</v>
      </c>
      <c r="G13" s="3034" t="s">
        <v>2848</v>
      </c>
      <c r="H13" s="3034" t="s">
        <v>2849</v>
      </c>
      <c r="I13" s="3034" t="s">
        <v>2850</v>
      </c>
    </row>
    <row r="14" spans="1:9" ht="16.5">
      <c r="A14" s="3035" t="s">
        <v>2860</v>
      </c>
      <c r="B14" s="3036">
        <f>结果表!L38</f>
        <v>472085.52</v>
      </c>
      <c r="C14" s="3036">
        <f>结果表!K38</f>
        <v>177193.01</v>
      </c>
      <c r="D14" s="3036">
        <f ca="1">结果表!C42</f>
        <v>178751</v>
      </c>
      <c r="E14" s="3034">
        <f ca="1">ROUND(D14*10000/B14,0)</f>
        <v>3786</v>
      </c>
      <c r="F14" s="3034">
        <f ca="1">ROUND(D14*10000/C14,0)</f>
        <v>10088</v>
      </c>
      <c r="G14" s="3036">
        <f ca="1">结果表!C44</f>
        <v>178751</v>
      </c>
      <c r="H14" s="3036" t="str">
        <f>结果表!C45</f>
        <v>——</v>
      </c>
      <c r="I14" s="3036" t="str">
        <f>结果表!C46</f>
        <v>——</v>
      </c>
    </row>
    <row r="15" spans="1:9" ht="16.5">
      <c r="A15" s="3035" t="s">
        <v>2851</v>
      </c>
      <c r="B15" s="2878"/>
      <c r="C15" s="2878"/>
      <c r="D15" s="2878"/>
      <c r="E15" s="3034" t="e">
        <f t="shared" ref="E15:E23" si="2">ROUND(D15*10000/B15,0)</f>
        <v>#DIV/0!</v>
      </c>
      <c r="F15" s="3034" t="e">
        <f t="shared" ref="F15:F23" si="3">ROUND(D15*10000/C15,0)</f>
        <v>#DIV/0!</v>
      </c>
      <c r="G15" s="2877"/>
      <c r="H15" s="2877"/>
      <c r="I15" s="2878"/>
    </row>
    <row r="16" spans="1:9" ht="16.5">
      <c r="A16" s="3035" t="s">
        <v>2852</v>
      </c>
      <c r="B16" s="2878"/>
      <c r="C16" s="2878"/>
      <c r="D16" s="2878"/>
      <c r="E16" s="3034" t="e">
        <f t="shared" si="2"/>
        <v>#DIV/0!</v>
      </c>
      <c r="F16" s="3034" t="e">
        <f t="shared" si="3"/>
        <v>#DIV/0!</v>
      </c>
      <c r="G16" s="2877"/>
      <c r="H16" s="2877"/>
      <c r="I16" s="2878"/>
    </row>
    <row r="17" spans="1:9" ht="16.5">
      <c r="A17" s="3035" t="s">
        <v>2853</v>
      </c>
      <c r="B17" s="2878"/>
      <c r="C17" s="2878"/>
      <c r="D17" s="2878"/>
      <c r="E17" s="3034" t="e">
        <f t="shared" si="2"/>
        <v>#DIV/0!</v>
      </c>
      <c r="F17" s="3034" t="e">
        <f t="shared" si="3"/>
        <v>#DIV/0!</v>
      </c>
      <c r="G17" s="2877"/>
      <c r="H17" s="2877"/>
      <c r="I17" s="2878"/>
    </row>
    <row r="18" spans="1:9" ht="16.5">
      <c r="A18" s="3035" t="s">
        <v>2854</v>
      </c>
      <c r="B18" s="2878"/>
      <c r="C18" s="2878"/>
      <c r="D18" s="2878"/>
      <c r="E18" s="3034" t="e">
        <f t="shared" si="2"/>
        <v>#DIV/0!</v>
      </c>
      <c r="F18" s="3034" t="e">
        <f t="shared" si="3"/>
        <v>#DIV/0!</v>
      </c>
      <c r="G18" s="2878"/>
      <c r="H18" s="2878"/>
      <c r="I18" s="2878"/>
    </row>
    <row r="19" spans="1:9" ht="16.5">
      <c r="A19" s="3035" t="s">
        <v>2855</v>
      </c>
      <c r="B19" s="2878"/>
      <c r="C19" s="2878"/>
      <c r="D19" s="2878"/>
      <c r="E19" s="3034" t="e">
        <f t="shared" si="2"/>
        <v>#DIV/0!</v>
      </c>
      <c r="F19" s="3034" t="e">
        <f t="shared" si="3"/>
        <v>#DIV/0!</v>
      </c>
      <c r="G19" s="2878"/>
      <c r="H19" s="2878"/>
      <c r="I19" s="2878"/>
    </row>
    <row r="20" spans="1:9" ht="16.5">
      <c r="A20" s="3035" t="s">
        <v>2856</v>
      </c>
      <c r="B20" s="2878"/>
      <c r="C20" s="2878"/>
      <c r="D20" s="2878"/>
      <c r="E20" s="3034" t="e">
        <f t="shared" si="2"/>
        <v>#DIV/0!</v>
      </c>
      <c r="F20" s="3034" t="e">
        <f t="shared" si="3"/>
        <v>#DIV/0!</v>
      </c>
      <c r="G20" s="2878"/>
      <c r="H20" s="2878"/>
      <c r="I20" s="2878"/>
    </row>
    <row r="21" spans="1:9" ht="16.5">
      <c r="A21" s="3035" t="s">
        <v>2857</v>
      </c>
      <c r="B21" s="2878"/>
      <c r="C21" s="2878"/>
      <c r="D21" s="2878"/>
      <c r="E21" s="3034" t="e">
        <f t="shared" si="2"/>
        <v>#DIV/0!</v>
      </c>
      <c r="F21" s="3034" t="e">
        <f t="shared" si="3"/>
        <v>#DIV/0!</v>
      </c>
      <c r="G21" s="2878"/>
      <c r="H21" s="2878"/>
      <c r="I21" s="2878"/>
    </row>
    <row r="22" spans="1:9" ht="16.5">
      <c r="A22" s="3035" t="s">
        <v>2858</v>
      </c>
      <c r="B22" s="2878"/>
      <c r="C22" s="2878"/>
      <c r="D22" s="2878"/>
      <c r="E22" s="3034" t="e">
        <f t="shared" si="2"/>
        <v>#DIV/0!</v>
      </c>
      <c r="F22" s="3034" t="e">
        <f t="shared" si="3"/>
        <v>#DIV/0!</v>
      </c>
      <c r="G22" s="2878"/>
      <c r="H22" s="2878"/>
      <c r="I22" s="2878"/>
    </row>
    <row r="23" spans="1:9" ht="16.5">
      <c r="A23" s="3035" t="s">
        <v>2859</v>
      </c>
      <c r="B23" s="2878"/>
      <c r="C23" s="2878"/>
      <c r="D23" s="2878"/>
      <c r="E23" s="3031" t="e">
        <f t="shared" si="2"/>
        <v>#DIV/0!</v>
      </c>
      <c r="F23" s="3031" t="e">
        <f t="shared" si="3"/>
        <v>#DIV/0!</v>
      </c>
      <c r="G23" s="2878"/>
      <c r="H23" s="2878"/>
      <c r="I23" s="287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8" sqref="H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2047</v>
      </c>
      <c r="B1" s="1758"/>
      <c r="C1" s="1786" t="s">
        <v>2048</v>
      </c>
      <c r="D1" s="1787"/>
      <c r="E1" s="1786" t="s">
        <v>2049</v>
      </c>
      <c r="F1" s="1788"/>
      <c r="G1" s="310"/>
      <c r="H1" s="310"/>
      <c r="I1" s="310"/>
      <c r="J1" s="2010"/>
      <c r="K1" s="2010"/>
      <c r="L1" s="2010"/>
      <c r="M1" s="2010"/>
      <c r="N1" s="2010"/>
      <c r="O1" s="2010"/>
      <c r="P1" s="2010"/>
      <c r="Q1" s="2010"/>
      <c r="R1" s="2010"/>
      <c r="S1" s="2010"/>
      <c r="T1" s="2010"/>
      <c r="U1" s="2010"/>
      <c r="V1" s="2010"/>
    </row>
    <row r="2" spans="1:22" ht="21.75" customHeight="1" thickBot="1">
      <c r="A2" s="3475" t="str">
        <f>项目基本情况!K2</f>
        <v>出让国有建设用地使用权</v>
      </c>
      <c r="B2" s="3476"/>
      <c r="C2" s="3477"/>
      <c r="D2" s="3477"/>
      <c r="E2" s="3477"/>
      <c r="F2" s="3477"/>
      <c r="G2" s="3476"/>
      <c r="H2" s="3476"/>
      <c r="I2" s="3478"/>
      <c r="J2" s="2011"/>
      <c r="K2" s="2010"/>
      <c r="L2" s="2010"/>
      <c r="M2" s="2010"/>
      <c r="N2" s="2010"/>
      <c r="O2" s="2010"/>
      <c r="P2" s="2010"/>
      <c r="Q2" s="2010"/>
      <c r="R2" s="2010"/>
      <c r="S2" s="2010"/>
      <c r="T2" s="2010"/>
      <c r="U2" s="2010"/>
      <c r="V2" s="2010"/>
    </row>
    <row r="3" spans="1:22" ht="14.25">
      <c r="A3" s="3486" t="s">
        <v>298</v>
      </c>
      <c r="B3" s="3487"/>
      <c r="C3" s="3487"/>
      <c r="D3" s="3487"/>
      <c r="E3" s="3487"/>
      <c r="F3" s="3487"/>
      <c r="G3" s="3487"/>
      <c r="H3" s="3487"/>
      <c r="I3" s="3487"/>
      <c r="J3" s="2011"/>
      <c r="K3" s="2010"/>
      <c r="L3" s="2010"/>
      <c r="M3" s="2010"/>
      <c r="N3" s="2010"/>
      <c r="O3" s="2010"/>
      <c r="P3" s="2010"/>
      <c r="Q3" s="2010"/>
      <c r="R3" s="2010"/>
      <c r="S3" s="2010"/>
      <c r="T3" s="2010"/>
      <c r="U3" s="2010"/>
      <c r="V3" s="2010"/>
    </row>
    <row r="4" spans="1:22" ht="14.25">
      <c r="A4" s="257" t="s">
        <v>299</v>
      </c>
      <c r="B4" s="258" t="s">
        <v>300</v>
      </c>
      <c r="C4" s="259" t="s">
        <v>3029</v>
      </c>
      <c r="D4" s="259" t="s">
        <v>3030</v>
      </c>
      <c r="E4" s="3450" t="s">
        <v>301</v>
      </c>
      <c r="F4" s="3492"/>
      <c r="G4" s="3492"/>
      <c r="H4" s="3492"/>
      <c r="I4" s="3451"/>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479" t="s">
        <v>302</v>
      </c>
      <c r="B5" s="3480">
        <v>25</v>
      </c>
      <c r="C5" s="3488"/>
      <c r="D5" s="3491"/>
      <c r="E5" s="260" t="s">
        <v>303</v>
      </c>
      <c r="F5" s="261"/>
      <c r="G5" s="261"/>
      <c r="H5" s="261"/>
      <c r="I5" s="262"/>
      <c r="J5" s="2011"/>
      <c r="K5" s="2010"/>
      <c r="L5" s="2010"/>
      <c r="M5" s="2010"/>
      <c r="N5" s="2010"/>
      <c r="O5" s="2010"/>
      <c r="P5" s="2010"/>
      <c r="Q5" s="2010"/>
      <c r="R5" s="2010"/>
      <c r="S5" s="2010"/>
      <c r="T5" s="2010"/>
      <c r="U5" s="2010"/>
      <c r="V5" s="2010"/>
    </row>
    <row r="6" spans="1:22" ht="14.25">
      <c r="A6" s="3479"/>
      <c r="B6" s="3480"/>
      <c r="C6" s="3489"/>
      <c r="D6" s="3491"/>
      <c r="E6" s="260" t="s">
        <v>304</v>
      </c>
      <c r="F6" s="261"/>
      <c r="G6" s="261"/>
      <c r="H6" s="261"/>
      <c r="I6" s="262"/>
      <c r="J6" s="2011"/>
      <c r="K6" s="2010"/>
      <c r="L6" s="2010"/>
      <c r="M6" s="2010"/>
      <c r="N6" s="2010"/>
      <c r="O6" s="2010"/>
      <c r="P6" s="2010"/>
      <c r="Q6" s="2010"/>
      <c r="R6" s="2010"/>
      <c r="S6" s="2010"/>
      <c r="T6" s="2010"/>
      <c r="U6" s="2010"/>
      <c r="V6" s="2010"/>
    </row>
    <row r="7" spans="1:22" ht="14.25">
      <c r="A7" s="3479"/>
      <c r="B7" s="3480"/>
      <c r="C7" s="3490"/>
      <c r="D7" s="3491"/>
      <c r="E7" s="260" t="s">
        <v>305</v>
      </c>
      <c r="F7" s="261"/>
      <c r="G7" s="261"/>
      <c r="H7" s="261"/>
      <c r="I7" s="262"/>
      <c r="J7" s="2011"/>
      <c r="K7" s="2010"/>
      <c r="L7" s="2010"/>
      <c r="M7" s="2010"/>
      <c r="N7" s="2010"/>
      <c r="O7" s="2010"/>
      <c r="P7" s="2010"/>
      <c r="Q7" s="2010"/>
      <c r="R7" s="2010"/>
      <c r="S7" s="2010"/>
      <c r="T7" s="2010"/>
      <c r="U7" s="2010"/>
      <c r="V7" s="2010"/>
    </row>
    <row r="8" spans="1:22" ht="14.25">
      <c r="A8" s="3479" t="s">
        <v>306</v>
      </c>
      <c r="B8" s="3480">
        <v>15</v>
      </c>
      <c r="C8" s="3488"/>
      <c r="D8" s="3491"/>
      <c r="E8" s="260" t="s">
        <v>307</v>
      </c>
      <c r="F8" s="261"/>
      <c r="G8" s="261"/>
      <c r="H8" s="261"/>
      <c r="I8" s="262"/>
      <c r="J8" s="2011"/>
      <c r="K8" s="2010"/>
      <c r="L8" s="2010"/>
      <c r="M8" s="2010"/>
      <c r="N8" s="2010"/>
      <c r="O8" s="2010"/>
      <c r="P8" s="2010"/>
      <c r="Q8" s="2010"/>
      <c r="R8" s="2010"/>
      <c r="S8" s="2010"/>
      <c r="T8" s="2010"/>
      <c r="U8" s="2010"/>
      <c r="V8" s="2010"/>
    </row>
    <row r="9" spans="1:22" ht="14.25">
      <c r="A9" s="3479"/>
      <c r="B9" s="3480"/>
      <c r="C9" s="3490"/>
      <c r="D9" s="3491"/>
      <c r="E9" s="260" t="s">
        <v>308</v>
      </c>
      <c r="F9" s="261"/>
      <c r="G9" s="261"/>
      <c r="H9" s="261"/>
      <c r="I9" s="262"/>
      <c r="J9" s="2011"/>
      <c r="K9" s="2010"/>
      <c r="L9" s="2010"/>
      <c r="M9" s="2010"/>
      <c r="N9" s="2010"/>
      <c r="O9" s="2010"/>
      <c r="P9" s="2010"/>
      <c r="Q9" s="2010"/>
      <c r="R9" s="2010"/>
      <c r="S9" s="2010"/>
      <c r="T9" s="2010"/>
      <c r="U9" s="2010"/>
      <c r="V9" s="2010"/>
    </row>
    <row r="10" spans="1:22" ht="14.25">
      <c r="A10" s="3479" t="s">
        <v>309</v>
      </c>
      <c r="B10" s="3480">
        <v>15</v>
      </c>
      <c r="C10" s="3488"/>
      <c r="D10" s="3491"/>
      <c r="E10" s="260" t="s">
        <v>310</v>
      </c>
      <c r="F10" s="261"/>
      <c r="G10" s="261"/>
      <c r="H10" s="261"/>
      <c r="I10" s="262"/>
      <c r="J10" s="2011"/>
      <c r="K10" s="2010"/>
      <c r="L10" s="2010"/>
      <c r="M10" s="2010"/>
      <c r="N10" s="2010"/>
      <c r="O10" s="2010"/>
      <c r="P10" s="2010"/>
      <c r="Q10" s="2010"/>
      <c r="R10" s="2010"/>
      <c r="S10" s="2010"/>
      <c r="T10" s="2010"/>
      <c r="U10" s="2010"/>
      <c r="V10" s="2010"/>
    </row>
    <row r="11" spans="1:22" ht="14.25">
      <c r="A11" s="3479"/>
      <c r="B11" s="3480"/>
      <c r="C11" s="3490"/>
      <c r="D11" s="3491"/>
      <c r="E11" s="260" t="s">
        <v>311</v>
      </c>
      <c r="F11" s="261"/>
      <c r="G11" s="261"/>
      <c r="H11" s="261"/>
      <c r="I11" s="262"/>
      <c r="J11" s="2011"/>
      <c r="K11" s="2010"/>
      <c r="L11" s="2010"/>
      <c r="M11" s="2010"/>
      <c r="N11" s="2010"/>
      <c r="O11" s="2010"/>
      <c r="P11" s="2010"/>
      <c r="Q11" s="2010"/>
      <c r="R11" s="2010"/>
      <c r="S11" s="2010"/>
      <c r="T11" s="2010"/>
      <c r="U11" s="2010"/>
      <c r="V11" s="2010"/>
    </row>
    <row r="12" spans="1:22" ht="14.25">
      <c r="A12" s="3479" t="s">
        <v>312</v>
      </c>
      <c r="B12" s="3480">
        <v>15</v>
      </c>
      <c r="C12" s="3488"/>
      <c r="D12" s="3491"/>
      <c r="E12" s="260" t="s">
        <v>313</v>
      </c>
      <c r="F12" s="261"/>
      <c r="G12" s="261"/>
      <c r="H12" s="261"/>
      <c r="I12" s="262"/>
      <c r="J12" s="2011"/>
      <c r="K12" s="2010"/>
      <c r="L12" s="2010"/>
      <c r="M12" s="2010"/>
      <c r="N12" s="2010"/>
      <c r="O12" s="2010"/>
      <c r="P12" s="2010"/>
      <c r="Q12" s="2010"/>
      <c r="R12" s="2010"/>
      <c r="S12" s="2010"/>
      <c r="T12" s="2010"/>
      <c r="U12" s="2010"/>
      <c r="V12" s="2010"/>
    </row>
    <row r="13" spans="1:22" ht="14.25">
      <c r="A13" s="3479"/>
      <c r="B13" s="3480"/>
      <c r="C13" s="3490"/>
      <c r="D13" s="3491"/>
      <c r="E13" s="260" t="s">
        <v>314</v>
      </c>
      <c r="F13" s="261"/>
      <c r="G13" s="261"/>
      <c r="H13" s="261"/>
      <c r="I13" s="262"/>
      <c r="J13" s="2011"/>
      <c r="K13" s="2010"/>
      <c r="L13" s="2010"/>
      <c r="M13" s="2010"/>
      <c r="N13" s="2010"/>
      <c r="O13" s="2010"/>
      <c r="P13" s="2010"/>
      <c r="Q13" s="2010"/>
      <c r="R13" s="2010"/>
      <c r="S13" s="2010"/>
      <c r="T13" s="2010"/>
      <c r="U13" s="2010"/>
      <c r="V13" s="2010"/>
    </row>
    <row r="14" spans="1:22" ht="14.25">
      <c r="A14" s="3479" t="s">
        <v>315</v>
      </c>
      <c r="B14" s="3480">
        <v>30</v>
      </c>
      <c r="C14" s="3488">
        <v>5</v>
      </c>
      <c r="D14" s="3491">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479"/>
      <c r="B15" s="3480"/>
      <c r="C15" s="3489"/>
      <c r="D15" s="3491"/>
      <c r="E15" s="260" t="s">
        <v>317</v>
      </c>
      <c r="F15" s="261"/>
      <c r="G15" s="261"/>
      <c r="H15" s="261"/>
      <c r="I15" s="262"/>
      <c r="J15" s="2011"/>
      <c r="K15" s="2010"/>
      <c r="L15" s="2010"/>
      <c r="M15" s="2010"/>
      <c r="N15" s="2010"/>
      <c r="O15" s="2010"/>
      <c r="P15" s="2010"/>
      <c r="Q15" s="2010"/>
      <c r="R15" s="2010"/>
      <c r="S15" s="2010"/>
      <c r="T15" s="2010"/>
      <c r="U15" s="2010"/>
      <c r="V15" s="2010"/>
    </row>
    <row r="16" spans="1:22" ht="14.25">
      <c r="A16" s="3479"/>
      <c r="B16" s="3480"/>
      <c r="C16" s="3490"/>
      <c r="D16" s="3491"/>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176788</v>
      </c>
      <c r="D19" s="270">
        <f ca="1">SUMIF(INDIRECT("'"&amp;D4&amp;"'"&amp;"!A:A"),结果表!B19,INDIRECT("'"&amp;D4&amp;"'"&amp;"!B:B"))</f>
        <v>180714</v>
      </c>
      <c r="E19" s="267" t="s">
        <v>323</v>
      </c>
      <c r="F19" s="268" t="s">
        <v>322</v>
      </c>
      <c r="G19" s="271">
        <f ca="1">ROUND(C19*$C$18+D19*$D$18,0)</f>
        <v>178751</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3745</v>
      </c>
      <c r="D20" s="276">
        <f ca="1">SUMIF(INDIRECT("'"&amp;D4&amp;"'"&amp;"!A:A"),结果表!B20,INDIRECT("'"&amp;D4&amp;"'"&amp;"!B:B"))</f>
        <v>3828</v>
      </c>
      <c r="E20" s="273"/>
      <c r="F20" s="274" t="s">
        <v>325</v>
      </c>
      <c r="G20" s="277">
        <f ca="1">ROUND(C20*$C$18+D20*$D$18,0)</f>
        <v>3787</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9977</v>
      </c>
      <c r="D21" s="150">
        <f ca="1">SUMIF(INDIRECT("'"&amp;D4&amp;"'"&amp;"!A:A"),结果表!B21,INDIRECT("'"&amp;D4&amp;"'"&amp;"!B:B"))</f>
        <v>10199</v>
      </c>
      <c r="E21" s="273"/>
      <c r="F21" s="279" t="s">
        <v>327</v>
      </c>
      <c r="G21" s="281">
        <f ca="1">ROUND(C21*$C$18+D21*$D$18,0)</f>
        <v>10088</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2.2207389641830888E-2</v>
      </c>
      <c r="E22" s="283"/>
      <c r="F22" s="284"/>
      <c r="G22" s="285">
        <f ca="1">ROUND(G19/('数据-汇总表'!D3/666.67),0)</f>
        <v>673</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452"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496"/>
      <c r="B25" s="1315" t="s">
        <v>331</v>
      </c>
      <c r="C25" s="289">
        <f>IF(B30=0,0,C30)</f>
        <v>0</v>
      </c>
      <c r="D25" s="290"/>
      <c r="E25" s="310"/>
      <c r="F25" s="310"/>
      <c r="G25" s="310"/>
      <c r="H25" s="310"/>
      <c r="I25" s="310"/>
      <c r="J25" s="2010"/>
      <c r="K25" s="1249" t="str">
        <f ca="1">项目基本情况!B16&amp;"国有建设用地使用权价格："&amp;O38&amp;"万元"</f>
        <v>出让国有建设用地使用权价格：178751万元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大写金额：人民币壹拾柒亿捌仟柒佰伍拾壹万元整</v>
      </c>
      <c r="L26" s="1246"/>
      <c r="M26" s="1246"/>
      <c r="N26" s="1246"/>
      <c r="O26" s="1245"/>
      <c r="P26" s="2010"/>
      <c r="Q26" s="2010"/>
      <c r="R26" s="2010"/>
      <c r="S26" s="2010"/>
      <c r="T26" s="2010"/>
      <c r="U26" s="2010"/>
      <c r="V26" s="2010"/>
      <c r="W26" s="291"/>
      <c r="X26" s="291"/>
      <c r="Y26" s="291"/>
      <c r="Z26" s="291"/>
    </row>
    <row r="27" spans="1:26" ht="18">
      <c r="A27" s="292"/>
      <c r="B27" s="293"/>
      <c r="C27" s="293"/>
      <c r="D27" s="294"/>
      <c r="E27" s="310"/>
      <c r="F27" s="310"/>
      <c r="G27" s="310"/>
      <c r="H27" s="310"/>
      <c r="I27" s="310"/>
      <c r="J27" s="2010"/>
      <c r="K27" s="1252" t="str">
        <f ca="1">"单位面积地价："&amp;M38&amp;"元/平方米"</f>
        <v>单位面积地价：10088元/平方米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楼面地价：3786元/平方米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抵押价格：178751万元</v>
      </c>
      <c r="L29" s="1246"/>
      <c r="M29" s="1246"/>
      <c r="N29" s="1246"/>
      <c r="O29" s="1245"/>
      <c r="P29" s="2010"/>
      <c r="V29" s="2010"/>
    </row>
    <row r="30" spans="1:26" ht="18.75" thickBot="1">
      <c r="A30" s="2945" t="s">
        <v>336</v>
      </c>
      <c r="B30" s="308"/>
      <c r="C30" s="308"/>
      <c r="D30" s="309"/>
      <c r="E30" s="2946" t="s">
        <v>2957</v>
      </c>
      <c r="F30" s="310"/>
      <c r="G30" s="310"/>
      <c r="H30" s="310"/>
      <c r="I30" s="310"/>
      <c r="J30" s="2010"/>
      <c r="K30" s="1252" t="str">
        <f ca="1">IF(K29="——","——","大写金额：人民币"&amp;NUMBERSTRING(INT(O39*10000),2)&amp;"元整")</f>
        <v>大写金额：人民币壹拾柒亿捌仟柒佰伍拾壹万元整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4" t="s">
        <v>1682</v>
      </c>
      <c r="C32" s="1375">
        <f ca="1">G19-C24</f>
        <v>178751</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7" t="s">
        <v>1684</v>
      </c>
      <c r="C33" s="263">
        <f ca="1">ROUND(C32*10000/'数据-汇总表'!E3,0)</f>
        <v>3786</v>
      </c>
      <c r="D33" s="1378" t="s">
        <v>1685</v>
      </c>
      <c r="E33" s="3452" t="s">
        <v>338</v>
      </c>
      <c r="F33" s="295" t="s">
        <v>339</v>
      </c>
      <c r="G33" s="296"/>
      <c r="H33" s="978"/>
      <c r="I33" s="1253"/>
      <c r="J33" s="2010"/>
      <c r="K33" s="1252" t="str">
        <f>IF(项目基本情况!E9="——","——","抵押净值："&amp;C46&amp;"万元")</f>
        <v>抵押净值：——万元</v>
      </c>
      <c r="L33" s="1246"/>
      <c r="M33" s="1246"/>
      <c r="N33" s="1246"/>
      <c r="O33" s="1245"/>
      <c r="P33" s="2010"/>
      <c r="V33" s="2010"/>
    </row>
    <row r="34" spans="1:26" s="1248" customFormat="1" ht="18.75" thickBot="1">
      <c r="A34" s="299"/>
      <c r="B34" s="1379" t="s">
        <v>1686</v>
      </c>
      <c r="C34" s="263">
        <f ca="1">ROUND(C32*10000/'数据-汇总表'!D3,0)</f>
        <v>10088</v>
      </c>
      <c r="D34" s="1380" t="s">
        <v>1685</v>
      </c>
      <c r="E34" s="3453"/>
      <c r="F34" s="127" t="s">
        <v>341</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75" thickBot="1">
      <c r="A35" s="283"/>
      <c r="B35" s="1381"/>
      <c r="C35" s="1382">
        <f ca="1">ROUND(C32/('数据-汇总表'!D3/666.67),0)</f>
        <v>673</v>
      </c>
      <c r="D35" s="1383" t="s">
        <v>1687</v>
      </c>
      <c r="E35" s="3454"/>
      <c r="F35" s="300" t="s">
        <v>342</v>
      </c>
      <c r="G35" s="980"/>
      <c r="H35" s="979" t="s">
        <v>343</v>
      </c>
      <c r="I35" s="310"/>
      <c r="J35" s="2010"/>
      <c r="K35" s="3458" t="s">
        <v>350</v>
      </c>
      <c r="L35" s="3458" t="s">
        <v>351</v>
      </c>
      <c r="M35" s="1258" t="s">
        <v>352</v>
      </c>
      <c r="N35" s="3458" t="s">
        <v>353</v>
      </c>
      <c r="O35" s="3458" t="s">
        <v>354</v>
      </c>
      <c r="P35" s="2010"/>
      <c r="V35" s="2010"/>
    </row>
    <row r="36" spans="1:26" ht="16.5" customHeight="1">
      <c r="A36" s="302" t="s">
        <v>344</v>
      </c>
      <c r="B36" s="303" t="s">
        <v>333</v>
      </c>
      <c r="C36" s="304" t="s">
        <v>345</v>
      </c>
      <c r="D36" s="304" t="s">
        <v>346</v>
      </c>
      <c r="E36" s="305" t="s">
        <v>347</v>
      </c>
      <c r="F36" s="310"/>
      <c r="G36" s="310"/>
      <c r="H36" s="310"/>
      <c r="I36" s="310"/>
      <c r="J36" s="2012"/>
      <c r="K36" s="3459"/>
      <c r="L36" s="3459"/>
      <c r="M36" s="1260" t="s">
        <v>355</v>
      </c>
      <c r="N36" s="3459"/>
      <c r="O36" s="3459"/>
      <c r="P36" s="2010"/>
      <c r="V36" s="2010"/>
    </row>
    <row r="37" spans="1:26" ht="16.5" customHeight="1" thickBot="1">
      <c r="A37" s="1254" t="s">
        <v>348</v>
      </c>
      <c r="B37" s="306"/>
      <c r="C37" s="293"/>
      <c r="D37" s="293"/>
      <c r="E37" s="294"/>
      <c r="F37" s="310"/>
      <c r="G37" s="310"/>
      <c r="H37" s="310"/>
      <c r="I37" s="310"/>
      <c r="J37" s="2012"/>
      <c r="K37" s="3460"/>
      <c r="L37" s="3460"/>
      <c r="M37" s="1261"/>
      <c r="N37" s="3460"/>
      <c r="O37" s="3460"/>
      <c r="P37" s="2010"/>
      <c r="V37" s="2010"/>
    </row>
    <row r="38" spans="1:26" ht="16.5" customHeight="1" thickBot="1">
      <c r="A38" s="1254" t="s">
        <v>349</v>
      </c>
      <c r="B38" s="306"/>
      <c r="C38" s="293"/>
      <c r="D38" s="293"/>
      <c r="E38" s="294"/>
      <c r="F38" s="310"/>
      <c r="G38" s="310"/>
      <c r="H38" s="310"/>
      <c r="I38" s="310"/>
      <c r="J38" s="2012"/>
      <c r="K38" s="1262">
        <f>'数据-汇总表'!D3</f>
        <v>177193.01</v>
      </c>
      <c r="L38" s="1263">
        <f>'数据-汇总表'!E3</f>
        <v>472085.52</v>
      </c>
      <c r="M38" s="1263">
        <f ca="1">C34</f>
        <v>10088</v>
      </c>
      <c r="N38" s="1263">
        <f ca="1">C33</f>
        <v>3786</v>
      </c>
      <c r="O38" s="1264">
        <f ca="1">C32</f>
        <v>178751</v>
      </c>
      <c r="P38" s="2010"/>
      <c r="V38" s="2010"/>
    </row>
    <row r="39" spans="1:26" ht="16.5" customHeight="1" thickBot="1">
      <c r="A39" s="1259"/>
      <c r="B39" s="307"/>
      <c r="C39" s="308"/>
      <c r="D39" s="308"/>
      <c r="E39" s="309"/>
      <c r="F39" s="310"/>
      <c r="G39" s="310"/>
      <c r="H39" s="310"/>
      <c r="I39" s="310"/>
      <c r="J39" s="2012"/>
      <c r="K39" s="3471" t="str">
        <f>MID(A44,3,LEN(A44)-2)</f>
        <v>抵押价格</v>
      </c>
      <c r="L39" s="3472"/>
      <c r="M39" s="3472"/>
      <c r="N39" s="3473"/>
      <c r="O39" s="1385">
        <f ca="1">C44</f>
        <v>178751</v>
      </c>
      <c r="P39" s="2010"/>
      <c r="V39" s="2010"/>
    </row>
    <row r="40" spans="1:26" ht="19.5" thickBot="1">
      <c r="A40" s="104" t="s">
        <v>870</v>
      </c>
      <c r="B40" s="310"/>
      <c r="C40" s="310"/>
      <c r="D40" s="310"/>
      <c r="E40" s="310"/>
      <c r="F40" s="310"/>
      <c r="G40" s="310"/>
      <c r="H40" s="310"/>
      <c r="I40" s="310"/>
      <c r="J40" s="2012"/>
      <c r="K40" s="3471" t="str">
        <f t="shared" ref="K40:K41" si="0">MID(A45,3,LEN(A45)-2)</f>
        <v/>
      </c>
      <c r="L40" s="3472"/>
      <c r="M40" s="3472"/>
      <c r="N40" s="3473"/>
      <c r="O40" s="1385" t="str">
        <f>C45</f>
        <v>——</v>
      </c>
      <c r="P40" s="2010"/>
      <c r="V40" s="2010"/>
    </row>
    <row r="41" spans="1:26" ht="16.5" thickBot="1">
      <c r="A41" s="311" t="s">
        <v>356</v>
      </c>
      <c r="B41" s="312"/>
      <c r="C41" s="313" t="s">
        <v>357</v>
      </c>
      <c r="D41" s="314" t="s">
        <v>358</v>
      </c>
      <c r="E41" s="314" t="s">
        <v>359</v>
      </c>
      <c r="F41" s="315" t="s">
        <v>360</v>
      </c>
      <c r="G41" s="310"/>
      <c r="H41" s="310"/>
      <c r="I41" s="310"/>
      <c r="J41" s="2012"/>
      <c r="K41" s="3471" t="str">
        <f t="shared" si="0"/>
        <v/>
      </c>
      <c r="L41" s="3472"/>
      <c r="M41" s="3472"/>
      <c r="N41" s="3473"/>
      <c r="O41" s="1385" t="str">
        <f>C46</f>
        <v>——</v>
      </c>
      <c r="P41" s="2010"/>
      <c r="V41" s="2010"/>
    </row>
    <row r="42" spans="1:26" ht="29.25">
      <c r="A42" s="3497" t="s">
        <v>2059</v>
      </c>
      <c r="B42" s="3498"/>
      <c r="C42" s="263">
        <f ca="1">C32</f>
        <v>178751</v>
      </c>
      <c r="D42" s="316">
        <f ca="1">C33</f>
        <v>3786</v>
      </c>
      <c r="E42" s="316">
        <f ca="1">C34</f>
        <v>10088</v>
      </c>
      <c r="F42" s="317">
        <f ca="1">C35</f>
        <v>673</v>
      </c>
      <c r="G42" s="310"/>
      <c r="H42" s="310"/>
      <c r="I42" s="318"/>
      <c r="J42" s="2012"/>
      <c r="K42" s="1265" t="s">
        <v>361</v>
      </c>
      <c r="L42" s="2029" t="s">
        <v>362</v>
      </c>
      <c r="M42" s="1266" t="s">
        <v>363</v>
      </c>
      <c r="N42" s="2030" t="s">
        <v>364</v>
      </c>
      <c r="O42" s="2031" t="s">
        <v>365</v>
      </c>
      <c r="P42" s="2010"/>
      <c r="V42" s="2010"/>
    </row>
    <row r="43" spans="1:26" ht="30">
      <c r="A43" s="3507" t="s">
        <v>2720</v>
      </c>
      <c r="B43" s="3508"/>
      <c r="C43" s="263">
        <f>IF(H33="正常操作",G33+G34+G35,G34+G35)</f>
        <v>0</v>
      </c>
      <c r="D43" s="316" t="s">
        <v>43</v>
      </c>
      <c r="E43" s="316" t="s">
        <v>44</v>
      </c>
      <c r="F43" s="317" t="s">
        <v>44</v>
      </c>
      <c r="G43" s="2702" t="s">
        <v>949</v>
      </c>
      <c r="H43" s="310"/>
      <c r="I43" s="318"/>
      <c r="J43" s="2012"/>
      <c r="K43" s="1267" t="str">
        <f>C4</f>
        <v>比较法-住宅、综合</v>
      </c>
      <c r="L43" s="1268">
        <f ca="1">IF(L42="估价结果/万元",C19,C20)</f>
        <v>176788</v>
      </c>
      <c r="M43" s="1269">
        <f>C18</f>
        <v>0.5</v>
      </c>
      <c r="N43" s="1270">
        <f ca="1">IF(N42="测算结果/万元",G19,G20)</f>
        <v>178751</v>
      </c>
      <c r="O43" s="1271">
        <f ca="1">IF(O42="最终结果/万元",C32,C33)</f>
        <v>178751</v>
      </c>
      <c r="P43" s="2010"/>
      <c r="V43" s="2010"/>
    </row>
    <row r="44" spans="1:26" ht="30.75" thickBot="1">
      <c r="A44" s="3497" t="str">
        <f>IF(OR(项目基本情况!E8="抵押价格",项目基本情况!E8="已注销及未注销"),"3.抵押价格","——")</f>
        <v>3.抵押价格</v>
      </c>
      <c r="B44" s="3498"/>
      <c r="C44" s="263">
        <f ca="1">IF(A44="——","——",C42-C43)</f>
        <v>178751</v>
      </c>
      <c r="D44" s="316">
        <f ca="1">ROUND(C44*10000/'数据-汇总表'!E3,0)</f>
        <v>3786</v>
      </c>
      <c r="E44" s="316">
        <f ca="1">ROUND(C44*10000/'数据-汇总表'!D3,0)</f>
        <v>10088</v>
      </c>
      <c r="F44" s="317">
        <f ca="1">ROUND(C44/('数据-汇总表'!D3/666.67),0)</f>
        <v>673</v>
      </c>
      <c r="G44" s="310"/>
      <c r="H44" s="310"/>
      <c r="I44" s="318"/>
      <c r="J44" s="2012"/>
      <c r="K44" s="1272" t="str">
        <f>D4</f>
        <v>剩余法-待开发</v>
      </c>
      <c r="L44" s="1273">
        <f ca="1">IF(L42="估价结果/万元",D19,D20)</f>
        <v>180714</v>
      </c>
      <c r="M44" s="1274">
        <f>D18</f>
        <v>0.5</v>
      </c>
      <c r="N44" s="1275"/>
      <c r="O44" s="1276"/>
      <c r="P44" s="2010"/>
      <c r="V44" s="2010"/>
    </row>
    <row r="45" spans="1:26" ht="15">
      <c r="A45" s="3502" t="str">
        <f>IF(项目基本情况!E8="已注销及未注销","4.抵押担保权已注销时的抵押价格",IF(项目基本情况!E8="已注销","3.抵押担保权已注销时的抵押价格","——"))</f>
        <v>——</v>
      </c>
      <c r="B45" s="3503"/>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499" t="str">
        <f>IF(项目基本情况!E9="抵押净值",IF(A45="——","4.抵押净值","5.抵押净值"),"——")</f>
        <v>——</v>
      </c>
      <c r="B46" s="3500"/>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63" t="s">
        <v>374</v>
      </c>
      <c r="B63" s="3464"/>
      <c r="C63" s="3465"/>
      <c r="D63" s="340">
        <f ca="1">ROUND(C42*F63,0)</f>
        <v>107251</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504" t="s">
        <v>378</v>
      </c>
      <c r="B64" s="3505"/>
      <c r="C64" s="3505"/>
      <c r="D64" s="3505"/>
      <c r="E64" s="3505"/>
      <c r="F64" s="3505"/>
      <c r="G64" s="3506"/>
      <c r="H64" s="1282"/>
      <c r="I64" s="947"/>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7"/>
      <c r="J65" s="1972"/>
      <c r="K65" s="1283"/>
      <c r="L65" s="1284"/>
      <c r="M65" s="1284"/>
      <c r="N65" s="1316" t="s">
        <v>379</v>
      </c>
      <c r="O65" s="1317"/>
      <c r="P65" s="1318"/>
      <c r="Q65" s="2010"/>
      <c r="R65" s="2010"/>
      <c r="S65" s="2010"/>
      <c r="T65" s="2010"/>
      <c r="U65" s="2010"/>
      <c r="V65" s="2010"/>
    </row>
    <row r="66" spans="1:22" ht="25.5">
      <c r="A66" s="3501" t="s">
        <v>386</v>
      </c>
      <c r="B66" s="3470"/>
      <c r="C66" s="3470"/>
      <c r="D66" s="260">
        <f ca="1">IF(H66="情况1",0,IF(H66="情况2",D70,IF(H66="情况3",D71,IF(H66="情况4",D72))))</f>
        <v>5720</v>
      </c>
      <c r="E66" s="991" t="str">
        <f>IF(H66="情况4","(销售额-原购置价)×税（费）率","销售额×税（费）率")</f>
        <v>销售额×税（费）率</v>
      </c>
      <c r="F66" s="349">
        <f>IF(H66="情况1","免征",'数据-取费表'!B41)</f>
        <v>5.6000000000000001E-2</v>
      </c>
      <c r="G66" s="350" t="s">
        <v>387</v>
      </c>
      <c r="H66" s="190" t="s">
        <v>388</v>
      </c>
      <c r="I66" s="1282"/>
      <c r="J66" s="2016"/>
      <c r="K66" s="1285">
        <v>1</v>
      </c>
      <c r="L66" s="3431" t="s">
        <v>385</v>
      </c>
      <c r="M66" s="3432"/>
      <c r="N66" s="2419"/>
      <c r="O66" s="2420"/>
      <c r="P66" s="2421"/>
      <c r="Q66" s="2010"/>
      <c r="R66" s="2010"/>
      <c r="S66" s="2010"/>
      <c r="T66" s="2010"/>
      <c r="U66" s="2010"/>
      <c r="V66" s="2010"/>
    </row>
    <row r="67" spans="1:22" ht="25.5" customHeight="1">
      <c r="A67" s="351" t="s">
        <v>390</v>
      </c>
      <c r="B67" s="3482" t="s">
        <v>391</v>
      </c>
      <c r="C67" s="3482"/>
      <c r="D67" s="352">
        <v>0</v>
      </c>
      <c r="E67" s="41" t="s">
        <v>392</v>
      </c>
      <c r="F67" s="62" t="s">
        <v>21</v>
      </c>
      <c r="G67" s="3466"/>
      <c r="H67" s="310"/>
      <c r="I67" s="1286"/>
      <c r="J67" s="2017"/>
      <c r="K67" s="1958">
        <v>2</v>
      </c>
      <c r="L67" s="3436" t="s">
        <v>389</v>
      </c>
      <c r="M67" s="3436"/>
      <c r="N67" s="1319">
        <f>'数据-取费表'!B2</f>
        <v>44050</v>
      </c>
      <c r="O67" s="1319"/>
      <c r="P67" s="1319"/>
      <c r="Q67" s="2010"/>
      <c r="R67" s="2010"/>
      <c r="S67" s="2010"/>
      <c r="T67" s="2010"/>
      <c r="U67" s="2010"/>
      <c r="V67" s="2010"/>
    </row>
    <row r="68" spans="1:22" ht="25.5" customHeight="1">
      <c r="A68" s="353"/>
      <c r="B68" s="3482" t="s">
        <v>394</v>
      </c>
      <c r="C68" s="3482"/>
      <c r="D68" s="354"/>
      <c r="E68" s="77"/>
      <c r="F68" s="355"/>
      <c r="G68" s="3467"/>
      <c r="H68" s="310"/>
      <c r="I68" s="1286"/>
      <c r="J68" s="2017"/>
      <c r="K68" s="1958">
        <v>3</v>
      </c>
      <c r="L68" s="3436" t="s">
        <v>393</v>
      </c>
      <c r="M68" s="3436"/>
      <c r="N68" s="1287">
        <f ca="1">C42</f>
        <v>178751</v>
      </c>
      <c r="O68" s="1287"/>
      <c r="P68" s="1287"/>
      <c r="Q68" s="2010"/>
      <c r="R68" s="2010"/>
      <c r="S68" s="2010"/>
      <c r="T68" s="2010"/>
      <c r="U68" s="2010"/>
      <c r="V68" s="2010"/>
    </row>
    <row r="69" spans="1:22" ht="12" customHeight="1">
      <c r="A69" s="356"/>
      <c r="B69" s="3482" t="s">
        <v>395</v>
      </c>
      <c r="C69" s="3482"/>
      <c r="D69" s="357"/>
      <c r="E69" s="73"/>
      <c r="F69" s="355"/>
      <c r="G69" s="3468"/>
      <c r="H69" s="310"/>
      <c r="I69" s="1286"/>
      <c r="J69" s="2017"/>
      <c r="K69" s="1288">
        <v>4</v>
      </c>
      <c r="L69" s="3437" t="s">
        <v>2873</v>
      </c>
      <c r="M69" s="3438"/>
      <c r="N69" s="1289">
        <f ca="1">C44</f>
        <v>178751</v>
      </c>
      <c r="O69" s="1289"/>
      <c r="P69" s="1289"/>
      <c r="Q69" s="2010"/>
      <c r="R69" s="2010"/>
      <c r="S69" s="2010"/>
      <c r="T69" s="2010"/>
      <c r="U69" s="2010"/>
      <c r="V69" s="2010"/>
    </row>
    <row r="70" spans="1:22" ht="24" customHeight="1">
      <c r="A70" s="358" t="s">
        <v>396</v>
      </c>
      <c r="B70" s="3482" t="s">
        <v>397</v>
      </c>
      <c r="C70" s="3482"/>
      <c r="D70" s="357">
        <f ca="1">ROUND(D63*'数据-取费表'!B41/(1+'数据-取费表'!C42),0)</f>
        <v>5720</v>
      </c>
      <c r="E70" s="17" t="s">
        <v>398</v>
      </c>
      <c r="F70" s="359">
        <f>'数据-取费表'!B41</f>
        <v>5.6000000000000001E-2</v>
      </c>
      <c r="G70" s="360"/>
      <c r="H70" s="310"/>
      <c r="I70" s="1286"/>
      <c r="J70" s="2017"/>
      <c r="K70" s="2887"/>
      <c r="L70" s="2888"/>
      <c r="M70" s="2888"/>
      <c r="N70" s="2889" t="s">
        <v>2878</v>
      </c>
      <c r="O70" s="2888"/>
      <c r="P70" s="2890"/>
      <c r="Q70" s="2010"/>
      <c r="R70" s="2010"/>
      <c r="S70" s="2010"/>
      <c r="T70" s="2010"/>
      <c r="U70" s="2010"/>
      <c r="V70" s="2010"/>
    </row>
    <row r="71" spans="1:22" ht="12" customHeight="1">
      <c r="A71" s="358" t="s">
        <v>404</v>
      </c>
      <c r="B71" s="3481" t="s">
        <v>405</v>
      </c>
      <c r="C71" s="3495"/>
      <c r="D71" s="357">
        <f ca="1">ROUND(D63*'数据-取费表'!B41/(1+'数据-取费表'!C42),0)</f>
        <v>5720</v>
      </c>
      <c r="E71" s="17" t="s">
        <v>398</v>
      </c>
      <c r="F71" s="359">
        <f>'数据-取费表'!B41</f>
        <v>5.6000000000000001E-2</v>
      </c>
      <c r="G71" s="360"/>
      <c r="H71" s="310"/>
      <c r="I71" s="1286"/>
      <c r="J71" s="2017"/>
      <c r="K71" s="2886" t="s">
        <v>399</v>
      </c>
      <c r="L71" s="3439" t="s">
        <v>400</v>
      </c>
      <c r="M71" s="3439"/>
      <c r="N71" s="2886" t="s">
        <v>401</v>
      </c>
      <c r="O71" s="2886" t="s">
        <v>402</v>
      </c>
      <c r="P71" s="2886" t="s">
        <v>403</v>
      </c>
      <c r="Q71" s="2010"/>
      <c r="R71" s="2010"/>
      <c r="S71" s="2010"/>
      <c r="T71" s="2010"/>
      <c r="U71" s="2010"/>
      <c r="V71" s="2010"/>
    </row>
    <row r="72" spans="1:22" ht="12" customHeight="1">
      <c r="A72" s="358" t="s">
        <v>407</v>
      </c>
      <c r="B72" s="3481" t="s">
        <v>408</v>
      </c>
      <c r="C72" s="3495"/>
      <c r="D72" s="357">
        <f ca="1">C86</f>
        <v>5608</v>
      </c>
      <c r="E72" s="73" t="s">
        <v>409</v>
      </c>
      <c r="F72" s="359">
        <f>'数据-取费表'!B41</f>
        <v>5.6000000000000001E-2</v>
      </c>
      <c r="G72" s="360"/>
      <c r="H72" s="1292"/>
      <c r="I72" s="1286"/>
      <c r="J72" s="2017"/>
      <c r="K72" s="1958">
        <v>1</v>
      </c>
      <c r="L72" s="3435" t="s">
        <v>406</v>
      </c>
      <c r="M72" s="3435"/>
      <c r="N72" s="1290">
        <f ca="1">D66</f>
        <v>5720</v>
      </c>
      <c r="O72" s="1841" t="str">
        <f>E66</f>
        <v>销售额×税（费）率</v>
      </c>
      <c r="P72" s="1291">
        <f>F66</f>
        <v>5.6000000000000001E-2</v>
      </c>
      <c r="Q72" s="2010"/>
      <c r="R72" s="2010"/>
      <c r="S72" s="2010"/>
      <c r="T72" s="2010"/>
      <c r="U72" s="2010"/>
      <c r="V72" s="2010"/>
    </row>
    <row r="73" spans="1:22" ht="24" customHeight="1">
      <c r="A73" s="3469" t="s">
        <v>411</v>
      </c>
      <c r="B73" s="3470"/>
      <c r="C73" s="3470"/>
      <c r="D73" s="361">
        <f>IF(H73="个人住宅",0,ROUND(D63*I73,0))</f>
        <v>0</v>
      </c>
      <c r="E73" s="17" t="s">
        <v>412</v>
      </c>
      <c r="F73" s="359" t="str">
        <f>IF(H73="正常",I73,"免征")</f>
        <v>免征</v>
      </c>
      <c r="G73" s="360"/>
      <c r="H73" s="190" t="s">
        <v>2446</v>
      </c>
      <c r="I73" s="359">
        <f>'数据-取费表'!B49</f>
        <v>5.0000000000000001E-4</v>
      </c>
      <c r="J73" s="2017"/>
      <c r="K73" s="1958">
        <v>2</v>
      </c>
      <c r="L73" s="3435" t="s">
        <v>410</v>
      </c>
      <c r="M73" s="3435"/>
      <c r="N73" s="1290">
        <f t="shared" ref="N73:P74" si="1">D73</f>
        <v>0</v>
      </c>
      <c r="O73" s="1841" t="str">
        <f t="shared" si="1"/>
        <v>销售额×税（费）率</v>
      </c>
      <c r="P73" s="1291" t="str">
        <f t="shared" si="1"/>
        <v>免征</v>
      </c>
      <c r="Q73" s="2010"/>
      <c r="R73" s="2010"/>
      <c r="S73" s="2010"/>
      <c r="T73" s="2010"/>
      <c r="U73" s="2010"/>
      <c r="V73" s="2010"/>
    </row>
    <row r="74" spans="1:22" ht="24.75">
      <c r="A74" s="3469" t="s">
        <v>415</v>
      </c>
      <c r="B74" s="3470"/>
      <c r="C74" s="3470"/>
      <c r="D74" s="361">
        <f ca="1">IF(H74="个人住宅",D75,D76)</f>
        <v>60107</v>
      </c>
      <c r="E74" s="17" t="s">
        <v>416</v>
      </c>
      <c r="F74" s="359" t="str">
        <f>IF(H74="正常",F76,"免征")</f>
        <v>——</v>
      </c>
      <c r="G74" s="981" t="s">
        <v>417</v>
      </c>
      <c r="H74" s="362" t="s">
        <v>413</v>
      </c>
      <c r="I74" s="42"/>
      <c r="J74" s="2017"/>
      <c r="K74" s="1958">
        <v>3</v>
      </c>
      <c r="L74" s="3435" t="s">
        <v>414</v>
      </c>
      <c r="M74" s="3435"/>
      <c r="N74" s="1290">
        <f t="shared" ca="1" si="1"/>
        <v>60107</v>
      </c>
      <c r="O74" s="1841" t="str">
        <f t="shared" si="1"/>
        <v>增值额×税（费）率</v>
      </c>
      <c r="P74" s="1293" t="str">
        <f t="shared" si="1"/>
        <v>——</v>
      </c>
      <c r="Q74" s="2010"/>
      <c r="R74" s="2010"/>
      <c r="S74" s="2010"/>
      <c r="T74" s="2010"/>
      <c r="U74" s="2010"/>
      <c r="V74" s="2010"/>
    </row>
    <row r="75" spans="1:22" ht="24">
      <c r="A75" s="358" t="s">
        <v>418</v>
      </c>
      <c r="B75" s="3450" t="s">
        <v>419</v>
      </c>
      <c r="C75" s="3451"/>
      <c r="D75" s="363">
        <v>0</v>
      </c>
      <c r="E75" s="41" t="s">
        <v>420</v>
      </c>
      <c r="F75" s="364"/>
      <c r="G75" s="360"/>
      <c r="H75" s="42"/>
      <c r="I75" s="42"/>
      <c r="J75" s="2017"/>
      <c r="K75" s="2879">
        <f>IF(H77="非个人房产","",4)</f>
        <v>4</v>
      </c>
      <c r="L75" s="3435" t="str">
        <f>IF(H77="非个人房产","——","个人所得税")</f>
        <v>个人所得税</v>
      </c>
      <c r="M75" s="3435"/>
      <c r="N75" s="1294">
        <f ca="1">D77</f>
        <v>1073</v>
      </c>
      <c r="O75" s="1854" t="str">
        <f>E77</f>
        <v>销售额×税（费）率</v>
      </c>
      <c r="P75" s="1295">
        <f>F77</f>
        <v>0.01</v>
      </c>
      <c r="Q75" s="2010"/>
      <c r="R75" s="2010"/>
      <c r="S75" s="2010"/>
      <c r="T75" s="2010"/>
      <c r="U75" s="2010"/>
      <c r="V75" s="2010"/>
    </row>
    <row r="76" spans="1:22" ht="24.75">
      <c r="A76" s="358" t="s">
        <v>396</v>
      </c>
      <c r="B76" s="3450" t="s">
        <v>422</v>
      </c>
      <c r="C76" s="3492"/>
      <c r="D76" s="361">
        <f ca="1">IF(H76="转让取得",C99,C115)</f>
        <v>60107</v>
      </c>
      <c r="E76" s="17" t="s">
        <v>423</v>
      </c>
      <c r="F76" s="53" t="s">
        <v>21</v>
      </c>
      <c r="G76" s="360"/>
      <c r="H76" s="362" t="s">
        <v>424</v>
      </c>
      <c r="I76" s="42"/>
      <c r="J76" s="2017"/>
      <c r="K76" s="2879" t="str">
        <f>IF(项目基本情况!K6="上海银行",IF(K75="",4,K75+1),"")</f>
        <v/>
      </c>
      <c r="L76" s="3446" t="str">
        <f>IF(项目基本情况!K6="上海银行","其他处置费用","")</f>
        <v/>
      </c>
      <c r="M76" s="3447"/>
      <c r="N76" s="1290" t="str">
        <f>IF(项目基本情况!K6="上海银行",N89,"")</f>
        <v/>
      </c>
      <c r="O76" s="3448" t="str">
        <f>IF(项目基本情况!K6="上海银行","包含处置中涉及的律师、诉讼、拍卖、评估等费用","")</f>
        <v/>
      </c>
      <c r="P76" s="3449"/>
      <c r="Q76" s="2010"/>
      <c r="R76" s="2010"/>
      <c r="S76" s="2010"/>
      <c r="T76" s="2010"/>
      <c r="U76" s="2010"/>
      <c r="V76" s="2010"/>
    </row>
    <row r="77" spans="1:22" ht="26.25" thickBot="1">
      <c r="A77" s="3461" t="s">
        <v>426</v>
      </c>
      <c r="B77" s="3462"/>
      <c r="C77" s="3462"/>
      <c r="D77" s="365">
        <f ca="1">IF(H77="非个人房产","——",IF(H77="个人住宅",0,ROUND(D63*I77,0)))</f>
        <v>1073</v>
      </c>
      <c r="E77" s="366" t="str">
        <f>IF(H77="非个人房产","——","销售额×税（费）率")</f>
        <v>销售额×税（费）率</v>
      </c>
      <c r="F77" s="367">
        <f>IF(H77="非个人房产","——",IF(H77="个人住宅","免征",I77))</f>
        <v>0.01</v>
      </c>
      <c r="G77" s="982" t="s">
        <v>417</v>
      </c>
      <c r="H77" s="362" t="s">
        <v>2874</v>
      </c>
      <c r="I77" s="368">
        <v>0.01</v>
      </c>
      <c r="J77" s="2017"/>
      <c r="K77" s="3457">
        <f>IF(AND(K75="",K76=""),4,IF(项目基本情况!K6="上海银行",K76+1,K75+1))</f>
        <v>5</v>
      </c>
      <c r="L77" s="3435" t="s">
        <v>2875</v>
      </c>
      <c r="M77" s="2885" t="s">
        <v>421</v>
      </c>
      <c r="N77" s="1296"/>
      <c r="O77" s="1297">
        <f ca="1">SUMIF(N72:N76,"&lt;9e307")</f>
        <v>66900</v>
      </c>
      <c r="P77" s="1298"/>
      <c r="Q77" s="2883">
        <f ca="1">O77/N69</f>
        <v>0.37426364048313016</v>
      </c>
      <c r="R77" s="2010"/>
      <c r="S77" s="2010"/>
      <c r="T77" s="2010"/>
      <c r="U77" s="2010"/>
      <c r="V77" s="2010"/>
    </row>
    <row r="78" spans="1:22" ht="12" customHeight="1">
      <c r="A78" s="1299"/>
      <c r="B78" s="310"/>
      <c r="C78" s="310"/>
      <c r="D78" s="310"/>
      <c r="E78" s="42"/>
      <c r="F78" s="42"/>
      <c r="G78" s="42"/>
      <c r="H78" s="1001"/>
      <c r="I78" s="310"/>
      <c r="J78" s="2017"/>
      <c r="K78" s="3457"/>
      <c r="L78" s="3435"/>
      <c r="M78" s="2885" t="s">
        <v>425</v>
      </c>
      <c r="N78" s="1296"/>
      <c r="O78" s="1297" t="str">
        <f ca="1">NUMBERSTRING(INT(O77*10000),2)&amp;"元整"</f>
        <v>陆亿陆仟玖佰万元整</v>
      </c>
      <c r="P78" s="1298"/>
      <c r="Q78" s="2010"/>
      <c r="R78" s="2010"/>
      <c r="S78" s="2010"/>
      <c r="T78" s="2010"/>
      <c r="U78" s="2010"/>
      <c r="V78" s="2010"/>
    </row>
    <row r="79" spans="1:22" ht="13.5" thickBot="1">
      <c r="A79" s="3509" t="s">
        <v>427</v>
      </c>
      <c r="B79" s="3509"/>
      <c r="C79" s="3509"/>
      <c r="D79" s="3509"/>
      <c r="E79" s="3509"/>
      <c r="F79" s="42"/>
      <c r="G79" s="42"/>
      <c r="H79" s="1001"/>
      <c r="I79" s="310"/>
      <c r="J79" s="2017"/>
      <c r="K79" s="3433">
        <f>K77+1</f>
        <v>6</v>
      </c>
      <c r="L79" s="3435" t="s">
        <v>2876</v>
      </c>
      <c r="M79" s="2885" t="s">
        <v>421</v>
      </c>
      <c r="N79" s="1296"/>
      <c r="O79" s="1297">
        <f ca="1">N69-O77</f>
        <v>111851</v>
      </c>
      <c r="P79" s="1298"/>
      <c r="Q79" s="2010"/>
      <c r="R79" s="2010"/>
      <c r="S79" s="2010"/>
      <c r="T79" s="2010"/>
      <c r="U79" s="2010"/>
      <c r="V79" s="2010"/>
    </row>
    <row r="80" spans="1:22" ht="25.5">
      <c r="A80" s="3443" t="s">
        <v>428</v>
      </c>
      <c r="B80" s="3444"/>
      <c r="C80" s="992"/>
      <c r="D80" s="992" t="s">
        <v>429</v>
      </c>
      <c r="E80" s="369" t="s">
        <v>430</v>
      </c>
      <c r="F80" s="42"/>
      <c r="G80" s="42"/>
      <c r="H80" s="1001"/>
      <c r="I80" s="310"/>
      <c r="J80" s="2010"/>
      <c r="K80" s="3434"/>
      <c r="L80" s="3435"/>
      <c r="M80" s="2885" t="s">
        <v>425</v>
      </c>
      <c r="N80" s="1296"/>
      <c r="O80" s="1297" t="str">
        <f ca="1">NUMBERSTRING(INT(O79*10000),2)&amp;"元整"</f>
        <v>壹拾壹亿壹仟捌佰伍拾壹万元整</v>
      </c>
      <c r="P80" s="1298"/>
      <c r="Q80" s="2010"/>
      <c r="R80" s="2010"/>
      <c r="S80" s="2010"/>
      <c r="T80" s="2010"/>
      <c r="U80" s="2010"/>
      <c r="V80" s="2010"/>
    </row>
    <row r="81" spans="1:26" ht="13.5" thickBot="1">
      <c r="A81" s="380" t="s">
        <v>1817</v>
      </c>
      <c r="B81" s="370" t="s">
        <v>431</v>
      </c>
      <c r="C81" s="371">
        <f ca="1">ROUND((C82+C83)/(1+'数据-取费表'!C42),0)</f>
        <v>102144</v>
      </c>
      <c r="D81" s="372"/>
      <c r="E81" s="373"/>
      <c r="F81" s="42"/>
      <c r="G81" s="42"/>
      <c r="H81" s="1001"/>
      <c r="I81" s="310"/>
      <c r="J81" s="2010"/>
      <c r="K81" s="2879">
        <f>K79+1</f>
        <v>7</v>
      </c>
      <c r="L81" s="3455" t="s">
        <v>2877</v>
      </c>
      <c r="M81" s="3456"/>
      <c r="N81" s="1300"/>
      <c r="O81" s="1301">
        <f ca="1">ROUND(O79*10000/'数据-汇总表'!E3,0)</f>
        <v>2369</v>
      </c>
      <c r="P81" s="1302"/>
      <c r="Q81" s="2010"/>
      <c r="R81" s="2010"/>
      <c r="S81" s="2010"/>
      <c r="T81" s="2010"/>
      <c r="U81" s="2010"/>
      <c r="V81" s="2010"/>
    </row>
    <row r="82" spans="1:26" ht="13.5" thickTop="1">
      <c r="A82" s="374" t="s">
        <v>1818</v>
      </c>
      <c r="B82" s="375" t="s">
        <v>432</v>
      </c>
      <c r="C82" s="376">
        <f ca="1">D63</f>
        <v>107251</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1819</v>
      </c>
      <c r="B83" s="375" t="s">
        <v>433</v>
      </c>
      <c r="C83" s="379">
        <v>0</v>
      </c>
      <c r="D83" s="377"/>
      <c r="E83" s="378"/>
      <c r="F83" s="42"/>
      <c r="G83" s="42"/>
      <c r="H83" s="1001"/>
      <c r="I83" s="310"/>
      <c r="J83" s="2010"/>
      <c r="K83" s="3445" t="s">
        <v>2864</v>
      </c>
      <c r="L83" s="2891" t="s">
        <v>2865</v>
      </c>
      <c r="M83" s="2881">
        <f ca="1">IF(N69&gt;10000,N69*0.5%,IF(AND(N69&gt;1000,N69&lt;=10000),N69*1%,IF(AND(N69&gt;100,N69&lt;=1000),N69*3%,IF(AND(N69&gt;10,N69&lt;=100),N69*5%,N69*8%))))</f>
        <v>893.755</v>
      </c>
      <c r="N83" s="53">
        <f ca="1">ROUND(M83,1)</f>
        <v>893.8</v>
      </c>
      <c r="O83" s="2884"/>
      <c r="P83" s="2010"/>
      <c r="Q83" s="2010"/>
      <c r="R83" s="2010"/>
      <c r="S83" s="2010"/>
      <c r="T83" s="2010"/>
      <c r="U83" s="2010"/>
      <c r="V83" s="2010"/>
    </row>
    <row r="84" spans="1:26" ht="12.75">
      <c r="A84" s="380" t="s">
        <v>1820</v>
      </c>
      <c r="B84" s="381" t="s">
        <v>434</v>
      </c>
      <c r="C84" s="382">
        <v>2000</v>
      </c>
      <c r="D84" s="383" t="s">
        <v>19</v>
      </c>
      <c r="E84" s="2926" t="s">
        <v>2930</v>
      </c>
      <c r="F84" s="42"/>
      <c r="G84" s="42"/>
      <c r="H84" s="1001"/>
      <c r="I84" s="310"/>
      <c r="J84" s="2010"/>
      <c r="K84" s="3445"/>
      <c r="L84" s="2891" t="s">
        <v>2866</v>
      </c>
      <c r="M84" s="2881">
        <f ca="1">IF(N69&gt;2000,N69*0.5%,IF(AND(N69&gt;1000,N69&lt;=2000),N69*0.6%,IF(AND(N69&gt;500,N69&lt;=1000),N69*0.7%,IF(AND(N69&gt;200,N69&lt;=500),N69*0.8%,IF(AND(N69&gt;100,N69&lt;=200),N69*0.9%,IF(AND(N69&gt;50,N69&lt;=100),N69*1%,IF(AND(N69&gt;20,N69&lt;=50),N69*1.5%,IF(AND(N69&gt;10,N69&lt;=20),N69*2%,IF(AND(N69&gt;1,N69&lt;=10),N69*2.5%)))))))))</f>
        <v>893.755</v>
      </c>
      <c r="N84" s="53">
        <f t="shared" ref="N84:N85" ca="1" si="2">ROUND(M84,1)</f>
        <v>893.8</v>
      </c>
      <c r="O84" s="2010" t="s">
        <v>2867</v>
      </c>
      <c r="P84" s="2010"/>
      <c r="Q84" s="2010"/>
      <c r="R84" s="2010"/>
      <c r="S84" s="2010"/>
      <c r="T84" s="2010"/>
      <c r="U84" s="2010"/>
      <c r="V84" s="2010"/>
    </row>
    <row r="85" spans="1:26" ht="12.75">
      <c r="A85" s="380" t="s">
        <v>1821</v>
      </c>
      <c r="B85" s="381" t="s">
        <v>435</v>
      </c>
      <c r="C85" s="384">
        <f ca="1">C81-C84</f>
        <v>100144</v>
      </c>
      <c r="D85" s="377" t="s">
        <v>19</v>
      </c>
      <c r="E85" s="378"/>
      <c r="F85" s="42"/>
      <c r="G85" s="42"/>
      <c r="H85" s="1001"/>
      <c r="I85" s="310"/>
      <c r="J85" s="2010"/>
      <c r="K85" s="3445"/>
      <c r="L85" s="2891" t="s">
        <v>2868</v>
      </c>
      <c r="M85" s="2881">
        <f ca="1">IF(N69&gt;1000,N69*0.1%,IF(AND(N69&gt;500,N69&lt;=1000),N69*0.5%,IF(AND(N69&gt;50,N69&lt;=500),N69*1%,IF(AND(N69&gt;1,N69&lt;=50),N69*1.5%))))</f>
        <v>178.751</v>
      </c>
      <c r="N85" s="53">
        <f t="shared" ca="1" si="2"/>
        <v>178.8</v>
      </c>
      <c r="O85" s="2010" t="s">
        <v>2867</v>
      </c>
      <c r="P85" s="2010"/>
      <c r="Q85" s="2010"/>
      <c r="R85" s="2010"/>
      <c r="S85" s="2010"/>
      <c r="T85" s="2010"/>
      <c r="U85" s="2010"/>
      <c r="V85" s="2010"/>
    </row>
    <row r="86" spans="1:26" ht="13.5" thickBot="1">
      <c r="A86" s="385" t="s">
        <v>1822</v>
      </c>
      <c r="B86" s="386" t="s">
        <v>436</v>
      </c>
      <c r="C86" s="387">
        <f ca="1">IF(C85&lt;=0,0,ROUND(C85*D86,0))</f>
        <v>5608</v>
      </c>
      <c r="D86" s="388">
        <f>'数据-取费表'!B41</f>
        <v>5.6000000000000001E-2</v>
      </c>
      <c r="E86" s="389"/>
      <c r="F86" s="42"/>
      <c r="G86" s="42"/>
      <c r="H86" s="1001"/>
      <c r="I86" s="310"/>
      <c r="J86" s="2010"/>
      <c r="K86" s="3445"/>
      <c r="L86" s="2891" t="s">
        <v>2869</v>
      </c>
      <c r="M86" s="2881">
        <f ca="1">N69*0.5%</f>
        <v>893.755</v>
      </c>
      <c r="N86" s="53">
        <f ca="1">IF(M86&gt;0.5,0.5,ROUND(M86,0))</f>
        <v>0.5</v>
      </c>
      <c r="O86" s="2010" t="s">
        <v>2870</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445"/>
      <c r="L87" s="2891" t="s">
        <v>2871</v>
      </c>
      <c r="M87" s="2881">
        <f ca="1">IF(N69&gt;=10000,(8.25+(N69-10000)*0.01%),IF(AND(N69&gt;=8000,N69&lt;10000),(7.85+(N69-8000)*0.02%),IF(AND(N69&gt;=5000,N69&lt;8000),(6.65+(N69-5000)*0.04%),IF(AND(N69&gt;=2000,N69&lt;5000),(4.25+(PN69-2000)*0.08%),IF(AND(N69&gt;=1000,N69&lt;2000),(2.75+(N69-1000)*0.15%),IF(AND(N69&gt;=100,N69&lt;1000),(0.5+(N69-100)*0.25%),IF(AND(N69&gt;0,N69&lt;100),N69*0.5%)))))))</f>
        <v>25.1251</v>
      </c>
      <c r="N87" s="53">
        <f ca="1">ROUND(M87*0.9,1)</f>
        <v>22.6</v>
      </c>
      <c r="O87" s="2884"/>
      <c r="P87" s="310"/>
      <c r="Q87" s="2010"/>
      <c r="R87" s="2010"/>
      <c r="S87" s="2010"/>
      <c r="T87" s="2010"/>
      <c r="U87" s="2010"/>
      <c r="V87" s="2010"/>
      <c r="W87" s="291"/>
      <c r="X87" s="291"/>
      <c r="Y87" s="291"/>
      <c r="Z87" s="291"/>
    </row>
    <row r="88" spans="1:26" s="1308" customFormat="1" ht="15" thickBot="1">
      <c r="A88" s="3484" t="s">
        <v>437</v>
      </c>
      <c r="B88" s="3485"/>
      <c r="C88" s="3485"/>
      <c r="D88" s="3485"/>
      <c r="E88" s="3485"/>
      <c r="F88" s="3485"/>
      <c r="G88" s="3485"/>
      <c r="H88" s="3485"/>
      <c r="I88" s="1309"/>
      <c r="J88" s="2018"/>
      <c r="K88" s="3445"/>
      <c r="L88" s="2891" t="s">
        <v>2872</v>
      </c>
      <c r="M88" s="2881">
        <f ca="1">IF(N69&gt;10000,N69*0.5%,IF(AND(N69&gt;5000,N69&lt;=10000),N69*1%,IF(AND(N69&gt;1000,N69&lt;=5000),N69*2%,IF(AND(N69&gt;200,N69&lt;=1000),N69*3%,N69*5%))))</f>
        <v>893.755</v>
      </c>
      <c r="N88" s="53">
        <f ca="1">ROUND(M88,1)</f>
        <v>893.8</v>
      </c>
      <c r="O88" s="2884"/>
      <c r="P88" s="11"/>
      <c r="Q88" s="2015"/>
      <c r="R88" s="2015"/>
      <c r="S88" s="2015"/>
      <c r="T88" s="2015"/>
      <c r="U88" s="2015"/>
      <c r="V88" s="2015"/>
      <c r="W88" s="2019"/>
      <c r="X88" s="2019"/>
      <c r="Y88" s="2019"/>
      <c r="Z88" s="2019"/>
    </row>
    <row r="89" spans="1:26" s="1308" customFormat="1" ht="14.25">
      <c r="A89" s="3443" t="s">
        <v>428</v>
      </c>
      <c r="B89" s="3444"/>
      <c r="C89" s="992"/>
      <c r="D89" s="992" t="s">
        <v>429</v>
      </c>
      <c r="E89" s="390" t="s">
        <v>438</v>
      </c>
      <c r="F89" s="391"/>
      <c r="G89" s="391"/>
      <c r="H89" s="392"/>
      <c r="I89" s="1310"/>
      <c r="J89" s="2020"/>
      <c r="K89" s="3445"/>
      <c r="L89" s="2891" t="s">
        <v>27</v>
      </c>
      <c r="M89" s="2882"/>
      <c r="N89" s="53">
        <f ca="1">ROUND(SUM(N83:N88),0)</f>
        <v>2883</v>
      </c>
      <c r="O89" s="2892">
        <f ca="1">N89/N69</f>
        <v>1.6128581098847E-2</v>
      </c>
      <c r="P89" s="2015"/>
      <c r="Q89" s="2015"/>
      <c r="R89" s="2015"/>
      <c r="S89" s="2015"/>
      <c r="T89" s="2015"/>
      <c r="U89" s="2015"/>
      <c r="V89" s="2015"/>
      <c r="W89" s="2019"/>
      <c r="X89" s="2019"/>
      <c r="Y89" s="2019"/>
      <c r="Z89" s="2019"/>
    </row>
    <row r="90" spans="1:26" s="1308" customFormat="1" ht="14.25">
      <c r="A90" s="380" t="s">
        <v>1817</v>
      </c>
      <c r="B90" s="381" t="s">
        <v>439</v>
      </c>
      <c r="C90" s="384">
        <f ca="1">ROUND(D63/(1+'数据-取费表'!C42),0)</f>
        <v>102144</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1823</v>
      </c>
      <c r="B91" s="347" t="s">
        <v>440</v>
      </c>
      <c r="C91" s="384">
        <f ca="1">C92+C96</f>
        <v>3174</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441</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1825</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446</v>
      </c>
      <c r="C94" s="377">
        <f>IF(F93="购房发票",ROUND(C93*H93*5%,0),0)</f>
        <v>500</v>
      </c>
      <c r="D94" s="400">
        <v>0.05</v>
      </c>
      <c r="E94" s="3481" t="s">
        <v>447</v>
      </c>
      <c r="F94" s="3482"/>
      <c r="G94" s="3482"/>
      <c r="H94" s="3483"/>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448</v>
      </c>
      <c r="C95" s="377">
        <f>ROUND(IF(G95="个人买卖住房",0,IF(G95="2016年5月1日前购买",C93*D95,C93*D95/(1+'数据-取费表'!C42))),0)</f>
        <v>61</v>
      </c>
      <c r="D95" s="401">
        <f>'数据-取费表'!B48+'数据-取费表'!B49</f>
        <v>3.0499999999999999E-2</v>
      </c>
      <c r="E95" s="26" t="s">
        <v>449</v>
      </c>
      <c r="F95" s="402"/>
      <c r="G95" s="403" t="s">
        <v>2420</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450</v>
      </c>
      <c r="C96" s="404">
        <f ca="1">ROUND(D63*D96/(1+'数据-取费表'!C42),0)</f>
        <v>613</v>
      </c>
      <c r="D96" s="405">
        <f>'数据-取费表'!B43</f>
        <v>6.000000000000001E-3</v>
      </c>
      <c r="E96" s="3440" t="s">
        <v>2419</v>
      </c>
      <c r="F96" s="3441"/>
      <c r="G96" s="3441"/>
      <c r="H96" s="3442"/>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1829</v>
      </c>
      <c r="B97" s="381" t="s">
        <v>451</v>
      </c>
      <c r="C97" s="384">
        <f ca="1">C90-C91</f>
        <v>98970</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452</v>
      </c>
      <c r="C98" s="406">
        <f ca="1">IF(C97&lt;=0,0,C97/C91)</f>
        <v>31.18147448015123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1831</v>
      </c>
      <c r="B99" s="386" t="s">
        <v>453</v>
      </c>
      <c r="C99" s="407">
        <f ca="1">ROUND(IF(C97&lt;=0,0,IF(C98&gt;=200%,C97*60%-C91*35%,IF(C98&gt;=100%,C97*50%-C91*15%,IF(C98&gt;=50%,C97*40%-C91*5%,IF(C98&lt;50%,C97*30%,0))))),0)</f>
        <v>58271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484" t="s">
        <v>454</v>
      </c>
      <c r="B101" s="3485"/>
      <c r="C101" s="3485"/>
      <c r="D101" s="3485"/>
      <c r="E101" s="3485"/>
      <c r="F101" s="3485"/>
      <c r="G101" s="3485"/>
      <c r="H101" s="3485"/>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443" t="s">
        <v>428</v>
      </c>
      <c r="B102" s="3444"/>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1817</v>
      </c>
      <c r="B103" s="381" t="s">
        <v>439</v>
      </c>
      <c r="C103" s="384">
        <f ca="1">ROUND(D63/(1+'数据-取费表'!C42),0)</f>
        <v>102144</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1823</v>
      </c>
      <c r="B104" s="347" t="s">
        <v>440</v>
      </c>
      <c r="C104" s="384">
        <f ca="1">IF(H106="仅含出让金",C105+C108+C109+C110+C111+C112,C105+C109+C110+C111+C112)</f>
        <v>1242</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1824</v>
      </c>
      <c r="B105" s="375" t="s">
        <v>455</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1825</v>
      </c>
      <c r="B106" s="375" t="s">
        <v>456</v>
      </c>
      <c r="C106" s="415">
        <v>555</v>
      </c>
      <c r="D106" s="405"/>
      <c r="E106" s="416" t="s">
        <v>457</v>
      </c>
      <c r="F106" s="984"/>
      <c r="G106" s="417" t="s">
        <v>458</v>
      </c>
      <c r="H106" s="418" t="s">
        <v>2430</v>
      </c>
      <c r="I106" s="11" t="s">
        <v>2988</v>
      </c>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1826</v>
      </c>
      <c r="B107" s="375" t="s">
        <v>448</v>
      </c>
      <c r="C107" s="404">
        <f>ROUND(C106*D107,0)</f>
        <v>17</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1828</v>
      </c>
      <c r="B108" s="375" t="s">
        <v>460</v>
      </c>
      <c r="C108" s="415"/>
      <c r="D108" s="405"/>
      <c r="E108" s="416" t="str">
        <f>IF(H106="-","土地取得成本中已包含该笔费用"," ")</f>
        <v xml:space="preserve"> </v>
      </c>
      <c r="F108" s="984"/>
      <c r="G108" s="3493" t="s">
        <v>2990</v>
      </c>
      <c r="H108" s="3494"/>
      <c r="I108" s="3037" t="s">
        <v>2989</v>
      </c>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461</v>
      </c>
      <c r="C109" s="404">
        <f>IF(H109="——",IF(F1="现房",'剩余法-现房'!C18,0),I109)</f>
        <v>0</v>
      </c>
      <c r="D109" s="405"/>
      <c r="E109" s="3474" t="s">
        <v>462</v>
      </c>
      <c r="F109" s="3441"/>
      <c r="G109" s="3441"/>
      <c r="H109" s="1923" t="s">
        <v>949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463</v>
      </c>
      <c r="C110" s="404">
        <f>ROUND((C105+C108+C109)*D110,0)</f>
        <v>57</v>
      </c>
      <c r="D110" s="405">
        <v>0.1</v>
      </c>
      <c r="E110" s="3474" t="s">
        <v>464</v>
      </c>
      <c r="F110" s="3441"/>
      <c r="G110" s="3441"/>
      <c r="H110" s="3442"/>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450</v>
      </c>
      <c r="C111" s="404">
        <f ca="1">ROUND(D63*D111/(1+'数据-取费表'!C42),0)</f>
        <v>613</v>
      </c>
      <c r="D111" s="405">
        <f>'数据-取费表'!B43</f>
        <v>6.000000000000001E-3</v>
      </c>
      <c r="E111" s="3440" t="s">
        <v>2419</v>
      </c>
      <c r="F111" s="3441"/>
      <c r="G111" s="3441"/>
      <c r="H111" s="3442"/>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465</v>
      </c>
      <c r="C112" s="404">
        <f>ROUND(C108*D112,0)</f>
        <v>0</v>
      </c>
      <c r="D112" s="405">
        <v>0.2</v>
      </c>
      <c r="E112" s="3474" t="s">
        <v>2444</v>
      </c>
      <c r="F112" s="3441"/>
      <c r="G112" s="3441"/>
      <c r="H112" s="3442"/>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1829</v>
      </c>
      <c r="B113" s="381" t="s">
        <v>451</v>
      </c>
      <c r="C113" s="384">
        <f ca="1">ROUND(C103-C104,0)</f>
        <v>100902</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452</v>
      </c>
      <c r="C114" s="406">
        <f ca="1">IF(C113&lt;=0,0,C113/C104)</f>
        <v>81.241545893719803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1831</v>
      </c>
      <c r="B115" s="386" t="s">
        <v>453</v>
      </c>
      <c r="C115" s="407">
        <f ca="1">ROUND(IF(C113&lt;=0,0,IF(C114&gt;=200%,C113*60%-C104*35%,IF(C114&gt;=100%,C113*50%-C104*15%,IF(C114&gt;=50%,C113*40%-C104*5%,IF(C114&lt;50%,C113*30%,0))))),0)</f>
        <v>60107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L42" sqref="L4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176788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3745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9977</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665</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532" t="s">
        <v>522</v>
      </c>
      <c r="D6" s="3533"/>
      <c r="E6" s="3532" t="s">
        <v>523</v>
      </c>
      <c r="F6" s="3533"/>
      <c r="G6" s="3532" t="s">
        <v>524</v>
      </c>
      <c r="H6" s="3533"/>
      <c r="I6" s="3532" t="s">
        <v>525</v>
      </c>
      <c r="J6" s="3533"/>
      <c r="K6" s="513" t="s">
        <v>526</v>
      </c>
      <c r="L6" s="2115"/>
      <c r="M6" s="2114"/>
      <c r="N6" s="2114"/>
      <c r="O6" s="2116"/>
      <c r="P6" s="3534" t="s">
        <v>527</v>
      </c>
      <c r="Q6" s="3535"/>
      <c r="R6" s="3520" t="s">
        <v>523</v>
      </c>
      <c r="S6" s="3521"/>
      <c r="T6" s="3520" t="s">
        <v>524</v>
      </c>
      <c r="U6" s="3521"/>
      <c r="V6" s="3540" t="s">
        <v>525</v>
      </c>
      <c r="W6" s="3540"/>
      <c r="X6" s="1550"/>
      <c r="Y6" s="3520" t="s">
        <v>527</v>
      </c>
      <c r="Z6" s="3521"/>
      <c r="AA6" s="3515" t="s">
        <v>523</v>
      </c>
      <c r="AB6" s="3516" t="s">
        <v>524</v>
      </c>
      <c r="AC6" s="3515" t="s">
        <v>525</v>
      </c>
    </row>
    <row r="7" spans="1:30" ht="20.25">
      <c r="A7" s="514"/>
      <c r="B7" s="515"/>
      <c r="C7" s="3543" t="s">
        <v>2919</v>
      </c>
      <c r="D7" s="3544"/>
      <c r="E7" s="3543" t="str">
        <f>最新土地案例!A9</f>
        <v>武进区嘉泽镇庙桥河东侧、茶泽街北侧</v>
      </c>
      <c r="F7" s="3544"/>
      <c r="G7" s="3543" t="str">
        <f>最新土地案例!$A$13</f>
        <v>武进高新区阳湖西路南侧,龙江南路东侧</v>
      </c>
      <c r="H7" s="3544"/>
      <c r="I7" s="3543" t="str">
        <f>最新土地案例!$A$26</f>
        <v>武进区西太湖凤苑南路东侧,稻香路南侧</v>
      </c>
      <c r="J7" s="3544"/>
      <c r="K7" s="513"/>
      <c r="L7" s="2115"/>
      <c r="M7" s="2114"/>
      <c r="N7" s="2114"/>
      <c r="O7" s="2116"/>
      <c r="P7" s="3536"/>
      <c r="Q7" s="3537"/>
      <c r="R7" s="3522"/>
      <c r="S7" s="3523"/>
      <c r="T7" s="3522"/>
      <c r="U7" s="3523"/>
      <c r="V7" s="3540"/>
      <c r="W7" s="3540"/>
      <c r="X7" s="1550"/>
      <c r="Y7" s="3522"/>
      <c r="Z7" s="3523"/>
      <c r="AA7" s="3516"/>
      <c r="AB7" s="3516"/>
      <c r="AC7" s="3516"/>
    </row>
    <row r="8" spans="1:30" ht="21" thickBot="1">
      <c r="A8" s="514"/>
      <c r="B8" s="515"/>
      <c r="C8" s="3545" t="s">
        <v>2923</v>
      </c>
      <c r="D8" s="3546"/>
      <c r="E8" s="3545" t="s">
        <v>2923</v>
      </c>
      <c r="F8" s="3546"/>
      <c r="G8" s="3541" t="s">
        <v>2923</v>
      </c>
      <c r="H8" s="3542"/>
      <c r="I8" s="3541" t="s">
        <v>2923</v>
      </c>
      <c r="J8" s="3542"/>
      <c r="K8" s="513" t="s">
        <v>528</v>
      </c>
      <c r="L8" s="2115"/>
      <c r="M8" s="2114"/>
      <c r="N8" s="2114"/>
      <c r="O8" s="2116"/>
      <c r="P8" s="3538"/>
      <c r="Q8" s="3539"/>
      <c r="R8" s="3522"/>
      <c r="S8" s="3523"/>
      <c r="T8" s="3524"/>
      <c r="U8" s="3525"/>
      <c r="V8" s="3540"/>
      <c r="W8" s="3540"/>
      <c r="X8" s="1550"/>
      <c r="Y8" s="3524"/>
      <c r="Z8" s="3525"/>
      <c r="AA8" s="3517"/>
      <c r="AB8" s="3517"/>
      <c r="AC8" s="3517"/>
    </row>
    <row r="9" spans="1:30" s="1214" customFormat="1" ht="21" thickBot="1">
      <c r="A9" s="2748"/>
      <c r="B9" s="2755" t="s">
        <v>529</v>
      </c>
      <c r="C9" s="2747">
        <f>'数据-取费表'!B2</f>
        <v>44050</v>
      </c>
      <c r="D9" s="519">
        <v>100</v>
      </c>
      <c r="E9" s="520" t="str">
        <f>最新土地案例!J9</f>
        <v>2020-06-17</v>
      </c>
      <c r="F9" s="521">
        <f>SUMIF(72:72,YEAR(E9)&amp;"-"&amp;INT((MONTH(E9)+2)/3),73:73)</f>
        <v>99.5</v>
      </c>
      <c r="G9" s="522" t="str">
        <f>最新土地案例!$J$13</f>
        <v>2020-03-13</v>
      </c>
      <c r="H9" s="519">
        <f>SUMIF(72:72,YEAR(G9)&amp;"-"&amp;INT((MONTH(G9)+2)/3),73:73)</f>
        <v>99</v>
      </c>
      <c r="I9" s="522" t="str">
        <f>最新土地案例!$J$26</f>
        <v>2019-05-31</v>
      </c>
      <c r="J9" s="519">
        <f>SUMIF(72:72,YEAR(I9)&amp;"-"&amp;INT((MONTH(I9)+2)/3),73:73)</f>
        <v>97.5</v>
      </c>
      <c r="K9" s="523"/>
      <c r="L9" s="2117"/>
      <c r="M9" s="2114"/>
      <c r="N9" s="2114"/>
      <c r="O9" s="2118"/>
      <c r="P9" s="3518" t="s">
        <v>530</v>
      </c>
      <c r="Q9" s="3527"/>
      <c r="R9" s="1551" t="s">
        <v>8</v>
      </c>
      <c r="S9" s="1552">
        <f t="shared" ref="S9:S17" si="0">F9</f>
        <v>99.5</v>
      </c>
      <c r="T9" s="1551" t="s">
        <v>8</v>
      </c>
      <c r="U9" s="1552">
        <f t="shared" ref="U9:U17" si="1">H9</f>
        <v>99</v>
      </c>
      <c r="V9" s="1551" t="s">
        <v>8</v>
      </c>
      <c r="W9" s="1552">
        <f t="shared" ref="W9:W17" si="2">J9</f>
        <v>97.5</v>
      </c>
      <c r="X9" s="1553"/>
      <c r="Y9" s="3518" t="s">
        <v>530</v>
      </c>
      <c r="Z9" s="3519"/>
      <c r="AA9" s="1554">
        <f>D9/F9</f>
        <v>1.0050251256281406</v>
      </c>
      <c r="AB9" s="1554">
        <f>D9/H9</f>
        <v>1.0101010101010102</v>
      </c>
      <c r="AC9" s="1554">
        <f>D9/J9</f>
        <v>1.0256410256410255</v>
      </c>
    </row>
    <row r="10" spans="1:30" s="1214" customFormat="1" ht="21" thickBot="1">
      <c r="A10" s="2749"/>
      <c r="B10" s="2756" t="s">
        <v>531</v>
      </c>
      <c r="C10" s="855" t="s">
        <v>532</v>
      </c>
      <c r="D10" s="519">
        <v>100</v>
      </c>
      <c r="E10" s="524" t="s">
        <v>3034</v>
      </c>
      <c r="F10" s="521">
        <f>SUMIF(75:75,E10,76:76)-SUMIF(75:75,C10,76:76)+100</f>
        <v>100</v>
      </c>
      <c r="G10" s="524" t="s">
        <v>3034</v>
      </c>
      <c r="H10" s="519">
        <f>SUMIF(75:75,G10,76:76)-SUMIF(75:75,C10,76:76)+100</f>
        <v>100</v>
      </c>
      <c r="I10" s="524" t="s">
        <v>3034</v>
      </c>
      <c r="J10" s="519">
        <f>SUMIF(75:75,I10,76:76)-SUMIF(75:75,C10,76:76)+100</f>
        <v>100</v>
      </c>
      <c r="K10" s="523"/>
      <c r="L10" s="2117"/>
      <c r="M10" s="2114"/>
      <c r="N10" s="2114"/>
      <c r="O10" s="2118"/>
      <c r="P10" s="3518" t="s">
        <v>533</v>
      </c>
      <c r="Q10" s="3519"/>
      <c r="R10" s="1551" t="s">
        <v>8</v>
      </c>
      <c r="S10" s="1552">
        <f t="shared" si="0"/>
        <v>100</v>
      </c>
      <c r="T10" s="1551" t="s">
        <v>8</v>
      </c>
      <c r="U10" s="1552">
        <f t="shared" si="1"/>
        <v>100</v>
      </c>
      <c r="V10" s="1551" t="s">
        <v>8</v>
      </c>
      <c r="W10" s="1552">
        <f t="shared" si="2"/>
        <v>100</v>
      </c>
      <c r="X10" s="1553"/>
      <c r="Y10" s="3518" t="s">
        <v>533</v>
      </c>
      <c r="Z10" s="3519"/>
      <c r="AA10" s="1554">
        <f t="shared" ref="AA10:AA47" si="3">D10/F10</f>
        <v>1</v>
      </c>
      <c r="AB10" s="1554">
        <f t="shared" ref="AB10:AB47" si="4">D10/H10</f>
        <v>1</v>
      </c>
      <c r="AC10" s="1554">
        <f t="shared" ref="AC10:AC47" si="5">D10/J10</f>
        <v>1</v>
      </c>
    </row>
    <row r="11" spans="1:30" s="1214" customFormat="1" ht="20.25">
      <c r="A11" s="2750"/>
      <c r="B11" s="2757" t="s">
        <v>2746</v>
      </c>
      <c r="C11" s="2744" t="s">
        <v>3035</v>
      </c>
      <c r="D11" s="253">
        <v>100</v>
      </c>
      <c r="E11" s="525" t="s">
        <v>920</v>
      </c>
      <c r="F11" s="253">
        <f>SUMIF(77:77,E11,78:78)-SUMIF(77:77,C11,78:78)+100</f>
        <v>102</v>
      </c>
      <c r="G11" s="525" t="s">
        <v>3035</v>
      </c>
      <c r="H11" s="253">
        <f>SUMIF(77:77,G11,78:78)-SUMIF(77:77,C11,78:78)+100</f>
        <v>100</v>
      </c>
      <c r="I11" s="525" t="s">
        <v>3035</v>
      </c>
      <c r="J11" s="253">
        <f>SUMIF(77:77,I11,78:78)-SUMIF(77:77,C11,78:78)+100</f>
        <v>100</v>
      </c>
      <c r="K11" s="523"/>
      <c r="L11" s="2117"/>
      <c r="M11" s="2114"/>
      <c r="N11" s="2114"/>
      <c r="O11" s="2119"/>
      <c r="P11" s="3526" t="s">
        <v>535</v>
      </c>
      <c r="Q11" s="1145" t="str">
        <f t="shared" ref="Q11:Q17" si="6">B11</f>
        <v>用途</v>
      </c>
      <c r="R11" s="1551" t="s">
        <v>8</v>
      </c>
      <c r="S11" s="1552">
        <f t="shared" si="0"/>
        <v>102</v>
      </c>
      <c r="T11" s="1551" t="s">
        <v>8</v>
      </c>
      <c r="U11" s="1552">
        <f t="shared" si="1"/>
        <v>100</v>
      </c>
      <c r="V11" s="1551" t="s">
        <v>8</v>
      </c>
      <c r="W11" s="1552">
        <f t="shared" si="2"/>
        <v>100</v>
      </c>
      <c r="X11" s="1553"/>
      <c r="Y11" s="3480" t="s">
        <v>536</v>
      </c>
      <c r="Z11" s="1144" t="str">
        <f t="shared" ref="Z11:Z17" si="7">Q11</f>
        <v>用途</v>
      </c>
      <c r="AA11" s="1554">
        <f t="shared" si="3"/>
        <v>0.98039215686274506</v>
      </c>
      <c r="AB11" s="1554">
        <f t="shared" si="4"/>
        <v>1</v>
      </c>
      <c r="AC11" s="1554">
        <f t="shared" si="5"/>
        <v>1</v>
      </c>
    </row>
    <row r="12" spans="1:30" s="1332" customFormat="1" ht="27">
      <c r="A12" s="2751"/>
      <c r="B12" s="2756" t="s">
        <v>2747</v>
      </c>
      <c r="C12" s="909">
        <f>项目基本情况!D19</f>
        <v>61.68</v>
      </c>
      <c r="D12" s="254">
        <v>100</v>
      </c>
      <c r="E12" s="528" t="s">
        <v>3250</v>
      </c>
      <c r="F12" s="254">
        <f>ROUND(100/'数据-取费表'!G16,0)</f>
        <v>104</v>
      </c>
      <c r="G12" s="529" t="s">
        <v>3250</v>
      </c>
      <c r="H12" s="254">
        <f>ROUND(100/'数据-取费表'!G16,0)</f>
        <v>104</v>
      </c>
      <c r="I12" s="529" t="s">
        <v>3250</v>
      </c>
      <c r="J12" s="254">
        <f>ROUND(100/'数据-取费表'!G16,0)</f>
        <v>104</v>
      </c>
      <c r="K12" s="530"/>
      <c r="L12" s="2120"/>
      <c r="M12" s="2114"/>
      <c r="N12" s="2114"/>
      <c r="O12" s="2121"/>
      <c r="P12" s="3526"/>
      <c r="Q12" s="1145" t="str">
        <f t="shared" si="6"/>
        <v>土地使用年限（年）</v>
      </c>
      <c r="R12" s="1551" t="s">
        <v>8</v>
      </c>
      <c r="S12" s="1552">
        <f t="shared" si="0"/>
        <v>104</v>
      </c>
      <c r="T12" s="1551" t="s">
        <v>8</v>
      </c>
      <c r="U12" s="1552">
        <f t="shared" si="1"/>
        <v>104</v>
      </c>
      <c r="V12" s="1551" t="s">
        <v>8</v>
      </c>
      <c r="W12" s="1552">
        <f t="shared" si="2"/>
        <v>104</v>
      </c>
      <c r="X12" s="1553"/>
      <c r="Y12" s="3480"/>
      <c r="Z12" s="1144" t="str">
        <f t="shared" si="7"/>
        <v>土地使用年限（年）</v>
      </c>
      <c r="AA12" s="1554">
        <f t="shared" si="3"/>
        <v>0.96153846153846156</v>
      </c>
      <c r="AB12" s="1554">
        <f t="shared" si="4"/>
        <v>0.96153846153846156</v>
      </c>
      <c r="AC12" s="1554">
        <f t="shared" si="5"/>
        <v>0.96153846153846156</v>
      </c>
    </row>
    <row r="13" spans="1:30" ht="20.25">
      <c r="A13" s="2752"/>
      <c r="B13" s="2756" t="s">
        <v>2748</v>
      </c>
      <c r="C13" s="533">
        <v>1.87</v>
      </c>
      <c r="D13" s="254">
        <v>100</v>
      </c>
      <c r="E13" s="532">
        <v>1.8</v>
      </c>
      <c r="F13" s="254">
        <f>LOOKUP(E13,82:82,83:83)-LOOKUP(C13,82:82,83:83)+100</f>
        <v>100</v>
      </c>
      <c r="G13" s="533">
        <v>2</v>
      </c>
      <c r="H13" s="254">
        <f>LOOKUP(G13,82:82,83:83)-LOOKUP(C13,82:82,83:83)+100</f>
        <v>98</v>
      </c>
      <c r="I13" s="532">
        <v>2.1</v>
      </c>
      <c r="J13" s="254">
        <f>LOOKUP(I13,82:82,83:83)-LOOKUP(C13,82:82,83:83)+100</f>
        <v>98</v>
      </c>
      <c r="K13" s="534">
        <v>2</v>
      </c>
      <c r="L13" s="2122"/>
      <c r="M13" s="2114"/>
      <c r="N13" s="2114"/>
      <c r="O13" s="2123"/>
      <c r="P13" s="3526"/>
      <c r="Q13" s="1145" t="str">
        <f t="shared" si="6"/>
        <v>容积率</v>
      </c>
      <c r="R13" s="1551" t="s">
        <v>8</v>
      </c>
      <c r="S13" s="1552">
        <f t="shared" si="0"/>
        <v>100</v>
      </c>
      <c r="T13" s="1551" t="s">
        <v>8</v>
      </c>
      <c r="U13" s="1552">
        <f t="shared" si="1"/>
        <v>98</v>
      </c>
      <c r="V13" s="1551" t="s">
        <v>8</v>
      </c>
      <c r="W13" s="1552">
        <f t="shared" si="2"/>
        <v>98</v>
      </c>
      <c r="X13" s="1553"/>
      <c r="Y13" s="3480"/>
      <c r="Z13" s="1144" t="str">
        <f t="shared" si="7"/>
        <v>容积率</v>
      </c>
      <c r="AA13" s="1554">
        <f t="shared" si="3"/>
        <v>1</v>
      </c>
      <c r="AB13" s="1554">
        <f t="shared" si="4"/>
        <v>1.0204081632653061</v>
      </c>
      <c r="AC13" s="1554">
        <f t="shared" si="5"/>
        <v>1.0204081632653061</v>
      </c>
    </row>
    <row r="14" spans="1:30" s="1214" customFormat="1" ht="20.25">
      <c r="A14" s="2749"/>
      <c r="B14" s="2758" t="s">
        <v>2749</v>
      </c>
      <c r="C14" s="2745" t="s">
        <v>3265</v>
      </c>
      <c r="D14" s="537">
        <v>100</v>
      </c>
      <c r="E14" s="1368" t="s">
        <v>3266</v>
      </c>
      <c r="F14" s="254">
        <f>SUMIF(84:84,E14,85:85)-SUMIF(84:84,C14,85:85)+100</f>
        <v>110</v>
      </c>
      <c r="G14" s="3195" t="s">
        <v>3266</v>
      </c>
      <c r="H14" s="254">
        <f>SUMIF(84:84,G14,85:85)-SUMIF(84:84,C14,85:85)+100</f>
        <v>110</v>
      </c>
      <c r="I14" s="2745" t="s">
        <v>3308</v>
      </c>
      <c r="J14" s="254">
        <f>SUMIF(84:84,I14,85:85)-SUMIF(84:84,C14,85:85)+100</f>
        <v>100</v>
      </c>
      <c r="K14" s="530"/>
      <c r="L14" s="2117"/>
      <c r="M14" s="2114"/>
      <c r="N14" s="2114"/>
      <c r="O14" s="2119"/>
      <c r="P14" s="3526"/>
      <c r="Q14" s="1145" t="str">
        <f t="shared" si="6"/>
        <v>配建</v>
      </c>
      <c r="R14" s="1551" t="s">
        <v>8</v>
      </c>
      <c r="S14" s="1552">
        <f t="shared" si="0"/>
        <v>110</v>
      </c>
      <c r="T14" s="1551" t="s">
        <v>8</v>
      </c>
      <c r="U14" s="1552">
        <f t="shared" si="1"/>
        <v>110</v>
      </c>
      <c r="V14" s="1551" t="s">
        <v>8</v>
      </c>
      <c r="W14" s="1552">
        <f t="shared" si="2"/>
        <v>100</v>
      </c>
      <c r="X14" s="1553"/>
      <c r="Y14" s="3480"/>
      <c r="Z14" s="1144" t="str">
        <f t="shared" si="7"/>
        <v>配建</v>
      </c>
      <c r="AA14" s="1554">
        <f>D14/F14</f>
        <v>0.90909090909090906</v>
      </c>
      <c r="AB14" s="1554">
        <f>D14/H14</f>
        <v>0.90909090909090906</v>
      </c>
      <c r="AC14" s="1554">
        <f>D14/J14</f>
        <v>1</v>
      </c>
    </row>
    <row r="15" spans="1:30" ht="20.25">
      <c r="A15" s="2753"/>
      <c r="B15" s="3196" t="s">
        <v>3267</v>
      </c>
      <c r="C15" s="3197" t="s">
        <v>3266</v>
      </c>
      <c r="D15" s="539">
        <v>100</v>
      </c>
      <c r="E15" s="3197" t="s">
        <v>3266</v>
      </c>
      <c r="F15" s="254">
        <f>SUMIF(86:86,E15,87:87)-SUMIF(86:86,C15,87:87)+100</f>
        <v>100</v>
      </c>
      <c r="G15" s="3197" t="s">
        <v>3266</v>
      </c>
      <c r="H15" s="539">
        <f>SUMIF(86:86,G15,87:87)-SUMIF(86:86,C15,87:87)+100</f>
        <v>100</v>
      </c>
      <c r="I15" s="3198" t="s">
        <v>3309</v>
      </c>
      <c r="J15" s="539">
        <f>SUMIF(86:86,I15,87:87)-SUMIF(86:86,C15,87:87)+100</f>
        <v>95</v>
      </c>
      <c r="K15" s="530"/>
      <c r="L15" s="2124"/>
      <c r="M15" s="2114"/>
      <c r="N15" s="2114"/>
      <c r="O15" s="2123"/>
      <c r="P15" s="3526"/>
      <c r="Q15" s="1145" t="str">
        <f t="shared" si="6"/>
        <v>自持</v>
      </c>
      <c r="R15" s="1551" t="s">
        <v>8</v>
      </c>
      <c r="S15" s="1552">
        <f t="shared" si="0"/>
        <v>100</v>
      </c>
      <c r="T15" s="1551" t="s">
        <v>8</v>
      </c>
      <c r="U15" s="1552">
        <f t="shared" si="1"/>
        <v>100</v>
      </c>
      <c r="V15" s="1551" t="s">
        <v>8</v>
      </c>
      <c r="W15" s="1552">
        <f t="shared" si="2"/>
        <v>95</v>
      </c>
      <c r="X15" s="1553"/>
      <c r="Y15" s="3480"/>
      <c r="Z15" s="1144" t="str">
        <f t="shared" si="7"/>
        <v>自持</v>
      </c>
      <c r="AA15" s="1554">
        <f>D15/F15</f>
        <v>1</v>
      </c>
      <c r="AB15" s="1554">
        <f>D15/H15</f>
        <v>1</v>
      </c>
      <c r="AC15" s="1554">
        <f>D15/J15</f>
        <v>1.0526315789473684</v>
      </c>
    </row>
    <row r="16" spans="1:30" ht="21" thickBot="1">
      <c r="A16" s="2754"/>
      <c r="B16" s="2760">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526"/>
      <c r="Q16" s="1145">
        <f t="shared" si="6"/>
        <v>111</v>
      </c>
      <c r="R16" s="1551" t="s">
        <v>8</v>
      </c>
      <c r="S16" s="1552">
        <f t="shared" si="0"/>
        <v>100</v>
      </c>
      <c r="T16" s="1551" t="s">
        <v>8</v>
      </c>
      <c r="U16" s="1552">
        <f t="shared" si="1"/>
        <v>100</v>
      </c>
      <c r="V16" s="1551" t="s">
        <v>8</v>
      </c>
      <c r="W16" s="1552">
        <f t="shared" si="2"/>
        <v>100</v>
      </c>
      <c r="X16" s="1553"/>
      <c r="Y16" s="3480"/>
      <c r="Z16" s="1144">
        <f t="shared" si="7"/>
        <v>111</v>
      </c>
      <c r="AA16" s="1554">
        <f>D16/F16</f>
        <v>1</v>
      </c>
      <c r="AB16" s="1554">
        <f>D16/H16</f>
        <v>1</v>
      </c>
      <c r="AC16" s="1554">
        <f>D16/J16</f>
        <v>1</v>
      </c>
    </row>
    <row r="17" spans="1:29" ht="99.75">
      <c r="A17" s="2746" t="s">
        <v>2744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98</v>
      </c>
      <c r="I17" s="551"/>
      <c r="J17" s="548">
        <f>SUMIF(90:90,I18,91:91)-SUMIF(90:90,C18,91:91)+100</f>
        <v>100</v>
      </c>
      <c r="K17" s="534">
        <v>2</v>
      </c>
      <c r="L17" s="2124"/>
      <c r="M17" s="2114"/>
      <c r="N17" s="2114"/>
      <c r="O17" s="2123"/>
      <c r="P17" s="3528" t="s">
        <v>540</v>
      </c>
      <c r="Q17" s="1555" t="str">
        <f t="shared" si="6"/>
        <v>居住社区成熟度</v>
      </c>
      <c r="R17" s="1556" t="s">
        <v>8</v>
      </c>
      <c r="S17" s="1557">
        <f t="shared" si="0"/>
        <v>100</v>
      </c>
      <c r="T17" s="1556" t="s">
        <v>8</v>
      </c>
      <c r="U17" s="1557">
        <f t="shared" si="1"/>
        <v>98</v>
      </c>
      <c r="V17" s="1556" t="s">
        <v>8</v>
      </c>
      <c r="W17" s="1557">
        <f t="shared" si="2"/>
        <v>100</v>
      </c>
      <c r="X17" s="1550"/>
      <c r="Y17" s="3528" t="s">
        <v>540</v>
      </c>
      <c r="Z17" s="1558" t="str">
        <f t="shared" si="7"/>
        <v>居住社区成熟度</v>
      </c>
      <c r="AA17" s="1559">
        <f t="shared" si="3"/>
        <v>1</v>
      </c>
      <c r="AB17" s="1559">
        <f t="shared" si="4"/>
        <v>1.0204081632653061</v>
      </c>
      <c r="AC17" s="1559">
        <f t="shared" si="5"/>
        <v>1</v>
      </c>
    </row>
    <row r="18" spans="1:29" ht="20.25">
      <c r="A18" s="531"/>
      <c r="B18" s="552"/>
      <c r="C18" s="553" t="s">
        <v>3252</v>
      </c>
      <c r="D18" s="556"/>
      <c r="E18" s="557" t="s">
        <v>3252</v>
      </c>
      <c r="F18" s="554"/>
      <c r="G18" s="555" t="s">
        <v>3281</v>
      </c>
      <c r="H18" s="558"/>
      <c r="I18" s="557" t="s">
        <v>3252</v>
      </c>
      <c r="J18" s="554"/>
      <c r="K18" s="530"/>
      <c r="L18" s="2124"/>
      <c r="M18" s="2114"/>
      <c r="N18" s="2114"/>
      <c r="O18" s="2123"/>
      <c r="P18" s="3529"/>
      <c r="Q18" s="1555"/>
      <c r="R18" s="1556"/>
      <c r="S18" s="1557"/>
      <c r="T18" s="1556"/>
      <c r="U18" s="1557"/>
      <c r="V18" s="1556"/>
      <c r="W18" s="1557"/>
      <c r="X18" s="1550"/>
      <c r="Y18" s="3529"/>
      <c r="Z18" s="1558"/>
      <c r="AA18" s="1559">
        <v>1</v>
      </c>
      <c r="AB18" s="1559">
        <v>1</v>
      </c>
      <c r="AC18" s="1559">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98</v>
      </c>
      <c r="I19" s="563"/>
      <c r="J19" s="564">
        <f>SUMIF(92:92,I20,93:93)-SUMIF(92:92,C20,93:93)+100</f>
        <v>100</v>
      </c>
      <c r="K19" s="534">
        <v>2</v>
      </c>
      <c r="L19" s="2124"/>
      <c r="M19" s="2114"/>
      <c r="N19" s="2114"/>
      <c r="O19" s="2123"/>
      <c r="P19" s="3529"/>
      <c r="Q19" s="1555" t="str">
        <f>B19</f>
        <v>商业繁华度</v>
      </c>
      <c r="R19" s="1556" t="s">
        <v>8</v>
      </c>
      <c r="S19" s="1557">
        <f>F19</f>
        <v>100</v>
      </c>
      <c r="T19" s="1556" t="s">
        <v>8</v>
      </c>
      <c r="U19" s="1557">
        <f>H19</f>
        <v>98</v>
      </c>
      <c r="V19" s="1556" t="s">
        <v>8</v>
      </c>
      <c r="W19" s="1557">
        <f>J19</f>
        <v>100</v>
      </c>
      <c r="X19" s="1550"/>
      <c r="Y19" s="3529"/>
      <c r="Z19" s="1558" t="str">
        <f>Q19</f>
        <v>商业繁华度</v>
      </c>
      <c r="AA19" s="1559">
        <f t="shared" si="3"/>
        <v>1</v>
      </c>
      <c r="AB19" s="1559">
        <f t="shared" si="4"/>
        <v>1.0204081632653061</v>
      </c>
      <c r="AC19" s="1559">
        <f t="shared" si="5"/>
        <v>1</v>
      </c>
    </row>
    <row r="20" spans="1:29" ht="20.25">
      <c r="A20" s="531"/>
      <c r="B20" s="565"/>
      <c r="C20" s="566" t="s">
        <v>3252</v>
      </c>
      <c r="D20" s="562"/>
      <c r="E20" s="568" t="s">
        <v>3252</v>
      </c>
      <c r="F20" s="558"/>
      <c r="G20" s="567" t="s">
        <v>3281</v>
      </c>
      <c r="H20" s="554"/>
      <c r="I20" s="568" t="s">
        <v>3252</v>
      </c>
      <c r="J20" s="554"/>
      <c r="K20" s="530"/>
      <c r="L20" s="2124"/>
      <c r="M20" s="2114"/>
      <c r="N20" s="2114"/>
      <c r="O20" s="2123"/>
      <c r="P20" s="3529"/>
      <c r="Q20" s="1555"/>
      <c r="R20" s="1556"/>
      <c r="S20" s="1557"/>
      <c r="T20" s="1556"/>
      <c r="U20" s="1557"/>
      <c r="V20" s="1556"/>
      <c r="W20" s="1557"/>
      <c r="X20" s="1550"/>
      <c r="Y20" s="3529"/>
      <c r="Z20" s="1558"/>
      <c r="AA20" s="1559">
        <v>1</v>
      </c>
      <c r="AB20" s="1559">
        <v>1</v>
      </c>
      <c r="AC20" s="1559">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98</v>
      </c>
      <c r="G21" s="569"/>
      <c r="H21" s="558">
        <f>SUMIF(94:94,G22,95:95)-SUMIF(94:94,C22,95:95)+100</f>
        <v>98</v>
      </c>
      <c r="I21" s="571"/>
      <c r="J21" s="558">
        <f>SUMIF(94:94,I22,95:95)-SUMIF(94:94,C22,95:95)+100</f>
        <v>100</v>
      </c>
      <c r="K21" s="534">
        <v>2</v>
      </c>
      <c r="L21" s="2124"/>
      <c r="M21" s="2114"/>
      <c r="N21" s="2114"/>
      <c r="O21" s="2123"/>
      <c r="P21" s="3529"/>
      <c r="Q21" s="1555" t="str">
        <f>B21</f>
        <v>办公集聚程度</v>
      </c>
      <c r="R21" s="1556" t="s">
        <v>8</v>
      </c>
      <c r="S21" s="1557">
        <f>F21</f>
        <v>98</v>
      </c>
      <c r="T21" s="1556" t="s">
        <v>8</v>
      </c>
      <c r="U21" s="1557">
        <f>H21</f>
        <v>98</v>
      </c>
      <c r="V21" s="1556" t="s">
        <v>8</v>
      </c>
      <c r="W21" s="1557">
        <f>J21</f>
        <v>100</v>
      </c>
      <c r="X21" s="1550"/>
      <c r="Y21" s="3529"/>
      <c r="Z21" s="1558" t="str">
        <f>Q21</f>
        <v>办公集聚程度</v>
      </c>
      <c r="AA21" s="1559">
        <f t="shared" si="3"/>
        <v>1.0204081632653061</v>
      </c>
      <c r="AB21" s="1559">
        <f t="shared" si="4"/>
        <v>1.0204081632653061</v>
      </c>
      <c r="AC21" s="1559">
        <f t="shared" si="5"/>
        <v>1</v>
      </c>
    </row>
    <row r="22" spans="1:29" ht="20.25">
      <c r="A22" s="531"/>
      <c r="B22" s="565"/>
      <c r="C22" s="553" t="s">
        <v>3252</v>
      </c>
      <c r="D22" s="556"/>
      <c r="E22" s="557" t="s">
        <v>3281</v>
      </c>
      <c r="F22" s="554"/>
      <c r="G22" s="555" t="s">
        <v>3281</v>
      </c>
      <c r="H22" s="554"/>
      <c r="I22" s="557" t="s">
        <v>3252</v>
      </c>
      <c r="J22" s="554"/>
      <c r="K22" s="530"/>
      <c r="L22" s="2124"/>
      <c r="M22" s="2114"/>
      <c r="N22" s="2114"/>
      <c r="O22" s="2123"/>
      <c r="P22" s="3529"/>
      <c r="Q22" s="1555"/>
      <c r="R22" s="1556"/>
      <c r="S22" s="1557"/>
      <c r="T22" s="1556"/>
      <c r="U22" s="1557"/>
      <c r="V22" s="1556"/>
      <c r="W22" s="1557"/>
      <c r="X22" s="1550"/>
      <c r="Y22" s="3529"/>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529"/>
      <c r="Q23" s="1555" t="str">
        <f>B23</f>
        <v>交通便捷度</v>
      </c>
      <c r="R23" s="1556" t="s">
        <v>8</v>
      </c>
      <c r="S23" s="1557">
        <f>F23</f>
        <v>100</v>
      </c>
      <c r="T23" s="1556" t="s">
        <v>8</v>
      </c>
      <c r="U23" s="1557">
        <f>H23</f>
        <v>100</v>
      </c>
      <c r="V23" s="1556" t="s">
        <v>8</v>
      </c>
      <c r="W23" s="1557">
        <f>J23</f>
        <v>100</v>
      </c>
      <c r="X23" s="1550"/>
      <c r="Y23" s="3529"/>
      <c r="Z23" s="1558" t="str">
        <f>Q23</f>
        <v>交通便捷度</v>
      </c>
      <c r="AA23" s="1559">
        <f t="shared" si="3"/>
        <v>1</v>
      </c>
      <c r="AB23" s="1559">
        <f t="shared" si="4"/>
        <v>1</v>
      </c>
      <c r="AC23" s="1559">
        <f t="shared" si="5"/>
        <v>1</v>
      </c>
    </row>
    <row r="24" spans="1:29" ht="20.25">
      <c r="A24" s="531"/>
      <c r="B24" s="577"/>
      <c r="C24" s="553" t="s">
        <v>3281</v>
      </c>
      <c r="D24" s="556"/>
      <c r="E24" s="557" t="s">
        <v>3281</v>
      </c>
      <c r="F24" s="554"/>
      <c r="G24" s="555" t="s">
        <v>3281</v>
      </c>
      <c r="H24" s="554"/>
      <c r="I24" s="557" t="s">
        <v>3281</v>
      </c>
      <c r="J24" s="554"/>
      <c r="K24" s="530"/>
      <c r="L24" s="2124"/>
      <c r="M24" s="2114"/>
      <c r="N24" s="2114"/>
      <c r="O24" s="2123"/>
      <c r="P24" s="3529"/>
      <c r="Q24" s="1555"/>
      <c r="R24" s="1556"/>
      <c r="S24" s="1557"/>
      <c r="T24" s="1556"/>
      <c r="U24" s="1557"/>
      <c r="V24" s="1556"/>
      <c r="W24" s="1557"/>
      <c r="X24" s="1550"/>
      <c r="Y24" s="3529"/>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529"/>
      <c r="Q25" s="1555" t="str">
        <f t="shared" ref="Q25:Q39" si="8">B25</f>
        <v>区域土地利用方向</v>
      </c>
      <c r="R25" s="1556" t="s">
        <v>8</v>
      </c>
      <c r="S25" s="1557">
        <f>F25</f>
        <v>100</v>
      </c>
      <c r="T25" s="1556" t="s">
        <v>8</v>
      </c>
      <c r="U25" s="1557">
        <f>H25</f>
        <v>100</v>
      </c>
      <c r="V25" s="1556" t="s">
        <v>8</v>
      </c>
      <c r="W25" s="1557">
        <f>J25</f>
        <v>100</v>
      </c>
      <c r="X25" s="1550"/>
      <c r="Y25" s="3529"/>
      <c r="Z25" s="1558" t="str">
        <f>Q25</f>
        <v>区域土地利用方向</v>
      </c>
      <c r="AA25" s="1559">
        <f t="shared" si="3"/>
        <v>1</v>
      </c>
      <c r="AB25" s="1559">
        <f t="shared" si="4"/>
        <v>1</v>
      </c>
      <c r="AC25" s="1559">
        <f t="shared" si="5"/>
        <v>1</v>
      </c>
    </row>
    <row r="26" spans="1:29" ht="20.25">
      <c r="A26" s="514"/>
      <c r="B26" s="1005"/>
      <c r="C26" s="553" t="s">
        <v>3252</v>
      </c>
      <c r="D26" s="556"/>
      <c r="E26" s="557" t="s">
        <v>3252</v>
      </c>
      <c r="F26" s="554"/>
      <c r="G26" s="555" t="s">
        <v>3252</v>
      </c>
      <c r="H26" s="554"/>
      <c r="I26" s="557" t="s">
        <v>3252</v>
      </c>
      <c r="J26" s="554"/>
      <c r="K26" s="530"/>
      <c r="L26" s="2124"/>
      <c r="M26" s="2114"/>
      <c r="N26" s="2114"/>
      <c r="O26" s="2123"/>
      <c r="P26" s="3529"/>
      <c r="Q26" s="1555"/>
      <c r="R26" s="1556"/>
      <c r="S26" s="1557"/>
      <c r="T26" s="1556"/>
      <c r="U26" s="1557"/>
      <c r="V26" s="1556"/>
      <c r="W26" s="1557"/>
      <c r="X26" s="1550"/>
      <c r="Y26" s="3529"/>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102</v>
      </c>
      <c r="I27" s="563"/>
      <c r="J27" s="558">
        <f>SUMIF(100:100,I28,101:101)-SUMIF(100:100,C28,101:101)+100</f>
        <v>100</v>
      </c>
      <c r="K27" s="534">
        <v>2</v>
      </c>
      <c r="L27" s="2124"/>
      <c r="M27" s="2114"/>
      <c r="N27" s="2114"/>
      <c r="O27" s="2123"/>
      <c r="P27" s="3529"/>
      <c r="Q27" s="1555" t="str">
        <f t="shared" si="8"/>
        <v>自然及人文环境状况</v>
      </c>
      <c r="R27" s="1556" t="s">
        <v>8</v>
      </c>
      <c r="S27" s="1557">
        <f>F27</f>
        <v>102</v>
      </c>
      <c r="T27" s="1556" t="s">
        <v>8</v>
      </c>
      <c r="U27" s="1557">
        <f>H27</f>
        <v>102</v>
      </c>
      <c r="V27" s="1556" t="s">
        <v>8</v>
      </c>
      <c r="W27" s="1557">
        <f>J27</f>
        <v>100</v>
      </c>
      <c r="X27" s="1550"/>
      <c r="Y27" s="3529"/>
      <c r="Z27" s="1558" t="str">
        <f>Q27</f>
        <v>自然及人文环境状况</v>
      </c>
      <c r="AA27" s="1559">
        <f t="shared" si="3"/>
        <v>0.98039215686274506</v>
      </c>
      <c r="AB27" s="1559">
        <f t="shared" si="4"/>
        <v>0.98039215686274506</v>
      </c>
      <c r="AC27" s="1559">
        <f t="shared" si="5"/>
        <v>1</v>
      </c>
    </row>
    <row r="28" spans="1:29" ht="20.25">
      <c r="A28" s="514"/>
      <c r="B28" s="565"/>
      <c r="C28" s="553" t="s">
        <v>3281</v>
      </c>
      <c r="D28" s="556"/>
      <c r="E28" s="575" t="s">
        <v>3252</v>
      </c>
      <c r="F28" s="554"/>
      <c r="G28" s="553" t="s">
        <v>3252</v>
      </c>
      <c r="H28" s="554"/>
      <c r="I28" s="575" t="s">
        <v>3281</v>
      </c>
      <c r="J28" s="554"/>
      <c r="K28" s="530"/>
      <c r="L28" s="2124"/>
      <c r="M28" s="2114"/>
      <c r="N28" s="2114"/>
      <c r="O28" s="2123"/>
      <c r="P28" s="3529"/>
      <c r="Q28" s="1555"/>
      <c r="R28" s="1556"/>
      <c r="S28" s="1557"/>
      <c r="T28" s="1556"/>
      <c r="U28" s="1557"/>
      <c r="V28" s="1556"/>
      <c r="W28" s="1557"/>
      <c r="X28" s="1550"/>
      <c r="Y28" s="3529"/>
      <c r="Z28" s="1558"/>
      <c r="AA28" s="1559">
        <v>1</v>
      </c>
      <c r="AB28" s="1559">
        <v>1</v>
      </c>
      <c r="AC28" s="1559">
        <v>1</v>
      </c>
    </row>
    <row r="29" spans="1:29" s="1214" customFormat="1" ht="42.75">
      <c r="A29" s="576"/>
      <c r="B29" s="2552" t="s">
        <v>2539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98</v>
      </c>
      <c r="I29" s="563"/>
      <c r="J29" s="558">
        <f>SUMIF(102:102,I30,103:103)-SUMIF(102:102,C30,103:103)+100</f>
        <v>100</v>
      </c>
      <c r="K29" s="534">
        <v>2</v>
      </c>
      <c r="L29" s="2117"/>
      <c r="M29" s="2114"/>
      <c r="N29" s="2114"/>
      <c r="O29" s="2119"/>
      <c r="P29" s="3529"/>
      <c r="Q29" s="1145" t="str">
        <f t="shared" si="8"/>
        <v>公共配套设施</v>
      </c>
      <c r="R29" s="1551" t="s">
        <v>8</v>
      </c>
      <c r="S29" s="1552">
        <f>F29</f>
        <v>100</v>
      </c>
      <c r="T29" s="1551" t="s">
        <v>8</v>
      </c>
      <c r="U29" s="1552">
        <f>H29</f>
        <v>98</v>
      </c>
      <c r="V29" s="1551" t="s">
        <v>8</v>
      </c>
      <c r="W29" s="1552">
        <f>J29</f>
        <v>100</v>
      </c>
      <c r="X29" s="1553"/>
      <c r="Y29" s="3529"/>
      <c r="Z29" s="1144" t="str">
        <f>Q29</f>
        <v>公共配套设施</v>
      </c>
      <c r="AA29" s="1559">
        <f>D29/F29</f>
        <v>1</v>
      </c>
      <c r="AB29" s="1559">
        <f>D29/H29</f>
        <v>1.0204081632653061</v>
      </c>
      <c r="AC29" s="1559">
        <f>D29/J29</f>
        <v>1</v>
      </c>
    </row>
    <row r="30" spans="1:29" s="1214" customFormat="1" ht="20.25">
      <c r="A30" s="576"/>
      <c r="B30" s="565"/>
      <c r="C30" s="578" t="s">
        <v>3252</v>
      </c>
      <c r="D30" s="556"/>
      <c r="E30" s="575" t="s">
        <v>3252</v>
      </c>
      <c r="F30" s="554"/>
      <c r="G30" s="553" t="s">
        <v>3281</v>
      </c>
      <c r="H30" s="554"/>
      <c r="I30" s="575" t="s">
        <v>3252</v>
      </c>
      <c r="J30" s="554"/>
      <c r="K30" s="530"/>
      <c r="L30" s="2117"/>
      <c r="M30" s="2114"/>
      <c r="N30" s="2114"/>
      <c r="O30" s="2119"/>
      <c r="P30" s="3529"/>
      <c r="Q30" s="1145"/>
      <c r="R30" s="1551"/>
      <c r="S30" s="1552"/>
      <c r="T30" s="1551"/>
      <c r="U30" s="1552"/>
      <c r="V30" s="1551"/>
      <c r="W30" s="1552"/>
      <c r="X30" s="1553"/>
      <c r="Y30" s="3529"/>
      <c r="Z30" s="1144"/>
      <c r="AA30" s="1559">
        <v>1</v>
      </c>
      <c r="AB30" s="1559">
        <v>1</v>
      </c>
      <c r="AC30" s="1559">
        <v>1</v>
      </c>
    </row>
    <row r="31" spans="1:29" s="1214" customFormat="1" ht="28.5">
      <c r="A31" s="576"/>
      <c r="B31" s="2552" t="s">
        <v>2540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529"/>
      <c r="Q31" s="2539" t="str">
        <f t="shared" ref="Q31" si="9">B31</f>
        <v>基础设施水平</v>
      </c>
      <c r="R31" s="1551" t="s">
        <v>8</v>
      </c>
      <c r="S31" s="1552">
        <f>F31</f>
        <v>100</v>
      </c>
      <c r="T31" s="1551" t="s">
        <v>8</v>
      </c>
      <c r="U31" s="1552">
        <f>H31</f>
        <v>100</v>
      </c>
      <c r="V31" s="1551" t="s">
        <v>8</v>
      </c>
      <c r="W31" s="1552">
        <f>J31</f>
        <v>100</v>
      </c>
      <c r="X31" s="1553"/>
      <c r="Y31" s="3529"/>
      <c r="Z31" s="2536" t="str">
        <f>Q31</f>
        <v>基础设施水平</v>
      </c>
      <c r="AA31" s="1559">
        <f>D31/F31</f>
        <v>1</v>
      </c>
      <c r="AB31" s="1559">
        <f>D31/H31</f>
        <v>1</v>
      </c>
      <c r="AC31" s="1559">
        <f>D31/J31</f>
        <v>1</v>
      </c>
    </row>
    <row r="32" spans="1:29" s="1214" customFormat="1" ht="20.25">
      <c r="A32" s="576"/>
      <c r="B32" s="565"/>
      <c r="C32" s="578" t="s">
        <v>3254</v>
      </c>
      <c r="D32" s="556"/>
      <c r="E32" s="2553" t="s">
        <v>3254</v>
      </c>
      <c r="F32" s="554"/>
      <c r="G32" s="578" t="s">
        <v>3254</v>
      </c>
      <c r="H32" s="554"/>
      <c r="I32" s="578" t="s">
        <v>3254</v>
      </c>
      <c r="J32" s="554"/>
      <c r="K32" s="530"/>
      <c r="L32" s="2117"/>
      <c r="M32" s="2114"/>
      <c r="N32" s="2114"/>
      <c r="O32" s="2119"/>
      <c r="P32" s="3529"/>
      <c r="Q32" s="2539"/>
      <c r="R32" s="1551"/>
      <c r="S32" s="1552"/>
      <c r="T32" s="1551"/>
      <c r="U32" s="1552"/>
      <c r="V32" s="1551"/>
      <c r="W32" s="1552"/>
      <c r="X32" s="1553"/>
      <c r="Y32" s="3529"/>
      <c r="Z32" s="2536"/>
      <c r="AA32" s="1559">
        <v>1</v>
      </c>
      <c r="AB32" s="1559">
        <v>1</v>
      </c>
      <c r="AC32" s="1559">
        <v>1</v>
      </c>
    </row>
    <row r="33" spans="1:29" ht="20.25">
      <c r="A33" s="531"/>
      <c r="B33" s="565" t="s">
        <v>547</v>
      </c>
      <c r="C33" s="579" t="s">
        <v>3312</v>
      </c>
      <c r="D33" s="574">
        <v>100</v>
      </c>
      <c r="E33" s="582" t="s">
        <v>3311</v>
      </c>
      <c r="F33" s="539">
        <f>SUMIF(106:106,E33,107:107)-SUMIF(106:106,C33,107:107)+100</f>
        <v>96</v>
      </c>
      <c r="G33" s="579" t="s">
        <v>3310</v>
      </c>
      <c r="H33" s="539">
        <f>SUMIF(106:106,G33,107:107)-SUMIF(106:106,C33,107:107)+100</f>
        <v>98</v>
      </c>
      <c r="I33" s="579" t="s">
        <v>3311</v>
      </c>
      <c r="J33" s="539">
        <f>SUMIF(106:106,I33,107:107)-SUMIF(106:106,C33,107:107)+100</f>
        <v>96</v>
      </c>
      <c r="K33" s="534">
        <v>2</v>
      </c>
      <c r="L33" s="2124"/>
      <c r="M33" s="2114"/>
      <c r="N33" s="2114"/>
      <c r="O33" s="2123"/>
      <c r="P33" s="3529"/>
      <c r="Q33" s="1555" t="str">
        <f t="shared" si="8"/>
        <v>临街状况</v>
      </c>
      <c r="R33" s="1556" t="s">
        <v>8</v>
      </c>
      <c r="S33" s="1557">
        <f t="shared" ref="S33:S47" si="10">F33</f>
        <v>96</v>
      </c>
      <c r="T33" s="1556" t="s">
        <v>8</v>
      </c>
      <c r="U33" s="1557">
        <f t="shared" ref="U33:U47" si="11">H33</f>
        <v>98</v>
      </c>
      <c r="V33" s="1556" t="s">
        <v>8</v>
      </c>
      <c r="W33" s="1557">
        <f t="shared" ref="W33:W47" si="12">J33</f>
        <v>96</v>
      </c>
      <c r="X33" s="1550"/>
      <c r="Y33" s="3529"/>
      <c r="Z33" s="1558" t="str">
        <f t="shared" ref="Z33:Z47" si="13">Q33</f>
        <v>临街状况</v>
      </c>
      <c r="AA33" s="1559">
        <f t="shared" si="3"/>
        <v>1.0416666666666667</v>
      </c>
      <c r="AB33" s="1559">
        <f t="shared" si="4"/>
        <v>1.0204081632653061</v>
      </c>
      <c r="AC33" s="1559">
        <f t="shared" si="5"/>
        <v>1.0416666666666667</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529"/>
      <c r="Q34" s="1555" t="str">
        <f t="shared" si="8"/>
        <v>毗邻道路的类型与等级</v>
      </c>
      <c r="R34" s="1556" t="s">
        <v>8</v>
      </c>
      <c r="S34" s="1557">
        <f t="shared" si="10"/>
        <v>100</v>
      </c>
      <c r="T34" s="1556" t="s">
        <v>8</v>
      </c>
      <c r="U34" s="1557">
        <f t="shared" si="11"/>
        <v>100</v>
      </c>
      <c r="V34" s="1556" t="s">
        <v>8</v>
      </c>
      <c r="W34" s="1557">
        <f t="shared" si="12"/>
        <v>100</v>
      </c>
      <c r="X34" s="1550"/>
      <c r="Y34" s="3529"/>
      <c r="Z34" s="1558" t="str">
        <f t="shared" si="13"/>
        <v>毗邻道路的类型与等级</v>
      </c>
      <c r="AA34" s="1559">
        <f t="shared" si="3"/>
        <v>1</v>
      </c>
      <c r="AB34" s="1559">
        <f t="shared" si="4"/>
        <v>1</v>
      </c>
      <c r="AC34" s="1559">
        <f t="shared" si="5"/>
        <v>1</v>
      </c>
    </row>
    <row r="35" spans="1:29" ht="20.25">
      <c r="A35" s="531"/>
      <c r="B35" s="565"/>
      <c r="C35" s="553"/>
      <c r="D35" s="556"/>
      <c r="E35" s="575"/>
      <c r="F35" s="554"/>
      <c r="G35" s="553"/>
      <c r="H35" s="554"/>
      <c r="I35" s="575"/>
      <c r="J35" s="554"/>
      <c r="K35" s="580"/>
      <c r="L35" s="2124"/>
      <c r="M35" s="2114"/>
      <c r="N35" s="2114"/>
      <c r="O35" s="2123"/>
      <c r="P35" s="3529"/>
      <c r="Q35" s="1555"/>
      <c r="R35" s="1556"/>
      <c r="S35" s="1557"/>
      <c r="T35" s="1556"/>
      <c r="U35" s="1557"/>
      <c r="V35" s="1556"/>
      <c r="W35" s="1557"/>
      <c r="X35" s="1550"/>
      <c r="Y35" s="3529"/>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529"/>
      <c r="Q36" s="1555" t="str">
        <f t="shared" si="8"/>
        <v>土地级别</v>
      </c>
      <c r="R36" s="1556" t="s">
        <v>8</v>
      </c>
      <c r="S36" s="1557">
        <f t="shared" si="10"/>
        <v>100</v>
      </c>
      <c r="T36" s="1556" t="s">
        <v>8</v>
      </c>
      <c r="U36" s="1557">
        <f t="shared" si="11"/>
        <v>100</v>
      </c>
      <c r="V36" s="1556" t="s">
        <v>8</v>
      </c>
      <c r="W36" s="1557">
        <f t="shared" si="12"/>
        <v>100</v>
      </c>
      <c r="X36" s="1550"/>
      <c r="Y36" s="3529"/>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529"/>
      <c r="Q37" s="1555">
        <f t="shared" si="8"/>
        <v>111</v>
      </c>
      <c r="R37" s="1556" t="s">
        <v>8</v>
      </c>
      <c r="S37" s="1557">
        <f t="shared" si="10"/>
        <v>100</v>
      </c>
      <c r="T37" s="1556" t="s">
        <v>8</v>
      </c>
      <c r="U37" s="1557">
        <f t="shared" si="11"/>
        <v>100</v>
      </c>
      <c r="V37" s="1556" t="s">
        <v>8</v>
      </c>
      <c r="W37" s="1557">
        <f t="shared" si="12"/>
        <v>100</v>
      </c>
      <c r="X37" s="1550"/>
      <c r="Y37" s="3529"/>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530" t="s">
        <v>550</v>
      </c>
      <c r="Q38" s="1555">
        <f t="shared" si="8"/>
        <v>111</v>
      </c>
      <c r="R38" s="1556" t="s">
        <v>8</v>
      </c>
      <c r="S38" s="1557">
        <f t="shared" si="10"/>
        <v>100</v>
      </c>
      <c r="T38" s="1556" t="s">
        <v>8</v>
      </c>
      <c r="U38" s="1557">
        <f t="shared" si="11"/>
        <v>100</v>
      </c>
      <c r="V38" s="1556" t="s">
        <v>8</v>
      </c>
      <c r="W38" s="1557">
        <f t="shared" si="12"/>
        <v>100</v>
      </c>
      <c r="X38" s="1550"/>
      <c r="Y38" s="3531" t="s">
        <v>550</v>
      </c>
      <c r="Z38" s="1558">
        <f t="shared" si="13"/>
        <v>111</v>
      </c>
      <c r="AA38" s="1559">
        <f t="shared" si="3"/>
        <v>1</v>
      </c>
      <c r="AB38" s="1559">
        <f t="shared" si="4"/>
        <v>1</v>
      </c>
      <c r="AC38" s="1559">
        <f t="shared" si="5"/>
        <v>1</v>
      </c>
    </row>
    <row r="39" spans="1:29" s="1333"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531"/>
      <c r="Q39" s="1555">
        <f t="shared" si="8"/>
        <v>111</v>
      </c>
      <c r="R39" s="1560" t="s">
        <v>8</v>
      </c>
      <c r="S39" s="1561">
        <f t="shared" si="10"/>
        <v>100</v>
      </c>
      <c r="T39" s="1560" t="s">
        <v>8</v>
      </c>
      <c r="U39" s="1561">
        <f t="shared" si="11"/>
        <v>100</v>
      </c>
      <c r="V39" s="1560" t="s">
        <v>8</v>
      </c>
      <c r="W39" s="1561">
        <f t="shared" si="12"/>
        <v>100</v>
      </c>
      <c r="X39" s="1562"/>
      <c r="Y39" s="3531"/>
      <c r="Z39" s="1563">
        <f t="shared" si="13"/>
        <v>111</v>
      </c>
      <c r="AA39" s="1559">
        <f t="shared" si="3"/>
        <v>1</v>
      </c>
      <c r="AB39" s="1559">
        <f t="shared" si="4"/>
        <v>1</v>
      </c>
      <c r="AC39" s="1559">
        <f t="shared" si="5"/>
        <v>1</v>
      </c>
    </row>
    <row r="40" spans="1:29" ht="20.25">
      <c r="A40" s="2743" t="s">
        <v>2745</v>
      </c>
      <c r="B40" s="594" t="s">
        <v>552</v>
      </c>
      <c r="C40" s="595">
        <f>'数据-基础表'!A3</f>
        <v>177193.01</v>
      </c>
      <c r="D40" s="596">
        <v>100</v>
      </c>
      <c r="E40" s="595">
        <f>最新土地案例!D9</f>
        <v>34307</v>
      </c>
      <c r="F40" s="596">
        <f>LOOKUP(E40,119:119,120:120)-LOOKUP(C40,119:119,120:120)+100</f>
        <v>99</v>
      </c>
      <c r="G40" s="595">
        <f>最新土地案例!D13</f>
        <v>68563</v>
      </c>
      <c r="H40" s="596">
        <f>LOOKUP(G40,119:119,120:120)-LOOKUP(C40,119:119,120:120)+100</f>
        <v>99</v>
      </c>
      <c r="I40" s="597">
        <f>最新土地案例!D26</f>
        <v>176055</v>
      </c>
      <c r="J40" s="596">
        <f>LOOKUP(I40,119:119,120:120)-LOOKUP(C40,119:119,120:120)+100</f>
        <v>100</v>
      </c>
      <c r="K40" s="580"/>
      <c r="L40" s="2124"/>
      <c r="M40" s="2114"/>
      <c r="N40" s="2114"/>
      <c r="O40" s="2123"/>
      <c r="P40" s="3531"/>
      <c r="Q40" s="1555" t="str">
        <f>B40</f>
        <v>宗地面积</v>
      </c>
      <c r="R40" s="1556" t="s">
        <v>8</v>
      </c>
      <c r="S40" s="1557">
        <f t="shared" si="10"/>
        <v>99</v>
      </c>
      <c r="T40" s="1556" t="s">
        <v>8</v>
      </c>
      <c r="U40" s="1557">
        <f t="shared" si="11"/>
        <v>99</v>
      </c>
      <c r="V40" s="1556" t="s">
        <v>8</v>
      </c>
      <c r="W40" s="1557">
        <f t="shared" si="12"/>
        <v>100</v>
      </c>
      <c r="X40" s="1550"/>
      <c r="Y40" s="3531"/>
      <c r="Z40" s="1558" t="str">
        <f t="shared" si="13"/>
        <v>宗地面积</v>
      </c>
      <c r="AA40" s="1559">
        <f t="shared" si="3"/>
        <v>1.0101010101010102</v>
      </c>
      <c r="AB40" s="1559">
        <f t="shared" si="4"/>
        <v>1.0101010101010102</v>
      </c>
      <c r="AC40" s="1559">
        <f t="shared" si="5"/>
        <v>1</v>
      </c>
    </row>
    <row r="41" spans="1:29" ht="20.25">
      <c r="A41" s="593"/>
      <c r="B41" s="526" t="s">
        <v>553</v>
      </c>
      <c r="C41" s="598" t="s">
        <v>3260</v>
      </c>
      <c r="D41" s="539">
        <v>100</v>
      </c>
      <c r="E41" s="598" t="s">
        <v>3307</v>
      </c>
      <c r="F41" s="539">
        <f>SUMIF(121:121,E41,122:122)-SUMIF(121:121,C41,122:122)+100</f>
        <v>98</v>
      </c>
      <c r="G41" s="598" t="s">
        <v>3307</v>
      </c>
      <c r="H41" s="539">
        <f>SUMIF(121:121,G41,122:122)-SUMIF(121:121,C41,122:122)+100</f>
        <v>98</v>
      </c>
      <c r="I41" s="598" t="s">
        <v>3260</v>
      </c>
      <c r="J41" s="539">
        <f>SUMIF(121:121,I41,122:122)-SUMIF(121:121,C41,122:122)+100</f>
        <v>100</v>
      </c>
      <c r="K41" s="583">
        <v>2</v>
      </c>
      <c r="L41" s="2124"/>
      <c r="M41" s="2114"/>
      <c r="N41" s="2114"/>
      <c r="O41" s="2123"/>
      <c r="P41" s="3531"/>
      <c r="Q41" s="1555" t="str">
        <f t="shared" ref="Q41:Q47" si="14">B41</f>
        <v>宗地形状</v>
      </c>
      <c r="R41" s="1556" t="s">
        <v>8</v>
      </c>
      <c r="S41" s="1557">
        <f t="shared" si="10"/>
        <v>98</v>
      </c>
      <c r="T41" s="1556" t="s">
        <v>8</v>
      </c>
      <c r="U41" s="1557">
        <f t="shared" si="11"/>
        <v>98</v>
      </c>
      <c r="V41" s="1556" t="s">
        <v>8</v>
      </c>
      <c r="W41" s="1557">
        <f t="shared" si="12"/>
        <v>100</v>
      </c>
      <c r="X41" s="1550"/>
      <c r="Y41" s="3531"/>
      <c r="Z41" s="1558" t="str">
        <f t="shared" si="13"/>
        <v>宗地形状</v>
      </c>
      <c r="AA41" s="1559">
        <f t="shared" si="3"/>
        <v>1.0204081632653061</v>
      </c>
      <c r="AB41" s="1559">
        <f t="shared" si="4"/>
        <v>1.0204081632653061</v>
      </c>
      <c r="AC41" s="1559">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531"/>
      <c r="Q42" s="1555" t="str">
        <f t="shared" si="14"/>
        <v>临街宽度及深度</v>
      </c>
      <c r="R42" s="1556" t="s">
        <v>8</v>
      </c>
      <c r="S42" s="1557">
        <f t="shared" si="10"/>
        <v>100</v>
      </c>
      <c r="T42" s="1556" t="s">
        <v>8</v>
      </c>
      <c r="U42" s="1557">
        <f t="shared" si="11"/>
        <v>100</v>
      </c>
      <c r="V42" s="1556" t="s">
        <v>8</v>
      </c>
      <c r="W42" s="1557">
        <f t="shared" si="12"/>
        <v>100</v>
      </c>
      <c r="X42" s="1550"/>
      <c r="Y42" s="3531"/>
      <c r="Z42" s="1558" t="str">
        <f t="shared" si="13"/>
        <v>临街宽度及深度</v>
      </c>
      <c r="AA42" s="1559">
        <f t="shared" si="3"/>
        <v>1</v>
      </c>
      <c r="AB42" s="1559">
        <f t="shared" si="4"/>
        <v>1</v>
      </c>
      <c r="AC42" s="1559">
        <f t="shared" si="5"/>
        <v>1</v>
      </c>
    </row>
    <row r="43" spans="1:29" s="1214" customFormat="1" ht="20.25">
      <c r="A43" s="599"/>
      <c r="B43" s="1877" t="s">
        <v>2415</v>
      </c>
      <c r="C43" s="3211" t="s">
        <v>3254</v>
      </c>
      <c r="D43" s="254">
        <v>100</v>
      </c>
      <c r="E43" s="600" t="s">
        <v>3258</v>
      </c>
      <c r="F43" s="539">
        <f>SUMIF(125:125,E43,126:126)-SUMIF(125:125,C43,126:126)+100</f>
        <v>98.5</v>
      </c>
      <c r="G43" s="600" t="s">
        <v>3258</v>
      </c>
      <c r="H43" s="539">
        <f>SUMIF(125:125,G43,126:126)-SUMIF(125:125,C43,126:126)+100</f>
        <v>98.5</v>
      </c>
      <c r="I43" s="600" t="s">
        <v>3258</v>
      </c>
      <c r="J43" s="539">
        <f>SUMIF(125:125,I43,126:126)-SUMIF(125:125,C43,126:126)+100</f>
        <v>98.5</v>
      </c>
      <c r="K43" s="583">
        <v>0.5</v>
      </c>
      <c r="L43" s="2117"/>
      <c r="M43" s="2114"/>
      <c r="N43" s="2114"/>
      <c r="O43" s="2119"/>
      <c r="P43" s="3531"/>
      <c r="Q43" s="1555" t="str">
        <f t="shared" si="14"/>
        <v>宗地开发程度</v>
      </c>
      <c r="R43" s="1551" t="s">
        <v>8</v>
      </c>
      <c r="S43" s="1552">
        <f t="shared" si="10"/>
        <v>98.5</v>
      </c>
      <c r="T43" s="1551" t="s">
        <v>8</v>
      </c>
      <c r="U43" s="1552">
        <f t="shared" si="11"/>
        <v>98.5</v>
      </c>
      <c r="V43" s="1551" t="s">
        <v>8</v>
      </c>
      <c r="W43" s="1552">
        <f t="shared" si="12"/>
        <v>98.5</v>
      </c>
      <c r="X43" s="1553"/>
      <c r="Y43" s="3531"/>
      <c r="Z43" s="1144" t="str">
        <f t="shared" si="13"/>
        <v>宗地开发程度</v>
      </c>
      <c r="AA43" s="1554">
        <f t="shared" si="3"/>
        <v>1.015228426395939</v>
      </c>
      <c r="AB43" s="1554">
        <f t="shared" si="4"/>
        <v>1.015228426395939</v>
      </c>
      <c r="AC43" s="1554">
        <f t="shared" si="5"/>
        <v>1.015228426395939</v>
      </c>
    </row>
    <row r="44" spans="1:29" ht="20.25">
      <c r="A44" s="593"/>
      <c r="B44" s="526" t="s">
        <v>555</v>
      </c>
      <c r="C44" s="598" t="s">
        <v>3252</v>
      </c>
      <c r="D44" s="539">
        <v>100</v>
      </c>
      <c r="E44" s="598" t="s">
        <v>3252</v>
      </c>
      <c r="F44" s="539">
        <f>SUMIF(127:127,E44,128:128)-SUMIF(127:127,C44,128:128)+100</f>
        <v>100</v>
      </c>
      <c r="G44" s="598" t="s">
        <v>3252</v>
      </c>
      <c r="H44" s="539">
        <f>SUMIF(127:127,G44,128:128)-SUMIF(127:127,C44,128:128)+100</f>
        <v>100</v>
      </c>
      <c r="I44" s="598" t="s">
        <v>3252</v>
      </c>
      <c r="J44" s="539">
        <f>SUMIF(127:127,I44,128:128)-SUMIF(127:127,C44,128:128)+100</f>
        <v>100</v>
      </c>
      <c r="K44" s="583">
        <v>2</v>
      </c>
      <c r="L44" s="2124"/>
      <c r="M44" s="2114"/>
      <c r="N44" s="2114"/>
      <c r="O44" s="2123"/>
      <c r="P44" s="3531" t="s">
        <v>550</v>
      </c>
      <c r="Q44" s="1555" t="str">
        <f t="shared" si="14"/>
        <v>工程地质条件</v>
      </c>
      <c r="R44" s="1556" t="s">
        <v>8</v>
      </c>
      <c r="S44" s="1557">
        <f t="shared" si="10"/>
        <v>100</v>
      </c>
      <c r="T44" s="1556" t="s">
        <v>8</v>
      </c>
      <c r="U44" s="1557">
        <f t="shared" si="11"/>
        <v>100</v>
      </c>
      <c r="V44" s="1556" t="s">
        <v>8</v>
      </c>
      <c r="W44" s="1557">
        <f t="shared" si="12"/>
        <v>100</v>
      </c>
      <c r="X44" s="1550"/>
      <c r="Y44" s="3531"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531"/>
      <c r="Q45" s="1555">
        <f t="shared" si="14"/>
        <v>111</v>
      </c>
      <c r="R45" s="1556" t="s">
        <v>8</v>
      </c>
      <c r="S45" s="1557">
        <f t="shared" si="10"/>
        <v>100</v>
      </c>
      <c r="T45" s="1556" t="s">
        <v>8</v>
      </c>
      <c r="U45" s="1557">
        <f t="shared" si="11"/>
        <v>100</v>
      </c>
      <c r="V45" s="1556" t="s">
        <v>8</v>
      </c>
      <c r="W45" s="1557">
        <f t="shared" si="12"/>
        <v>100</v>
      </c>
      <c r="X45" s="1550"/>
      <c r="Y45" s="3531"/>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531"/>
      <c r="Q46" s="1555">
        <f t="shared" si="14"/>
        <v>111</v>
      </c>
      <c r="R46" s="1556" t="s">
        <v>8</v>
      </c>
      <c r="S46" s="1557">
        <f t="shared" si="10"/>
        <v>100</v>
      </c>
      <c r="T46" s="1556" t="s">
        <v>8</v>
      </c>
      <c r="U46" s="1557">
        <f t="shared" si="11"/>
        <v>100</v>
      </c>
      <c r="V46" s="1556" t="s">
        <v>8</v>
      </c>
      <c r="W46" s="1557">
        <f t="shared" si="12"/>
        <v>100</v>
      </c>
      <c r="X46" s="1550"/>
      <c r="Y46" s="3531"/>
      <c r="Z46" s="1558">
        <f t="shared" si="13"/>
        <v>111</v>
      </c>
      <c r="AA46" s="1559">
        <f t="shared" si="3"/>
        <v>1</v>
      </c>
      <c r="AB46" s="1559">
        <f t="shared" si="4"/>
        <v>1</v>
      </c>
      <c r="AC46" s="1559">
        <f t="shared" si="5"/>
        <v>1</v>
      </c>
    </row>
    <row r="47" spans="1:29" s="133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531"/>
      <c r="Q47" s="1555">
        <f t="shared" si="14"/>
        <v>111</v>
      </c>
      <c r="R47" s="1560" t="s">
        <v>8</v>
      </c>
      <c r="S47" s="1561">
        <f t="shared" si="10"/>
        <v>100</v>
      </c>
      <c r="T47" s="1560" t="s">
        <v>8</v>
      </c>
      <c r="U47" s="1561">
        <f t="shared" si="11"/>
        <v>100</v>
      </c>
      <c r="V47" s="1560" t="s">
        <v>8</v>
      </c>
      <c r="W47" s="1561">
        <f t="shared" si="12"/>
        <v>100</v>
      </c>
      <c r="X47" s="1562"/>
      <c r="Y47" s="3531"/>
      <c r="Z47" s="1563">
        <f t="shared" si="13"/>
        <v>111</v>
      </c>
      <c r="AA47" s="1559">
        <f t="shared" si="3"/>
        <v>1</v>
      </c>
      <c r="AB47" s="1559">
        <f t="shared" si="4"/>
        <v>1</v>
      </c>
      <c r="AC47" s="1559">
        <f t="shared" si="5"/>
        <v>1</v>
      </c>
    </row>
    <row r="48" spans="1:29" ht="20.25">
      <c r="A48" s="606" t="s">
        <v>556</v>
      </c>
      <c r="B48" s="607" t="s">
        <v>3251</v>
      </c>
      <c r="C48" s="608" t="s">
        <v>1</v>
      </c>
      <c r="D48" s="609"/>
      <c r="E48" s="610">
        <v>6140</v>
      </c>
      <c r="F48" s="611"/>
      <c r="G48" s="612">
        <v>5765</v>
      </c>
      <c r="H48" s="613"/>
      <c r="I48" s="610">
        <v>4186</v>
      </c>
      <c r="J48" s="613"/>
      <c r="K48" s="1334"/>
      <c r="L48" s="2126"/>
      <c r="M48" s="2114"/>
      <c r="N48" s="2114"/>
      <c r="O48" s="2127"/>
      <c r="P48" s="3526" t="str">
        <f>A48</f>
        <v>成交单价</v>
      </c>
      <c r="Q48" s="3526"/>
      <c r="R48" s="3540">
        <f>E48</f>
        <v>6140</v>
      </c>
      <c r="S48" s="3540"/>
      <c r="T48" s="3540">
        <f>G48</f>
        <v>5765</v>
      </c>
      <c r="U48" s="3540"/>
      <c r="V48" s="3540">
        <f>I48</f>
        <v>4186</v>
      </c>
      <c r="W48" s="3540"/>
      <c r="X48" s="1542"/>
      <c r="Y48" s="1564"/>
      <c r="Z48" s="1542"/>
      <c r="AA48" s="1542"/>
      <c r="AB48" s="1542"/>
      <c r="AC48" s="1542"/>
    </row>
    <row r="49" spans="1:29" ht="21" thickBot="1">
      <c r="A49" s="614" t="s">
        <v>2683</v>
      </c>
      <c r="B49" s="615"/>
      <c r="C49" s="616">
        <f>R50</f>
        <v>5450</v>
      </c>
      <c r="D49" s="617"/>
      <c r="E49" s="616">
        <f>R49</f>
        <v>5767</v>
      </c>
      <c r="F49" s="618"/>
      <c r="G49" s="619">
        <f>T49</f>
        <v>5895</v>
      </c>
      <c r="H49" s="617"/>
      <c r="I49" s="616">
        <f>V49</f>
        <v>4689</v>
      </c>
      <c r="J49" s="617"/>
      <c r="K49" s="1335"/>
      <c r="L49" s="2126"/>
      <c r="M49" s="2114"/>
      <c r="N49" s="2114"/>
      <c r="O49" s="2127"/>
      <c r="P49" s="3526" t="str">
        <f>A49</f>
        <v>比较价格（元/平方米）</v>
      </c>
      <c r="Q49" s="3526"/>
      <c r="R49" s="3550">
        <f>ROUND(PRODUCT(R48,AA9:AA47),0)</f>
        <v>5767</v>
      </c>
      <c r="S49" s="3550"/>
      <c r="T49" s="3550">
        <f>ROUND(PRODUCT(T48,AB9:AB47),0)</f>
        <v>5895</v>
      </c>
      <c r="U49" s="3550"/>
      <c r="V49" s="3550">
        <f>ROUND(PRODUCT(V48,AC9:AC47),0)</f>
        <v>4689</v>
      </c>
      <c r="W49" s="3550"/>
      <c r="X49" s="1542"/>
      <c r="Y49" s="1542"/>
      <c r="Z49" s="1542"/>
      <c r="AA49" s="1542"/>
      <c r="AB49" s="1542"/>
      <c r="AC49" s="1542"/>
    </row>
    <row r="50" spans="1:29" ht="21" thickBot="1">
      <c r="A50" s="620" t="s">
        <v>2925</v>
      </c>
      <c r="B50" s="621"/>
      <c r="C50" s="622">
        <f>R50</f>
        <v>5450</v>
      </c>
      <c r="D50" s="622"/>
      <c r="E50" s="622"/>
      <c r="F50" s="622"/>
      <c r="G50" s="622"/>
      <c r="H50" s="622"/>
      <c r="I50" s="622"/>
      <c r="J50" s="622"/>
      <c r="K50" s="1336"/>
      <c r="L50" s="2126"/>
      <c r="M50" s="2114"/>
      <c r="N50" s="2114"/>
      <c r="O50" s="2127"/>
      <c r="P50" s="3547" t="str">
        <f>A50</f>
        <v>估价对象XX用房的比较价格（楼面单价，元/平方米）</v>
      </c>
      <c r="Q50" s="3548"/>
      <c r="R50" s="3549">
        <f>ROUND(AVERAGE(R49:V49),0)</f>
        <v>5450</v>
      </c>
      <c r="S50" s="3549"/>
      <c r="T50" s="3549"/>
      <c r="U50" s="3549"/>
      <c r="V50" s="3549"/>
      <c r="W50" s="354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6.4678342292353141E-2</v>
      </c>
      <c r="F53" s="626" t="str">
        <f>IF(OR(E53&gt;=0.3,E53&lt;=-0.3),"超过30%","")</f>
        <v/>
      </c>
      <c r="G53" s="625">
        <f>IF(G48&lt;G49,G49/G48-1,G48/G49-1)</f>
        <v>2.2549869904596731E-2</v>
      </c>
      <c r="H53" s="626" t="str">
        <f>IF(OR(G53&gt;=0.3,G53&lt;=-0.3),"超过30%","")</f>
        <v/>
      </c>
      <c r="I53" s="625">
        <f>IF(I48&lt;I49,I49/I48-1,I48/I49-1)</f>
        <v>0.12016244624940287</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2.2195248829547376E-2</v>
      </c>
      <c r="F54" s="626" t="str">
        <f>IF(OR(E54&gt;=0.2,E54&lt;=-0.2),"超过20%","")</f>
        <v/>
      </c>
      <c r="G54" s="625">
        <f>IF(G49&lt;I49,I49/G49-1,G49/I49-1)</f>
        <v>0.25719769673704418</v>
      </c>
      <c r="H54" s="626" t="str">
        <f>IF(OR(G54&gt;=0.2,G54&lt;=-0.2),"超过20%","")</f>
        <v>超过20%</v>
      </c>
      <c r="I54" s="625">
        <f>IF(I49&lt;E49,E49/I49-1,I49/E49-1)</f>
        <v>0.22989976540840273</v>
      </c>
      <c r="J54" s="626"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6.5047701647875211E-2</v>
      </c>
      <c r="F55" s="626" t="str">
        <f>IF(OR(E55&gt;=0.3,E55&lt;=-0.3),"超过30%","")</f>
        <v/>
      </c>
      <c r="G55" s="625">
        <f>IF(G48&lt;I48,I48/G48-1,G48/I48-1)</f>
        <v>0.37720974677496422</v>
      </c>
      <c r="H55" s="626" t="str">
        <f>IF(OR(G55&gt;=0.3,G55&lt;=-0.3),"超过30%","")</f>
        <v>超过30%</v>
      </c>
      <c r="I55" s="625">
        <f>IF(I48&lt;E48,E48/I48-1,I48/E48-1)</f>
        <v>0.46679407548972773</v>
      </c>
      <c r="J55" s="626" t="str">
        <f>IF(OR(I55&gt;=0.3,I55&lt;=-0.3),"超过30%","")</f>
        <v>超过30%</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1718</v>
      </c>
      <c r="D57" s="2209" t="s">
        <v>2284</v>
      </c>
      <c r="E57" s="630" t="s">
        <v>562</v>
      </c>
      <c r="F57" s="631" t="s">
        <v>563</v>
      </c>
      <c r="G57" s="3510" t="s">
        <v>2272</v>
      </c>
      <c r="H57" s="3511"/>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5450</v>
      </c>
      <c r="C58" s="634">
        <v>1</v>
      </c>
      <c r="D58" s="2210">
        <v>1</v>
      </c>
      <c r="E58" s="634">
        <f>'数据-汇总表'!E8+'数据-汇总表'!E9</f>
        <v>324382.25</v>
      </c>
      <c r="F58" s="635">
        <f t="shared" ref="F58:F67" si="15">ROUND(B58*E58/10000,0)</f>
        <v>176788</v>
      </c>
      <c r="G58" s="3512"/>
      <c r="H58" s="3513"/>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0</v>
      </c>
      <c r="C59" s="377">
        <f t="shared" ref="C59:C67" si="16">IF($C$57="北京市系数",I59,J59)</f>
        <v>0</v>
      </c>
      <c r="D59" s="2211">
        <v>0.25</v>
      </c>
      <c r="E59" s="638">
        <v>0</v>
      </c>
      <c r="F59" s="635">
        <f t="shared" si="15"/>
        <v>0</v>
      </c>
      <c r="G59" s="3514" t="s">
        <v>2273</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0</v>
      </c>
      <c r="C60" s="377">
        <f t="shared" si="16"/>
        <v>0</v>
      </c>
      <c r="D60" s="2211">
        <v>0.25</v>
      </c>
      <c r="E60" s="638">
        <v>0</v>
      </c>
      <c r="F60" s="635">
        <f t="shared" si="15"/>
        <v>0</v>
      </c>
      <c r="G60" s="3514"/>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0</v>
      </c>
      <c r="C61" s="377">
        <f t="shared" si="16"/>
        <v>0</v>
      </c>
      <c r="D61" s="2211">
        <v>0.25</v>
      </c>
      <c r="E61" s="638">
        <v>0</v>
      </c>
      <c r="F61" s="635">
        <f t="shared" si="15"/>
        <v>0</v>
      </c>
      <c r="G61" s="3514"/>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0</v>
      </c>
      <c r="C62" s="377">
        <f t="shared" si="16"/>
        <v>0</v>
      </c>
      <c r="D62" s="2211">
        <v>0.25</v>
      </c>
      <c r="E62" s="638">
        <v>0</v>
      </c>
      <c r="F62" s="635">
        <f t="shared" si="15"/>
        <v>0</v>
      </c>
      <c r="G62" s="3514"/>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2319</v>
      </c>
      <c r="B63" s="637">
        <f t="shared" si="17"/>
        <v>0</v>
      </c>
      <c r="C63" s="377">
        <f t="shared" si="16"/>
        <v>0</v>
      </c>
      <c r="D63" s="2211">
        <v>0.25</v>
      </c>
      <c r="E63" s="640">
        <f>'数据-汇总表'!E11</f>
        <v>0</v>
      </c>
      <c r="F63" s="635">
        <f t="shared" si="15"/>
        <v>0</v>
      </c>
      <c r="G63" s="1927" t="s">
        <v>2274</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0</v>
      </c>
      <c r="C64" s="377">
        <f t="shared" si="16"/>
        <v>0</v>
      </c>
      <c r="D64" s="2211">
        <v>0.25</v>
      </c>
      <c r="E64" s="640">
        <f>'数据-汇总表'!E12</f>
        <v>0</v>
      </c>
      <c r="F64" s="635">
        <f t="shared" si="15"/>
        <v>0</v>
      </c>
      <c r="G64" s="1928" t="s">
        <v>1674</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0</v>
      </c>
      <c r="C65" s="377">
        <f t="shared" si="16"/>
        <v>0</v>
      </c>
      <c r="D65" s="2211">
        <v>0.25</v>
      </c>
      <c r="E65" s="640">
        <f>'数据-汇总表'!E13</f>
        <v>109970</v>
      </c>
      <c r="F65" s="635">
        <f t="shared" si="15"/>
        <v>0</v>
      </c>
      <c r="G65" s="1928" t="s">
        <v>920</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0</v>
      </c>
      <c r="C66" s="377">
        <f t="shared" si="16"/>
        <v>0</v>
      </c>
      <c r="D66" s="2211">
        <v>0.25</v>
      </c>
      <c r="E66" s="640">
        <f>'数据-汇总表'!E14</f>
        <v>0</v>
      </c>
      <c r="F66" s="635">
        <f t="shared" si="15"/>
        <v>0</v>
      </c>
      <c r="G66" s="1927" t="s">
        <v>2273</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0</v>
      </c>
      <c r="C67" s="377">
        <f t="shared" si="16"/>
        <v>0</v>
      </c>
      <c r="D67" s="2211">
        <v>0.25</v>
      </c>
      <c r="E67" s="640">
        <f>'数据-汇总表'!E15</f>
        <v>0</v>
      </c>
      <c r="F67" s="635">
        <f t="shared" si="15"/>
        <v>0</v>
      </c>
      <c r="G67" s="1929" t="s">
        <v>2274</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2285</v>
      </c>
      <c r="E68" s="642">
        <f>IF(B48="楼面地价",SUM(E58:E67),'数据-汇总表'!D3)</f>
        <v>434352.25</v>
      </c>
      <c r="F68" s="643">
        <f>IF(B48="楼面地价",SUM(F58:F67),ROUND(C50*E68/10000,0))</f>
        <v>176788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635" t="str">
        <f>YEAR(C9)&amp;"-"&amp;MONTH(C9)&amp;"-1"</f>
        <v>2020-8-1</v>
      </c>
      <c r="D70" s="2635">
        <f>EDATE(C70,-3)</f>
        <v>43952</v>
      </c>
      <c r="E70" s="2635">
        <f t="shared" ref="E70:N70" si="18">EDATE(D70,-3)</f>
        <v>43862</v>
      </c>
      <c r="F70" s="2635">
        <f t="shared" si="18"/>
        <v>43770</v>
      </c>
      <c r="G70" s="2635">
        <f t="shared" si="18"/>
        <v>43678</v>
      </c>
      <c r="H70" s="2635">
        <f t="shared" si="18"/>
        <v>43586</v>
      </c>
      <c r="I70" s="2635">
        <f t="shared" si="18"/>
        <v>43497</v>
      </c>
      <c r="J70" s="2635">
        <f t="shared" si="18"/>
        <v>43405</v>
      </c>
      <c r="K70" s="2635">
        <f t="shared" si="18"/>
        <v>43313</v>
      </c>
      <c r="L70" s="2635">
        <f t="shared" si="18"/>
        <v>43221</v>
      </c>
      <c r="M70" s="2635">
        <f t="shared" si="18"/>
        <v>43132</v>
      </c>
      <c r="N70" s="2635">
        <f t="shared" si="18"/>
        <v>43040</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2523</v>
      </c>
      <c r="B72" s="2530"/>
      <c r="C72" s="2632" t="str">
        <f>YEAR(C70)&amp;"-"&amp;ROUNDUP(MONTH(C70)/3,0)</f>
        <v>2020-3</v>
      </c>
      <c r="D72" s="2637" t="str">
        <f>YEAR(D70)&amp;"-"&amp;ROUNDUP(MONTH(D70)/3,0)</f>
        <v>2020-2</v>
      </c>
      <c r="E72" s="2637" t="str">
        <f t="shared" ref="E72:N72" si="19">YEAR(E70)&amp;"-"&amp;ROUNDUP(MONTH(E70)/3,0)</f>
        <v>2020-1</v>
      </c>
      <c r="F72" s="2637" t="str">
        <f t="shared" si="19"/>
        <v>2019-4</v>
      </c>
      <c r="G72" s="2637" t="str">
        <f t="shared" si="19"/>
        <v>2019-3</v>
      </c>
      <c r="H72" s="2637" t="str">
        <f t="shared" si="19"/>
        <v>2019-2</v>
      </c>
      <c r="I72" s="2637" t="str">
        <f t="shared" si="19"/>
        <v>2019-1</v>
      </c>
      <c r="J72" s="2637" t="str">
        <f t="shared" si="19"/>
        <v>2018-4</v>
      </c>
      <c r="K72" s="2637" t="str">
        <f t="shared" si="19"/>
        <v>2018-3</v>
      </c>
      <c r="L72" s="2637" t="str">
        <f t="shared" si="19"/>
        <v>2018-2</v>
      </c>
      <c r="M72" s="2637" t="str">
        <f t="shared" si="19"/>
        <v>2018-1</v>
      </c>
      <c r="N72" s="2637" t="str">
        <f t="shared" si="19"/>
        <v>2017-4</v>
      </c>
      <c r="O72" s="2141"/>
      <c r="P72" s="2142"/>
      <c r="Q72" s="2143"/>
      <c r="R72" s="2143"/>
      <c r="S72" s="2143"/>
      <c r="T72" s="2143"/>
      <c r="U72" s="2143"/>
      <c r="V72" s="2143"/>
      <c r="W72" s="2143"/>
      <c r="X72" s="2143"/>
      <c r="Y72" s="2143"/>
      <c r="Z72" s="2143"/>
      <c r="AA72" s="2143"/>
      <c r="AB72" s="2143"/>
      <c r="AC72" s="2143"/>
    </row>
    <row r="73" spans="1:29" s="1214" customFormat="1" ht="27" customHeight="1">
      <c r="A73" s="2642" t="s">
        <v>2637</v>
      </c>
      <c r="B73" s="478" t="str">
        <f>"北京市平均增长率"&amp;TEXT(SUMIF(基准地价!N21:N25,A73,基准地价!P21:P25),"0.00%")</f>
        <v>北京市平均增长率1.79%</v>
      </c>
      <c r="C73" s="893">
        <v>100</v>
      </c>
      <c r="D73" s="3189">
        <f>C73-$C$74</f>
        <v>99.5</v>
      </c>
      <c r="E73" s="3189">
        <f t="shared" ref="E73:N73" si="20">D73-$C$74</f>
        <v>99</v>
      </c>
      <c r="F73" s="3189">
        <f t="shared" si="20"/>
        <v>98.5</v>
      </c>
      <c r="G73" s="3189">
        <f t="shared" si="20"/>
        <v>98</v>
      </c>
      <c r="H73" s="3189">
        <f t="shared" si="20"/>
        <v>97.5</v>
      </c>
      <c r="I73" s="3189">
        <f t="shared" si="20"/>
        <v>97</v>
      </c>
      <c r="J73" s="3189">
        <f t="shared" si="20"/>
        <v>96.5</v>
      </c>
      <c r="K73" s="3189">
        <f t="shared" si="20"/>
        <v>96</v>
      </c>
      <c r="L73" s="3189">
        <f t="shared" si="20"/>
        <v>95.5</v>
      </c>
      <c r="M73" s="3189">
        <f t="shared" si="20"/>
        <v>95</v>
      </c>
      <c r="N73" s="3189">
        <f t="shared" si="20"/>
        <v>94.5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633" t="s">
        <v>2636</v>
      </c>
      <c r="B74" s="2641"/>
      <c r="C74" s="2628">
        <v>0.5</v>
      </c>
      <c r="D74" s="2629"/>
      <c r="E74" s="2629"/>
      <c r="F74" s="2629"/>
      <c r="G74" s="2629"/>
      <c r="H74" s="2629"/>
      <c r="I74" s="2629"/>
      <c r="J74" s="2629"/>
      <c r="K74" s="2629"/>
      <c r="L74" s="2629"/>
      <c r="M74" s="2629"/>
      <c r="N74" s="2629"/>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90" t="s">
        <v>3036</v>
      </c>
      <c r="D77" s="3190" t="s">
        <v>3249</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v>102</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v>0.5</v>
      </c>
      <c r="E82" s="540">
        <v>1</v>
      </c>
      <c r="F82" s="540">
        <v>1.5</v>
      </c>
      <c r="G82" s="540">
        <v>2</v>
      </c>
      <c r="H82" s="540">
        <v>2.5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6"/>
      <c r="B84" s="672" t="str">
        <f>B14</f>
        <v>配建</v>
      </c>
      <c r="C84" s="3193" t="s">
        <v>3265</v>
      </c>
      <c r="D84" s="1369" t="s">
        <v>3266</v>
      </c>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v>100</v>
      </c>
      <c r="D85" s="670">
        <v>110</v>
      </c>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6"/>
      <c r="B86" s="672" t="str">
        <f>B15</f>
        <v>自持</v>
      </c>
      <c r="C86" s="3193" t="s">
        <v>3265</v>
      </c>
      <c r="D86" s="3193" t="s">
        <v>3266</v>
      </c>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6"/>
      <c r="B87" s="677"/>
      <c r="C87" s="691">
        <v>100</v>
      </c>
      <c r="D87" s="691">
        <v>105</v>
      </c>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98</v>
      </c>
      <c r="E91" s="678">
        <f>D91-$K17</f>
        <v>96</v>
      </c>
      <c r="F91" s="678">
        <f>E91-$K17</f>
        <v>94</v>
      </c>
      <c r="G91" s="678">
        <f>F91-$K17</f>
        <v>92</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98</v>
      </c>
      <c r="E93" s="678">
        <f>D93-$K19</f>
        <v>96</v>
      </c>
      <c r="F93" s="678">
        <f>E93-$K19</f>
        <v>94</v>
      </c>
      <c r="G93" s="678">
        <f>F93-$K19</f>
        <v>92</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98</v>
      </c>
      <c r="E95" s="678">
        <f>D95-$K21</f>
        <v>96</v>
      </c>
      <c r="F95" s="678">
        <f>E95-$K21</f>
        <v>94</v>
      </c>
      <c r="G95" s="678">
        <f>F95-$K21</f>
        <v>92</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2539</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2541</v>
      </c>
      <c r="C104" s="2559" t="s">
        <v>2542</v>
      </c>
      <c r="D104" s="2559" t="s">
        <v>2543</v>
      </c>
      <c r="E104" s="2559" t="s">
        <v>2544</v>
      </c>
      <c r="F104" s="2559" t="s">
        <v>2545</v>
      </c>
      <c r="G104" s="2559" t="s">
        <v>2546</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3193" t="s">
        <v>3268</v>
      </c>
      <c r="D108" s="3193" t="s">
        <v>3269</v>
      </c>
      <c r="E108" s="3193" t="s">
        <v>3270</v>
      </c>
      <c r="F108" s="3193" t="s">
        <v>3271</v>
      </c>
      <c r="G108" s="3193" t="s">
        <v>3272</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6">C119&amp;"(含)"&amp;"-"&amp;D119</f>
        <v>0(含)-100000</v>
      </c>
      <c r="D118" s="703" t="str">
        <f t="shared" si="26"/>
        <v>100000(含)-200000</v>
      </c>
      <c r="E118" s="703" t="str">
        <f t="shared" si="26"/>
        <v>200000(含)-</v>
      </c>
      <c r="F118" s="703" t="str">
        <f t="shared" si="26"/>
        <v>(含)-</v>
      </c>
      <c r="G118" s="703" t="str">
        <f t="shared" si="26"/>
        <v>(含)-</v>
      </c>
      <c r="H118" s="703" t="str">
        <f t="shared" si="26"/>
        <v>(含)-</v>
      </c>
      <c r="I118" s="703" t="str">
        <f t="shared" si="26"/>
        <v>(含)-</v>
      </c>
      <c r="J118" s="2918" t="str">
        <f t="shared" si="26"/>
        <v>(含)-</v>
      </c>
      <c r="K118" s="2918" t="str">
        <f t="shared" si="26"/>
        <v>(含)-</v>
      </c>
      <c r="L118" s="2919" t="str">
        <f t="shared" si="26"/>
        <v>(含)-</v>
      </c>
      <c r="M118" s="292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100000</v>
      </c>
      <c r="E119" s="729">
        <v>200000</v>
      </c>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101</v>
      </c>
      <c r="E120" s="725">
        <v>102</v>
      </c>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94" t="s">
        <v>3261</v>
      </c>
      <c r="D121" s="3194" t="s">
        <v>3262</v>
      </c>
      <c r="E121" s="3194" t="s">
        <v>3263</v>
      </c>
      <c r="F121" s="3194" t="s">
        <v>3264</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2416</v>
      </c>
      <c r="C125" s="1369" t="s">
        <v>3255</v>
      </c>
      <c r="D125" s="1369" t="s">
        <v>3256</v>
      </c>
      <c r="E125" s="1369" t="s">
        <v>3257</v>
      </c>
      <c r="F125" s="1369" t="s">
        <v>3259</v>
      </c>
      <c r="G125" s="1369"/>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99.5</v>
      </c>
      <c r="E126" s="678">
        <f t="shared" ref="E126:M126" si="29">D126-$K43</f>
        <v>99</v>
      </c>
      <c r="F126" s="678">
        <f t="shared" si="29"/>
        <v>98.5</v>
      </c>
      <c r="G126" s="678">
        <f t="shared" si="29"/>
        <v>98</v>
      </c>
      <c r="H126" s="678">
        <f t="shared" si="29"/>
        <v>97.5</v>
      </c>
      <c r="I126" s="678">
        <f t="shared" si="29"/>
        <v>97</v>
      </c>
      <c r="J126" s="678">
        <f t="shared" si="29"/>
        <v>96.5</v>
      </c>
      <c r="K126" s="678">
        <f t="shared" si="29"/>
        <v>96</v>
      </c>
      <c r="L126" s="678">
        <f t="shared" si="29"/>
        <v>95.5</v>
      </c>
      <c r="M126" s="679">
        <f t="shared" si="29"/>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93" t="s">
        <v>3253</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1895</v>
      </c>
      <c r="B36" s="1636" t="s">
        <v>1896</v>
      </c>
    </row>
    <row r="37" spans="1:9" ht="28.5" customHeight="1">
      <c r="A37" s="1636"/>
      <c r="B37" s="3343" t="str">
        <f>项目基本情况!B1</f>
        <v>出让国有建设用地使用权抵押价格预评估</v>
      </c>
      <c r="C37" s="3343"/>
      <c r="D37" s="3343"/>
      <c r="E37" s="3343"/>
      <c r="F37" s="3343"/>
      <c r="G37" s="3343"/>
      <c r="H37" s="3343"/>
      <c r="I37" s="3343"/>
    </row>
    <row r="38" spans="1:9">
      <c r="A38" s="1638"/>
      <c r="B38" s="1638"/>
    </row>
    <row r="39" spans="1:9">
      <c r="A39" s="1636" t="s">
        <v>1895</v>
      </c>
      <c r="B39" s="1636" t="s">
        <v>2038</v>
      </c>
    </row>
    <row r="40" spans="1:9">
      <c r="A40" s="1636"/>
      <c r="B40" s="1636">
        <f>项目基本情况!B5</f>
        <v>0</v>
      </c>
    </row>
    <row r="41" spans="1:9">
      <c r="A41" s="1636"/>
      <c r="B41" s="1636"/>
    </row>
    <row r="42" spans="1:9">
      <c r="A42" s="1636" t="s">
        <v>1895</v>
      </c>
      <c r="B42" s="1636" t="s">
        <v>2039</v>
      </c>
    </row>
    <row r="43" spans="1:9">
      <c r="A43" s="1636"/>
      <c r="B43" s="1636" t="s">
        <v>1897</v>
      </c>
    </row>
    <row r="44" spans="1:9">
      <c r="A44" s="1636"/>
      <c r="B44" s="1636"/>
    </row>
    <row r="45" spans="1:9">
      <c r="A45" s="1636" t="s">
        <v>1895</v>
      </c>
      <c r="B45" s="1636" t="s">
        <v>2037</v>
      </c>
    </row>
    <row r="46" spans="1:9" s="1636" customFormat="1" ht="12.75">
      <c r="B46" s="1636" t="str">
        <f>项目基本情况!K4</f>
        <v>土地估价师、土地估价师</v>
      </c>
    </row>
    <row r="47" spans="1:9">
      <c r="A47" s="1636"/>
      <c r="B47" s="1636"/>
    </row>
    <row r="48" spans="1:9">
      <c r="A48" s="1636" t="s">
        <v>1895</v>
      </c>
      <c r="B48" s="1636" t="s">
        <v>2040</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0"/>
  <sheetViews>
    <sheetView workbookViewId="0">
      <selection activeCell="O106" sqref="O106"/>
    </sheetView>
  </sheetViews>
  <sheetFormatPr defaultRowHeight="12.75"/>
  <cols>
    <col min="1" max="1" width="31" style="3191" customWidth="1"/>
    <col min="2" max="2" width="6.25" style="3191" customWidth="1"/>
    <col min="3" max="5" width="13.875" style="3191" customWidth="1"/>
    <col min="6" max="6" width="12.5" style="3191" customWidth="1"/>
    <col min="7" max="7" width="7.875" style="3191" customWidth="1"/>
    <col min="8" max="8" width="11.125" style="3191" customWidth="1"/>
    <col min="9" max="9" width="9" style="3191" customWidth="1"/>
    <col min="10" max="10" width="11.875" style="3191" customWidth="1"/>
    <col min="11" max="12" width="10.625" style="3191" customWidth="1"/>
    <col min="13" max="13" width="14.375" style="3191" customWidth="1"/>
    <col min="14" max="14" width="6.25" style="3191" customWidth="1"/>
    <col min="15" max="15" width="31" style="3191" customWidth="1"/>
    <col min="16" max="16" width="7.875" style="3191" customWidth="1"/>
    <col min="17" max="256" width="9" style="3191"/>
    <col min="257" max="257" width="31" style="3191" customWidth="1"/>
    <col min="258" max="258" width="6.25" style="3191" customWidth="1"/>
    <col min="259" max="261" width="13.875" style="3191" customWidth="1"/>
    <col min="262" max="262" width="12.5" style="3191" customWidth="1"/>
    <col min="263" max="263" width="7.875" style="3191" customWidth="1"/>
    <col min="264" max="264" width="11.125" style="3191" customWidth="1"/>
    <col min="265" max="266" width="9" style="3191" customWidth="1"/>
    <col min="267" max="268" width="10.625" style="3191" customWidth="1"/>
    <col min="269" max="269" width="14.375" style="3191" customWidth="1"/>
    <col min="270" max="270" width="6.25" style="3191" customWidth="1"/>
    <col min="271" max="271" width="31" style="3191" customWidth="1"/>
    <col min="272" max="272" width="7.875" style="3191" customWidth="1"/>
    <col min="273" max="512" width="9" style="3191"/>
    <col min="513" max="513" width="31" style="3191" customWidth="1"/>
    <col min="514" max="514" width="6.25" style="3191" customWidth="1"/>
    <col min="515" max="517" width="13.875" style="3191" customWidth="1"/>
    <col min="518" max="518" width="12.5" style="3191" customWidth="1"/>
    <col min="519" max="519" width="7.875" style="3191" customWidth="1"/>
    <col min="520" max="520" width="11.125" style="3191" customWidth="1"/>
    <col min="521" max="522" width="9" style="3191" customWidth="1"/>
    <col min="523" max="524" width="10.625" style="3191" customWidth="1"/>
    <col min="525" max="525" width="14.375" style="3191" customWidth="1"/>
    <col min="526" max="526" width="6.25" style="3191" customWidth="1"/>
    <col min="527" max="527" width="31" style="3191" customWidth="1"/>
    <col min="528" max="528" width="7.875" style="3191" customWidth="1"/>
    <col min="529" max="768" width="9" style="3191"/>
    <col min="769" max="769" width="31" style="3191" customWidth="1"/>
    <col min="770" max="770" width="6.25" style="3191" customWidth="1"/>
    <col min="771" max="773" width="13.875" style="3191" customWidth="1"/>
    <col min="774" max="774" width="12.5" style="3191" customWidth="1"/>
    <col min="775" max="775" width="7.875" style="3191" customWidth="1"/>
    <col min="776" max="776" width="11.125" style="3191" customWidth="1"/>
    <col min="777" max="778" width="9" style="3191" customWidth="1"/>
    <col min="779" max="780" width="10.625" style="3191" customWidth="1"/>
    <col min="781" max="781" width="14.375" style="3191" customWidth="1"/>
    <col min="782" max="782" width="6.25" style="3191" customWidth="1"/>
    <col min="783" max="783" width="31" style="3191" customWidth="1"/>
    <col min="784" max="784" width="7.875" style="3191" customWidth="1"/>
    <col min="785" max="1024" width="9" style="3191"/>
    <col min="1025" max="1025" width="31" style="3191" customWidth="1"/>
    <col min="1026" max="1026" width="6.25" style="3191" customWidth="1"/>
    <col min="1027" max="1029" width="13.875" style="3191" customWidth="1"/>
    <col min="1030" max="1030" width="12.5" style="3191" customWidth="1"/>
    <col min="1031" max="1031" width="7.875" style="3191" customWidth="1"/>
    <col min="1032" max="1032" width="11.125" style="3191" customWidth="1"/>
    <col min="1033" max="1034" width="9" style="3191" customWidth="1"/>
    <col min="1035" max="1036" width="10.625" style="3191" customWidth="1"/>
    <col min="1037" max="1037" width="14.375" style="3191" customWidth="1"/>
    <col min="1038" max="1038" width="6.25" style="3191" customWidth="1"/>
    <col min="1039" max="1039" width="31" style="3191" customWidth="1"/>
    <col min="1040" max="1040" width="7.875" style="3191" customWidth="1"/>
    <col min="1041" max="1280" width="9" style="3191"/>
    <col min="1281" max="1281" width="31" style="3191" customWidth="1"/>
    <col min="1282" max="1282" width="6.25" style="3191" customWidth="1"/>
    <col min="1283" max="1285" width="13.875" style="3191" customWidth="1"/>
    <col min="1286" max="1286" width="12.5" style="3191" customWidth="1"/>
    <col min="1287" max="1287" width="7.875" style="3191" customWidth="1"/>
    <col min="1288" max="1288" width="11.125" style="3191" customWidth="1"/>
    <col min="1289" max="1290" width="9" style="3191" customWidth="1"/>
    <col min="1291" max="1292" width="10.625" style="3191" customWidth="1"/>
    <col min="1293" max="1293" width="14.375" style="3191" customWidth="1"/>
    <col min="1294" max="1294" width="6.25" style="3191" customWidth="1"/>
    <col min="1295" max="1295" width="31" style="3191" customWidth="1"/>
    <col min="1296" max="1296" width="7.875" style="3191" customWidth="1"/>
    <col min="1297" max="1536" width="9" style="3191"/>
    <col min="1537" max="1537" width="31" style="3191" customWidth="1"/>
    <col min="1538" max="1538" width="6.25" style="3191" customWidth="1"/>
    <col min="1539" max="1541" width="13.875" style="3191" customWidth="1"/>
    <col min="1542" max="1542" width="12.5" style="3191" customWidth="1"/>
    <col min="1543" max="1543" width="7.875" style="3191" customWidth="1"/>
    <col min="1544" max="1544" width="11.125" style="3191" customWidth="1"/>
    <col min="1545" max="1546" width="9" style="3191" customWidth="1"/>
    <col min="1547" max="1548" width="10.625" style="3191" customWidth="1"/>
    <col min="1549" max="1549" width="14.375" style="3191" customWidth="1"/>
    <col min="1550" max="1550" width="6.25" style="3191" customWidth="1"/>
    <col min="1551" max="1551" width="31" style="3191" customWidth="1"/>
    <col min="1552" max="1552" width="7.875" style="3191" customWidth="1"/>
    <col min="1553" max="1792" width="9" style="3191"/>
    <col min="1793" max="1793" width="31" style="3191" customWidth="1"/>
    <col min="1794" max="1794" width="6.25" style="3191" customWidth="1"/>
    <col min="1795" max="1797" width="13.875" style="3191" customWidth="1"/>
    <col min="1798" max="1798" width="12.5" style="3191" customWidth="1"/>
    <col min="1799" max="1799" width="7.875" style="3191" customWidth="1"/>
    <col min="1800" max="1800" width="11.125" style="3191" customWidth="1"/>
    <col min="1801" max="1802" width="9" style="3191" customWidth="1"/>
    <col min="1803" max="1804" width="10.625" style="3191" customWidth="1"/>
    <col min="1805" max="1805" width="14.375" style="3191" customWidth="1"/>
    <col min="1806" max="1806" width="6.25" style="3191" customWidth="1"/>
    <col min="1807" max="1807" width="31" style="3191" customWidth="1"/>
    <col min="1808" max="1808" width="7.875" style="3191" customWidth="1"/>
    <col min="1809" max="2048" width="9" style="3191"/>
    <col min="2049" max="2049" width="31" style="3191" customWidth="1"/>
    <col min="2050" max="2050" width="6.25" style="3191" customWidth="1"/>
    <col min="2051" max="2053" width="13.875" style="3191" customWidth="1"/>
    <col min="2054" max="2054" width="12.5" style="3191" customWidth="1"/>
    <col min="2055" max="2055" width="7.875" style="3191" customWidth="1"/>
    <col min="2056" max="2056" width="11.125" style="3191" customWidth="1"/>
    <col min="2057" max="2058" width="9" style="3191" customWidth="1"/>
    <col min="2059" max="2060" width="10.625" style="3191" customWidth="1"/>
    <col min="2061" max="2061" width="14.375" style="3191" customWidth="1"/>
    <col min="2062" max="2062" width="6.25" style="3191" customWidth="1"/>
    <col min="2063" max="2063" width="31" style="3191" customWidth="1"/>
    <col min="2064" max="2064" width="7.875" style="3191" customWidth="1"/>
    <col min="2065" max="2304" width="9" style="3191"/>
    <col min="2305" max="2305" width="31" style="3191" customWidth="1"/>
    <col min="2306" max="2306" width="6.25" style="3191" customWidth="1"/>
    <col min="2307" max="2309" width="13.875" style="3191" customWidth="1"/>
    <col min="2310" max="2310" width="12.5" style="3191" customWidth="1"/>
    <col min="2311" max="2311" width="7.875" style="3191" customWidth="1"/>
    <col min="2312" max="2312" width="11.125" style="3191" customWidth="1"/>
    <col min="2313" max="2314" width="9" style="3191" customWidth="1"/>
    <col min="2315" max="2316" width="10.625" style="3191" customWidth="1"/>
    <col min="2317" max="2317" width="14.375" style="3191" customWidth="1"/>
    <col min="2318" max="2318" width="6.25" style="3191" customWidth="1"/>
    <col min="2319" max="2319" width="31" style="3191" customWidth="1"/>
    <col min="2320" max="2320" width="7.875" style="3191" customWidth="1"/>
    <col min="2321" max="2560" width="9" style="3191"/>
    <col min="2561" max="2561" width="31" style="3191" customWidth="1"/>
    <col min="2562" max="2562" width="6.25" style="3191" customWidth="1"/>
    <col min="2563" max="2565" width="13.875" style="3191" customWidth="1"/>
    <col min="2566" max="2566" width="12.5" style="3191" customWidth="1"/>
    <col min="2567" max="2567" width="7.875" style="3191" customWidth="1"/>
    <col min="2568" max="2568" width="11.125" style="3191" customWidth="1"/>
    <col min="2569" max="2570" width="9" style="3191" customWidth="1"/>
    <col min="2571" max="2572" width="10.625" style="3191" customWidth="1"/>
    <col min="2573" max="2573" width="14.375" style="3191" customWidth="1"/>
    <col min="2574" max="2574" width="6.25" style="3191" customWidth="1"/>
    <col min="2575" max="2575" width="31" style="3191" customWidth="1"/>
    <col min="2576" max="2576" width="7.875" style="3191" customWidth="1"/>
    <col min="2577" max="2816" width="9" style="3191"/>
    <col min="2817" max="2817" width="31" style="3191" customWidth="1"/>
    <col min="2818" max="2818" width="6.25" style="3191" customWidth="1"/>
    <col min="2819" max="2821" width="13.875" style="3191" customWidth="1"/>
    <col min="2822" max="2822" width="12.5" style="3191" customWidth="1"/>
    <col min="2823" max="2823" width="7.875" style="3191" customWidth="1"/>
    <col min="2824" max="2824" width="11.125" style="3191" customWidth="1"/>
    <col min="2825" max="2826" width="9" style="3191" customWidth="1"/>
    <col min="2827" max="2828" width="10.625" style="3191" customWidth="1"/>
    <col min="2829" max="2829" width="14.375" style="3191" customWidth="1"/>
    <col min="2830" max="2830" width="6.25" style="3191" customWidth="1"/>
    <col min="2831" max="2831" width="31" style="3191" customWidth="1"/>
    <col min="2832" max="2832" width="7.875" style="3191" customWidth="1"/>
    <col min="2833" max="3072" width="9" style="3191"/>
    <col min="3073" max="3073" width="31" style="3191" customWidth="1"/>
    <col min="3074" max="3074" width="6.25" style="3191" customWidth="1"/>
    <col min="3075" max="3077" width="13.875" style="3191" customWidth="1"/>
    <col min="3078" max="3078" width="12.5" style="3191" customWidth="1"/>
    <col min="3079" max="3079" width="7.875" style="3191" customWidth="1"/>
    <col min="3080" max="3080" width="11.125" style="3191" customWidth="1"/>
    <col min="3081" max="3082" width="9" style="3191" customWidth="1"/>
    <col min="3083" max="3084" width="10.625" style="3191" customWidth="1"/>
    <col min="3085" max="3085" width="14.375" style="3191" customWidth="1"/>
    <col min="3086" max="3086" width="6.25" style="3191" customWidth="1"/>
    <col min="3087" max="3087" width="31" style="3191" customWidth="1"/>
    <col min="3088" max="3088" width="7.875" style="3191" customWidth="1"/>
    <col min="3089" max="3328" width="9" style="3191"/>
    <col min="3329" max="3329" width="31" style="3191" customWidth="1"/>
    <col min="3330" max="3330" width="6.25" style="3191" customWidth="1"/>
    <col min="3331" max="3333" width="13.875" style="3191" customWidth="1"/>
    <col min="3334" max="3334" width="12.5" style="3191" customWidth="1"/>
    <col min="3335" max="3335" width="7.875" style="3191" customWidth="1"/>
    <col min="3336" max="3336" width="11.125" style="3191" customWidth="1"/>
    <col min="3337" max="3338" width="9" style="3191" customWidth="1"/>
    <col min="3339" max="3340" width="10.625" style="3191" customWidth="1"/>
    <col min="3341" max="3341" width="14.375" style="3191" customWidth="1"/>
    <col min="3342" max="3342" width="6.25" style="3191" customWidth="1"/>
    <col min="3343" max="3343" width="31" style="3191" customWidth="1"/>
    <col min="3344" max="3344" width="7.875" style="3191" customWidth="1"/>
    <col min="3345" max="3584" width="9" style="3191"/>
    <col min="3585" max="3585" width="31" style="3191" customWidth="1"/>
    <col min="3586" max="3586" width="6.25" style="3191" customWidth="1"/>
    <col min="3587" max="3589" width="13.875" style="3191" customWidth="1"/>
    <col min="3590" max="3590" width="12.5" style="3191" customWidth="1"/>
    <col min="3591" max="3591" width="7.875" style="3191" customWidth="1"/>
    <col min="3592" max="3592" width="11.125" style="3191" customWidth="1"/>
    <col min="3593" max="3594" width="9" style="3191" customWidth="1"/>
    <col min="3595" max="3596" width="10.625" style="3191" customWidth="1"/>
    <col min="3597" max="3597" width="14.375" style="3191" customWidth="1"/>
    <col min="3598" max="3598" width="6.25" style="3191" customWidth="1"/>
    <col min="3599" max="3599" width="31" style="3191" customWidth="1"/>
    <col min="3600" max="3600" width="7.875" style="3191" customWidth="1"/>
    <col min="3601" max="3840" width="9" style="3191"/>
    <col min="3841" max="3841" width="31" style="3191" customWidth="1"/>
    <col min="3842" max="3842" width="6.25" style="3191" customWidth="1"/>
    <col min="3843" max="3845" width="13.875" style="3191" customWidth="1"/>
    <col min="3846" max="3846" width="12.5" style="3191" customWidth="1"/>
    <col min="3847" max="3847" width="7.875" style="3191" customWidth="1"/>
    <col min="3848" max="3848" width="11.125" style="3191" customWidth="1"/>
    <col min="3849" max="3850" width="9" style="3191" customWidth="1"/>
    <col min="3851" max="3852" width="10.625" style="3191" customWidth="1"/>
    <col min="3853" max="3853" width="14.375" style="3191" customWidth="1"/>
    <col min="3854" max="3854" width="6.25" style="3191" customWidth="1"/>
    <col min="3855" max="3855" width="31" style="3191" customWidth="1"/>
    <col min="3856" max="3856" width="7.875" style="3191" customWidth="1"/>
    <col min="3857" max="4096" width="9" style="3191"/>
    <col min="4097" max="4097" width="31" style="3191" customWidth="1"/>
    <col min="4098" max="4098" width="6.25" style="3191" customWidth="1"/>
    <col min="4099" max="4101" width="13.875" style="3191" customWidth="1"/>
    <col min="4102" max="4102" width="12.5" style="3191" customWidth="1"/>
    <col min="4103" max="4103" width="7.875" style="3191" customWidth="1"/>
    <col min="4104" max="4104" width="11.125" style="3191" customWidth="1"/>
    <col min="4105" max="4106" width="9" style="3191" customWidth="1"/>
    <col min="4107" max="4108" width="10.625" style="3191" customWidth="1"/>
    <col min="4109" max="4109" width="14.375" style="3191" customWidth="1"/>
    <col min="4110" max="4110" width="6.25" style="3191" customWidth="1"/>
    <col min="4111" max="4111" width="31" style="3191" customWidth="1"/>
    <col min="4112" max="4112" width="7.875" style="3191" customWidth="1"/>
    <col min="4113" max="4352" width="9" style="3191"/>
    <col min="4353" max="4353" width="31" style="3191" customWidth="1"/>
    <col min="4354" max="4354" width="6.25" style="3191" customWidth="1"/>
    <col min="4355" max="4357" width="13.875" style="3191" customWidth="1"/>
    <col min="4358" max="4358" width="12.5" style="3191" customWidth="1"/>
    <col min="4359" max="4359" width="7.875" style="3191" customWidth="1"/>
    <col min="4360" max="4360" width="11.125" style="3191" customWidth="1"/>
    <col min="4361" max="4362" width="9" style="3191" customWidth="1"/>
    <col min="4363" max="4364" width="10.625" style="3191" customWidth="1"/>
    <col min="4365" max="4365" width="14.375" style="3191" customWidth="1"/>
    <col min="4366" max="4366" width="6.25" style="3191" customWidth="1"/>
    <col min="4367" max="4367" width="31" style="3191" customWidth="1"/>
    <col min="4368" max="4368" width="7.875" style="3191" customWidth="1"/>
    <col min="4369" max="4608" width="9" style="3191"/>
    <col min="4609" max="4609" width="31" style="3191" customWidth="1"/>
    <col min="4610" max="4610" width="6.25" style="3191" customWidth="1"/>
    <col min="4611" max="4613" width="13.875" style="3191" customWidth="1"/>
    <col min="4614" max="4614" width="12.5" style="3191" customWidth="1"/>
    <col min="4615" max="4615" width="7.875" style="3191" customWidth="1"/>
    <col min="4616" max="4616" width="11.125" style="3191" customWidth="1"/>
    <col min="4617" max="4618" width="9" style="3191" customWidth="1"/>
    <col min="4619" max="4620" width="10.625" style="3191" customWidth="1"/>
    <col min="4621" max="4621" width="14.375" style="3191" customWidth="1"/>
    <col min="4622" max="4622" width="6.25" style="3191" customWidth="1"/>
    <col min="4623" max="4623" width="31" style="3191" customWidth="1"/>
    <col min="4624" max="4624" width="7.875" style="3191" customWidth="1"/>
    <col min="4625" max="4864" width="9" style="3191"/>
    <col min="4865" max="4865" width="31" style="3191" customWidth="1"/>
    <col min="4866" max="4866" width="6.25" style="3191" customWidth="1"/>
    <col min="4867" max="4869" width="13.875" style="3191" customWidth="1"/>
    <col min="4870" max="4870" width="12.5" style="3191" customWidth="1"/>
    <col min="4871" max="4871" width="7.875" style="3191" customWidth="1"/>
    <col min="4872" max="4872" width="11.125" style="3191" customWidth="1"/>
    <col min="4873" max="4874" width="9" style="3191" customWidth="1"/>
    <col min="4875" max="4876" width="10.625" style="3191" customWidth="1"/>
    <col min="4877" max="4877" width="14.375" style="3191" customWidth="1"/>
    <col min="4878" max="4878" width="6.25" style="3191" customWidth="1"/>
    <col min="4879" max="4879" width="31" style="3191" customWidth="1"/>
    <col min="4880" max="4880" width="7.875" style="3191" customWidth="1"/>
    <col min="4881" max="5120" width="9" style="3191"/>
    <col min="5121" max="5121" width="31" style="3191" customWidth="1"/>
    <col min="5122" max="5122" width="6.25" style="3191" customWidth="1"/>
    <col min="5123" max="5125" width="13.875" style="3191" customWidth="1"/>
    <col min="5126" max="5126" width="12.5" style="3191" customWidth="1"/>
    <col min="5127" max="5127" width="7.875" style="3191" customWidth="1"/>
    <col min="5128" max="5128" width="11.125" style="3191" customWidth="1"/>
    <col min="5129" max="5130" width="9" style="3191" customWidth="1"/>
    <col min="5131" max="5132" width="10.625" style="3191" customWidth="1"/>
    <col min="5133" max="5133" width="14.375" style="3191" customWidth="1"/>
    <col min="5134" max="5134" width="6.25" style="3191" customWidth="1"/>
    <col min="5135" max="5135" width="31" style="3191" customWidth="1"/>
    <col min="5136" max="5136" width="7.875" style="3191" customWidth="1"/>
    <col min="5137" max="5376" width="9" style="3191"/>
    <col min="5377" max="5377" width="31" style="3191" customWidth="1"/>
    <col min="5378" max="5378" width="6.25" style="3191" customWidth="1"/>
    <col min="5379" max="5381" width="13.875" style="3191" customWidth="1"/>
    <col min="5382" max="5382" width="12.5" style="3191" customWidth="1"/>
    <col min="5383" max="5383" width="7.875" style="3191" customWidth="1"/>
    <col min="5384" max="5384" width="11.125" style="3191" customWidth="1"/>
    <col min="5385" max="5386" width="9" style="3191" customWidth="1"/>
    <col min="5387" max="5388" width="10.625" style="3191" customWidth="1"/>
    <col min="5389" max="5389" width="14.375" style="3191" customWidth="1"/>
    <col min="5390" max="5390" width="6.25" style="3191" customWidth="1"/>
    <col min="5391" max="5391" width="31" style="3191" customWidth="1"/>
    <col min="5392" max="5392" width="7.875" style="3191" customWidth="1"/>
    <col min="5393" max="5632" width="9" style="3191"/>
    <col min="5633" max="5633" width="31" style="3191" customWidth="1"/>
    <col min="5634" max="5634" width="6.25" style="3191" customWidth="1"/>
    <col min="5635" max="5637" width="13.875" style="3191" customWidth="1"/>
    <col min="5638" max="5638" width="12.5" style="3191" customWidth="1"/>
    <col min="5639" max="5639" width="7.875" style="3191" customWidth="1"/>
    <col min="5640" max="5640" width="11.125" style="3191" customWidth="1"/>
    <col min="5641" max="5642" width="9" style="3191" customWidth="1"/>
    <col min="5643" max="5644" width="10.625" style="3191" customWidth="1"/>
    <col min="5645" max="5645" width="14.375" style="3191" customWidth="1"/>
    <col min="5646" max="5646" width="6.25" style="3191" customWidth="1"/>
    <col min="5647" max="5647" width="31" style="3191" customWidth="1"/>
    <col min="5648" max="5648" width="7.875" style="3191" customWidth="1"/>
    <col min="5649" max="5888" width="9" style="3191"/>
    <col min="5889" max="5889" width="31" style="3191" customWidth="1"/>
    <col min="5890" max="5890" width="6.25" style="3191" customWidth="1"/>
    <col min="5891" max="5893" width="13.875" style="3191" customWidth="1"/>
    <col min="5894" max="5894" width="12.5" style="3191" customWidth="1"/>
    <col min="5895" max="5895" width="7.875" style="3191" customWidth="1"/>
    <col min="5896" max="5896" width="11.125" style="3191" customWidth="1"/>
    <col min="5897" max="5898" width="9" style="3191" customWidth="1"/>
    <col min="5899" max="5900" width="10.625" style="3191" customWidth="1"/>
    <col min="5901" max="5901" width="14.375" style="3191" customWidth="1"/>
    <col min="5902" max="5902" width="6.25" style="3191" customWidth="1"/>
    <col min="5903" max="5903" width="31" style="3191" customWidth="1"/>
    <col min="5904" max="5904" width="7.875" style="3191" customWidth="1"/>
    <col min="5905" max="6144" width="9" style="3191"/>
    <col min="6145" max="6145" width="31" style="3191" customWidth="1"/>
    <col min="6146" max="6146" width="6.25" style="3191" customWidth="1"/>
    <col min="6147" max="6149" width="13.875" style="3191" customWidth="1"/>
    <col min="6150" max="6150" width="12.5" style="3191" customWidth="1"/>
    <col min="6151" max="6151" width="7.875" style="3191" customWidth="1"/>
    <col min="6152" max="6152" width="11.125" style="3191" customWidth="1"/>
    <col min="6153" max="6154" width="9" style="3191" customWidth="1"/>
    <col min="6155" max="6156" width="10.625" style="3191" customWidth="1"/>
    <col min="6157" max="6157" width="14.375" style="3191" customWidth="1"/>
    <col min="6158" max="6158" width="6.25" style="3191" customWidth="1"/>
    <col min="6159" max="6159" width="31" style="3191" customWidth="1"/>
    <col min="6160" max="6160" width="7.875" style="3191" customWidth="1"/>
    <col min="6161" max="6400" width="9" style="3191"/>
    <col min="6401" max="6401" width="31" style="3191" customWidth="1"/>
    <col min="6402" max="6402" width="6.25" style="3191" customWidth="1"/>
    <col min="6403" max="6405" width="13.875" style="3191" customWidth="1"/>
    <col min="6406" max="6406" width="12.5" style="3191" customWidth="1"/>
    <col min="6407" max="6407" width="7.875" style="3191" customWidth="1"/>
    <col min="6408" max="6408" width="11.125" style="3191" customWidth="1"/>
    <col min="6409" max="6410" width="9" style="3191" customWidth="1"/>
    <col min="6411" max="6412" width="10.625" style="3191" customWidth="1"/>
    <col min="6413" max="6413" width="14.375" style="3191" customWidth="1"/>
    <col min="6414" max="6414" width="6.25" style="3191" customWidth="1"/>
    <col min="6415" max="6415" width="31" style="3191" customWidth="1"/>
    <col min="6416" max="6416" width="7.875" style="3191" customWidth="1"/>
    <col min="6417" max="6656" width="9" style="3191"/>
    <col min="6657" max="6657" width="31" style="3191" customWidth="1"/>
    <col min="6658" max="6658" width="6.25" style="3191" customWidth="1"/>
    <col min="6659" max="6661" width="13.875" style="3191" customWidth="1"/>
    <col min="6662" max="6662" width="12.5" style="3191" customWidth="1"/>
    <col min="6663" max="6663" width="7.875" style="3191" customWidth="1"/>
    <col min="6664" max="6664" width="11.125" style="3191" customWidth="1"/>
    <col min="6665" max="6666" width="9" style="3191" customWidth="1"/>
    <col min="6667" max="6668" width="10.625" style="3191" customWidth="1"/>
    <col min="6669" max="6669" width="14.375" style="3191" customWidth="1"/>
    <col min="6670" max="6670" width="6.25" style="3191" customWidth="1"/>
    <col min="6671" max="6671" width="31" style="3191" customWidth="1"/>
    <col min="6672" max="6672" width="7.875" style="3191" customWidth="1"/>
    <col min="6673" max="6912" width="9" style="3191"/>
    <col min="6913" max="6913" width="31" style="3191" customWidth="1"/>
    <col min="6914" max="6914" width="6.25" style="3191" customWidth="1"/>
    <col min="6915" max="6917" width="13.875" style="3191" customWidth="1"/>
    <col min="6918" max="6918" width="12.5" style="3191" customWidth="1"/>
    <col min="6919" max="6919" width="7.875" style="3191" customWidth="1"/>
    <col min="6920" max="6920" width="11.125" style="3191" customWidth="1"/>
    <col min="6921" max="6922" width="9" style="3191" customWidth="1"/>
    <col min="6923" max="6924" width="10.625" style="3191" customWidth="1"/>
    <col min="6925" max="6925" width="14.375" style="3191" customWidth="1"/>
    <col min="6926" max="6926" width="6.25" style="3191" customWidth="1"/>
    <col min="6927" max="6927" width="31" style="3191" customWidth="1"/>
    <col min="6928" max="6928" width="7.875" style="3191" customWidth="1"/>
    <col min="6929" max="7168" width="9" style="3191"/>
    <col min="7169" max="7169" width="31" style="3191" customWidth="1"/>
    <col min="7170" max="7170" width="6.25" style="3191" customWidth="1"/>
    <col min="7171" max="7173" width="13.875" style="3191" customWidth="1"/>
    <col min="7174" max="7174" width="12.5" style="3191" customWidth="1"/>
    <col min="7175" max="7175" width="7.875" style="3191" customWidth="1"/>
    <col min="7176" max="7176" width="11.125" style="3191" customWidth="1"/>
    <col min="7177" max="7178" width="9" style="3191" customWidth="1"/>
    <col min="7179" max="7180" width="10.625" style="3191" customWidth="1"/>
    <col min="7181" max="7181" width="14.375" style="3191" customWidth="1"/>
    <col min="7182" max="7182" width="6.25" style="3191" customWidth="1"/>
    <col min="7183" max="7183" width="31" style="3191" customWidth="1"/>
    <col min="7184" max="7184" width="7.875" style="3191" customWidth="1"/>
    <col min="7185" max="7424" width="9" style="3191"/>
    <col min="7425" max="7425" width="31" style="3191" customWidth="1"/>
    <col min="7426" max="7426" width="6.25" style="3191" customWidth="1"/>
    <col min="7427" max="7429" width="13.875" style="3191" customWidth="1"/>
    <col min="7430" max="7430" width="12.5" style="3191" customWidth="1"/>
    <col min="7431" max="7431" width="7.875" style="3191" customWidth="1"/>
    <col min="7432" max="7432" width="11.125" style="3191" customWidth="1"/>
    <col min="7433" max="7434" width="9" style="3191" customWidth="1"/>
    <col min="7435" max="7436" width="10.625" style="3191" customWidth="1"/>
    <col min="7437" max="7437" width="14.375" style="3191" customWidth="1"/>
    <col min="7438" max="7438" width="6.25" style="3191" customWidth="1"/>
    <col min="7439" max="7439" width="31" style="3191" customWidth="1"/>
    <col min="7440" max="7440" width="7.875" style="3191" customWidth="1"/>
    <col min="7441" max="7680" width="9" style="3191"/>
    <col min="7681" max="7681" width="31" style="3191" customWidth="1"/>
    <col min="7682" max="7682" width="6.25" style="3191" customWidth="1"/>
    <col min="7683" max="7685" width="13.875" style="3191" customWidth="1"/>
    <col min="7686" max="7686" width="12.5" style="3191" customWidth="1"/>
    <col min="7687" max="7687" width="7.875" style="3191" customWidth="1"/>
    <col min="7688" max="7688" width="11.125" style="3191" customWidth="1"/>
    <col min="7689" max="7690" width="9" style="3191" customWidth="1"/>
    <col min="7691" max="7692" width="10.625" style="3191" customWidth="1"/>
    <col min="7693" max="7693" width="14.375" style="3191" customWidth="1"/>
    <col min="7694" max="7694" width="6.25" style="3191" customWidth="1"/>
    <col min="7695" max="7695" width="31" style="3191" customWidth="1"/>
    <col min="7696" max="7696" width="7.875" style="3191" customWidth="1"/>
    <col min="7697" max="7936" width="9" style="3191"/>
    <col min="7937" max="7937" width="31" style="3191" customWidth="1"/>
    <col min="7938" max="7938" width="6.25" style="3191" customWidth="1"/>
    <col min="7939" max="7941" width="13.875" style="3191" customWidth="1"/>
    <col min="7942" max="7942" width="12.5" style="3191" customWidth="1"/>
    <col min="7943" max="7943" width="7.875" style="3191" customWidth="1"/>
    <col min="7944" max="7944" width="11.125" style="3191" customWidth="1"/>
    <col min="7945" max="7946" width="9" style="3191" customWidth="1"/>
    <col min="7947" max="7948" width="10.625" style="3191" customWidth="1"/>
    <col min="7949" max="7949" width="14.375" style="3191" customWidth="1"/>
    <col min="7950" max="7950" width="6.25" style="3191" customWidth="1"/>
    <col min="7951" max="7951" width="31" style="3191" customWidth="1"/>
    <col min="7952" max="7952" width="7.875" style="3191" customWidth="1"/>
    <col min="7953" max="8192" width="9" style="3191"/>
    <col min="8193" max="8193" width="31" style="3191" customWidth="1"/>
    <col min="8194" max="8194" width="6.25" style="3191" customWidth="1"/>
    <col min="8195" max="8197" width="13.875" style="3191" customWidth="1"/>
    <col min="8198" max="8198" width="12.5" style="3191" customWidth="1"/>
    <col min="8199" max="8199" width="7.875" style="3191" customWidth="1"/>
    <col min="8200" max="8200" width="11.125" style="3191" customWidth="1"/>
    <col min="8201" max="8202" width="9" style="3191" customWidth="1"/>
    <col min="8203" max="8204" width="10.625" style="3191" customWidth="1"/>
    <col min="8205" max="8205" width="14.375" style="3191" customWidth="1"/>
    <col min="8206" max="8206" width="6.25" style="3191" customWidth="1"/>
    <col min="8207" max="8207" width="31" style="3191" customWidth="1"/>
    <col min="8208" max="8208" width="7.875" style="3191" customWidth="1"/>
    <col min="8209" max="8448" width="9" style="3191"/>
    <col min="8449" max="8449" width="31" style="3191" customWidth="1"/>
    <col min="8450" max="8450" width="6.25" style="3191" customWidth="1"/>
    <col min="8451" max="8453" width="13.875" style="3191" customWidth="1"/>
    <col min="8454" max="8454" width="12.5" style="3191" customWidth="1"/>
    <col min="8455" max="8455" width="7.875" style="3191" customWidth="1"/>
    <col min="8456" max="8456" width="11.125" style="3191" customWidth="1"/>
    <col min="8457" max="8458" width="9" style="3191" customWidth="1"/>
    <col min="8459" max="8460" width="10.625" style="3191" customWidth="1"/>
    <col min="8461" max="8461" width="14.375" style="3191" customWidth="1"/>
    <col min="8462" max="8462" width="6.25" style="3191" customWidth="1"/>
    <col min="8463" max="8463" width="31" style="3191" customWidth="1"/>
    <col min="8464" max="8464" width="7.875" style="3191" customWidth="1"/>
    <col min="8465" max="8704" width="9" style="3191"/>
    <col min="8705" max="8705" width="31" style="3191" customWidth="1"/>
    <col min="8706" max="8706" width="6.25" style="3191" customWidth="1"/>
    <col min="8707" max="8709" width="13.875" style="3191" customWidth="1"/>
    <col min="8710" max="8710" width="12.5" style="3191" customWidth="1"/>
    <col min="8711" max="8711" width="7.875" style="3191" customWidth="1"/>
    <col min="8712" max="8712" width="11.125" style="3191" customWidth="1"/>
    <col min="8713" max="8714" width="9" style="3191" customWidth="1"/>
    <col min="8715" max="8716" width="10.625" style="3191" customWidth="1"/>
    <col min="8717" max="8717" width="14.375" style="3191" customWidth="1"/>
    <col min="8718" max="8718" width="6.25" style="3191" customWidth="1"/>
    <col min="8719" max="8719" width="31" style="3191" customWidth="1"/>
    <col min="8720" max="8720" width="7.875" style="3191" customWidth="1"/>
    <col min="8721" max="8960" width="9" style="3191"/>
    <col min="8961" max="8961" width="31" style="3191" customWidth="1"/>
    <col min="8962" max="8962" width="6.25" style="3191" customWidth="1"/>
    <col min="8963" max="8965" width="13.875" style="3191" customWidth="1"/>
    <col min="8966" max="8966" width="12.5" style="3191" customWidth="1"/>
    <col min="8967" max="8967" width="7.875" style="3191" customWidth="1"/>
    <col min="8968" max="8968" width="11.125" style="3191" customWidth="1"/>
    <col min="8969" max="8970" width="9" style="3191" customWidth="1"/>
    <col min="8971" max="8972" width="10.625" style="3191" customWidth="1"/>
    <col min="8973" max="8973" width="14.375" style="3191" customWidth="1"/>
    <col min="8974" max="8974" width="6.25" style="3191" customWidth="1"/>
    <col min="8975" max="8975" width="31" style="3191" customWidth="1"/>
    <col min="8976" max="8976" width="7.875" style="3191" customWidth="1"/>
    <col min="8977" max="9216" width="9" style="3191"/>
    <col min="9217" max="9217" width="31" style="3191" customWidth="1"/>
    <col min="9218" max="9218" width="6.25" style="3191" customWidth="1"/>
    <col min="9219" max="9221" width="13.875" style="3191" customWidth="1"/>
    <col min="9222" max="9222" width="12.5" style="3191" customWidth="1"/>
    <col min="9223" max="9223" width="7.875" style="3191" customWidth="1"/>
    <col min="9224" max="9224" width="11.125" style="3191" customWidth="1"/>
    <col min="9225" max="9226" width="9" style="3191" customWidth="1"/>
    <col min="9227" max="9228" width="10.625" style="3191" customWidth="1"/>
    <col min="9229" max="9229" width="14.375" style="3191" customWidth="1"/>
    <col min="9230" max="9230" width="6.25" style="3191" customWidth="1"/>
    <col min="9231" max="9231" width="31" style="3191" customWidth="1"/>
    <col min="9232" max="9232" width="7.875" style="3191" customWidth="1"/>
    <col min="9233" max="9472" width="9" style="3191"/>
    <col min="9473" max="9473" width="31" style="3191" customWidth="1"/>
    <col min="9474" max="9474" width="6.25" style="3191" customWidth="1"/>
    <col min="9475" max="9477" width="13.875" style="3191" customWidth="1"/>
    <col min="9478" max="9478" width="12.5" style="3191" customWidth="1"/>
    <col min="9479" max="9479" width="7.875" style="3191" customWidth="1"/>
    <col min="9480" max="9480" width="11.125" style="3191" customWidth="1"/>
    <col min="9481" max="9482" width="9" style="3191" customWidth="1"/>
    <col min="9483" max="9484" width="10.625" style="3191" customWidth="1"/>
    <col min="9485" max="9485" width="14.375" style="3191" customWidth="1"/>
    <col min="9486" max="9486" width="6.25" style="3191" customWidth="1"/>
    <col min="9487" max="9487" width="31" style="3191" customWidth="1"/>
    <col min="9488" max="9488" width="7.875" style="3191" customWidth="1"/>
    <col min="9489" max="9728" width="9" style="3191"/>
    <col min="9729" max="9729" width="31" style="3191" customWidth="1"/>
    <col min="9730" max="9730" width="6.25" style="3191" customWidth="1"/>
    <col min="9731" max="9733" width="13.875" style="3191" customWidth="1"/>
    <col min="9734" max="9734" width="12.5" style="3191" customWidth="1"/>
    <col min="9735" max="9735" width="7.875" style="3191" customWidth="1"/>
    <col min="9736" max="9736" width="11.125" style="3191" customWidth="1"/>
    <col min="9737" max="9738" width="9" style="3191" customWidth="1"/>
    <col min="9739" max="9740" width="10.625" style="3191" customWidth="1"/>
    <col min="9741" max="9741" width="14.375" style="3191" customWidth="1"/>
    <col min="9742" max="9742" width="6.25" style="3191" customWidth="1"/>
    <col min="9743" max="9743" width="31" style="3191" customWidth="1"/>
    <col min="9744" max="9744" width="7.875" style="3191" customWidth="1"/>
    <col min="9745" max="9984" width="9" style="3191"/>
    <col min="9985" max="9985" width="31" style="3191" customWidth="1"/>
    <col min="9986" max="9986" width="6.25" style="3191" customWidth="1"/>
    <col min="9987" max="9989" width="13.875" style="3191" customWidth="1"/>
    <col min="9990" max="9990" width="12.5" style="3191" customWidth="1"/>
    <col min="9991" max="9991" width="7.875" style="3191" customWidth="1"/>
    <col min="9992" max="9992" width="11.125" style="3191" customWidth="1"/>
    <col min="9993" max="9994" width="9" style="3191" customWidth="1"/>
    <col min="9995" max="9996" width="10.625" style="3191" customWidth="1"/>
    <col min="9997" max="9997" width="14.375" style="3191" customWidth="1"/>
    <col min="9998" max="9998" width="6.25" style="3191" customWidth="1"/>
    <col min="9999" max="9999" width="31" style="3191" customWidth="1"/>
    <col min="10000" max="10000" width="7.875" style="3191" customWidth="1"/>
    <col min="10001" max="10240" width="9" style="3191"/>
    <col min="10241" max="10241" width="31" style="3191" customWidth="1"/>
    <col min="10242" max="10242" width="6.25" style="3191" customWidth="1"/>
    <col min="10243" max="10245" width="13.875" style="3191" customWidth="1"/>
    <col min="10246" max="10246" width="12.5" style="3191" customWidth="1"/>
    <col min="10247" max="10247" width="7.875" style="3191" customWidth="1"/>
    <col min="10248" max="10248" width="11.125" style="3191" customWidth="1"/>
    <col min="10249" max="10250" width="9" style="3191" customWidth="1"/>
    <col min="10251" max="10252" width="10.625" style="3191" customWidth="1"/>
    <col min="10253" max="10253" width="14.375" style="3191" customWidth="1"/>
    <col min="10254" max="10254" width="6.25" style="3191" customWidth="1"/>
    <col min="10255" max="10255" width="31" style="3191" customWidth="1"/>
    <col min="10256" max="10256" width="7.875" style="3191" customWidth="1"/>
    <col min="10257" max="10496" width="9" style="3191"/>
    <col min="10497" max="10497" width="31" style="3191" customWidth="1"/>
    <col min="10498" max="10498" width="6.25" style="3191" customWidth="1"/>
    <col min="10499" max="10501" width="13.875" style="3191" customWidth="1"/>
    <col min="10502" max="10502" width="12.5" style="3191" customWidth="1"/>
    <col min="10503" max="10503" width="7.875" style="3191" customWidth="1"/>
    <col min="10504" max="10504" width="11.125" style="3191" customWidth="1"/>
    <col min="10505" max="10506" width="9" style="3191" customWidth="1"/>
    <col min="10507" max="10508" width="10.625" style="3191" customWidth="1"/>
    <col min="10509" max="10509" width="14.375" style="3191" customWidth="1"/>
    <col min="10510" max="10510" width="6.25" style="3191" customWidth="1"/>
    <col min="10511" max="10511" width="31" style="3191" customWidth="1"/>
    <col min="10512" max="10512" width="7.875" style="3191" customWidth="1"/>
    <col min="10513" max="10752" width="9" style="3191"/>
    <col min="10753" max="10753" width="31" style="3191" customWidth="1"/>
    <col min="10754" max="10754" width="6.25" style="3191" customWidth="1"/>
    <col min="10755" max="10757" width="13.875" style="3191" customWidth="1"/>
    <col min="10758" max="10758" width="12.5" style="3191" customWidth="1"/>
    <col min="10759" max="10759" width="7.875" style="3191" customWidth="1"/>
    <col min="10760" max="10760" width="11.125" style="3191" customWidth="1"/>
    <col min="10761" max="10762" width="9" style="3191" customWidth="1"/>
    <col min="10763" max="10764" width="10.625" style="3191" customWidth="1"/>
    <col min="10765" max="10765" width="14.375" style="3191" customWidth="1"/>
    <col min="10766" max="10766" width="6.25" style="3191" customWidth="1"/>
    <col min="10767" max="10767" width="31" style="3191" customWidth="1"/>
    <col min="10768" max="10768" width="7.875" style="3191" customWidth="1"/>
    <col min="10769" max="11008" width="9" style="3191"/>
    <col min="11009" max="11009" width="31" style="3191" customWidth="1"/>
    <col min="11010" max="11010" width="6.25" style="3191" customWidth="1"/>
    <col min="11011" max="11013" width="13.875" style="3191" customWidth="1"/>
    <col min="11014" max="11014" width="12.5" style="3191" customWidth="1"/>
    <col min="11015" max="11015" width="7.875" style="3191" customWidth="1"/>
    <col min="11016" max="11016" width="11.125" style="3191" customWidth="1"/>
    <col min="11017" max="11018" width="9" style="3191" customWidth="1"/>
    <col min="11019" max="11020" width="10.625" style="3191" customWidth="1"/>
    <col min="11021" max="11021" width="14.375" style="3191" customWidth="1"/>
    <col min="11022" max="11022" width="6.25" style="3191" customWidth="1"/>
    <col min="11023" max="11023" width="31" style="3191" customWidth="1"/>
    <col min="11024" max="11024" width="7.875" style="3191" customWidth="1"/>
    <col min="11025" max="11264" width="9" style="3191"/>
    <col min="11265" max="11265" width="31" style="3191" customWidth="1"/>
    <col min="11266" max="11266" width="6.25" style="3191" customWidth="1"/>
    <col min="11267" max="11269" width="13.875" style="3191" customWidth="1"/>
    <col min="11270" max="11270" width="12.5" style="3191" customWidth="1"/>
    <col min="11271" max="11271" width="7.875" style="3191" customWidth="1"/>
    <col min="11272" max="11272" width="11.125" style="3191" customWidth="1"/>
    <col min="11273" max="11274" width="9" style="3191" customWidth="1"/>
    <col min="11275" max="11276" width="10.625" style="3191" customWidth="1"/>
    <col min="11277" max="11277" width="14.375" style="3191" customWidth="1"/>
    <col min="11278" max="11278" width="6.25" style="3191" customWidth="1"/>
    <col min="11279" max="11279" width="31" style="3191" customWidth="1"/>
    <col min="11280" max="11280" width="7.875" style="3191" customWidth="1"/>
    <col min="11281" max="11520" width="9" style="3191"/>
    <col min="11521" max="11521" width="31" style="3191" customWidth="1"/>
    <col min="11522" max="11522" width="6.25" style="3191" customWidth="1"/>
    <col min="11523" max="11525" width="13.875" style="3191" customWidth="1"/>
    <col min="11526" max="11526" width="12.5" style="3191" customWidth="1"/>
    <col min="11527" max="11527" width="7.875" style="3191" customWidth="1"/>
    <col min="11528" max="11528" width="11.125" style="3191" customWidth="1"/>
    <col min="11529" max="11530" width="9" style="3191" customWidth="1"/>
    <col min="11531" max="11532" width="10.625" style="3191" customWidth="1"/>
    <col min="11533" max="11533" width="14.375" style="3191" customWidth="1"/>
    <col min="11534" max="11534" width="6.25" style="3191" customWidth="1"/>
    <col min="11535" max="11535" width="31" style="3191" customWidth="1"/>
    <col min="11536" max="11536" width="7.875" style="3191" customWidth="1"/>
    <col min="11537" max="11776" width="9" style="3191"/>
    <col min="11777" max="11777" width="31" style="3191" customWidth="1"/>
    <col min="11778" max="11778" width="6.25" style="3191" customWidth="1"/>
    <col min="11779" max="11781" width="13.875" style="3191" customWidth="1"/>
    <col min="11782" max="11782" width="12.5" style="3191" customWidth="1"/>
    <col min="11783" max="11783" width="7.875" style="3191" customWidth="1"/>
    <col min="11784" max="11784" width="11.125" style="3191" customWidth="1"/>
    <col min="11785" max="11786" width="9" style="3191" customWidth="1"/>
    <col min="11787" max="11788" width="10.625" style="3191" customWidth="1"/>
    <col min="11789" max="11789" width="14.375" style="3191" customWidth="1"/>
    <col min="11790" max="11790" width="6.25" style="3191" customWidth="1"/>
    <col min="11791" max="11791" width="31" style="3191" customWidth="1"/>
    <col min="11792" max="11792" width="7.875" style="3191" customWidth="1"/>
    <col min="11793" max="12032" width="9" style="3191"/>
    <col min="12033" max="12033" width="31" style="3191" customWidth="1"/>
    <col min="12034" max="12034" width="6.25" style="3191" customWidth="1"/>
    <col min="12035" max="12037" width="13.875" style="3191" customWidth="1"/>
    <col min="12038" max="12038" width="12.5" style="3191" customWidth="1"/>
    <col min="12039" max="12039" width="7.875" style="3191" customWidth="1"/>
    <col min="12040" max="12040" width="11.125" style="3191" customWidth="1"/>
    <col min="12041" max="12042" width="9" style="3191" customWidth="1"/>
    <col min="12043" max="12044" width="10.625" style="3191" customWidth="1"/>
    <col min="12045" max="12045" width="14.375" style="3191" customWidth="1"/>
    <col min="12046" max="12046" width="6.25" style="3191" customWidth="1"/>
    <col min="12047" max="12047" width="31" style="3191" customWidth="1"/>
    <col min="12048" max="12048" width="7.875" style="3191" customWidth="1"/>
    <col min="12049" max="12288" width="9" style="3191"/>
    <col min="12289" max="12289" width="31" style="3191" customWidth="1"/>
    <col min="12290" max="12290" width="6.25" style="3191" customWidth="1"/>
    <col min="12291" max="12293" width="13.875" style="3191" customWidth="1"/>
    <col min="12294" max="12294" width="12.5" style="3191" customWidth="1"/>
    <col min="12295" max="12295" width="7.875" style="3191" customWidth="1"/>
    <col min="12296" max="12296" width="11.125" style="3191" customWidth="1"/>
    <col min="12297" max="12298" width="9" style="3191" customWidth="1"/>
    <col min="12299" max="12300" width="10.625" style="3191" customWidth="1"/>
    <col min="12301" max="12301" width="14.375" style="3191" customWidth="1"/>
    <col min="12302" max="12302" width="6.25" style="3191" customWidth="1"/>
    <col min="12303" max="12303" width="31" style="3191" customWidth="1"/>
    <col min="12304" max="12304" width="7.875" style="3191" customWidth="1"/>
    <col min="12305" max="12544" width="9" style="3191"/>
    <col min="12545" max="12545" width="31" style="3191" customWidth="1"/>
    <col min="12546" max="12546" width="6.25" style="3191" customWidth="1"/>
    <col min="12547" max="12549" width="13.875" style="3191" customWidth="1"/>
    <col min="12550" max="12550" width="12.5" style="3191" customWidth="1"/>
    <col min="12551" max="12551" width="7.875" style="3191" customWidth="1"/>
    <col min="12552" max="12552" width="11.125" style="3191" customWidth="1"/>
    <col min="12553" max="12554" width="9" style="3191" customWidth="1"/>
    <col min="12555" max="12556" width="10.625" style="3191" customWidth="1"/>
    <col min="12557" max="12557" width="14.375" style="3191" customWidth="1"/>
    <col min="12558" max="12558" width="6.25" style="3191" customWidth="1"/>
    <col min="12559" max="12559" width="31" style="3191" customWidth="1"/>
    <col min="12560" max="12560" width="7.875" style="3191" customWidth="1"/>
    <col min="12561" max="12800" width="9" style="3191"/>
    <col min="12801" max="12801" width="31" style="3191" customWidth="1"/>
    <col min="12802" max="12802" width="6.25" style="3191" customWidth="1"/>
    <col min="12803" max="12805" width="13.875" style="3191" customWidth="1"/>
    <col min="12806" max="12806" width="12.5" style="3191" customWidth="1"/>
    <col min="12807" max="12807" width="7.875" style="3191" customWidth="1"/>
    <col min="12808" max="12808" width="11.125" style="3191" customWidth="1"/>
    <col min="12809" max="12810" width="9" style="3191" customWidth="1"/>
    <col min="12811" max="12812" width="10.625" style="3191" customWidth="1"/>
    <col min="12813" max="12813" width="14.375" style="3191" customWidth="1"/>
    <col min="12814" max="12814" width="6.25" style="3191" customWidth="1"/>
    <col min="12815" max="12815" width="31" style="3191" customWidth="1"/>
    <col min="12816" max="12816" width="7.875" style="3191" customWidth="1"/>
    <col min="12817" max="13056" width="9" style="3191"/>
    <col min="13057" max="13057" width="31" style="3191" customWidth="1"/>
    <col min="13058" max="13058" width="6.25" style="3191" customWidth="1"/>
    <col min="13059" max="13061" width="13.875" style="3191" customWidth="1"/>
    <col min="13062" max="13062" width="12.5" style="3191" customWidth="1"/>
    <col min="13063" max="13063" width="7.875" style="3191" customWidth="1"/>
    <col min="13064" max="13064" width="11.125" style="3191" customWidth="1"/>
    <col min="13065" max="13066" width="9" style="3191" customWidth="1"/>
    <col min="13067" max="13068" width="10.625" style="3191" customWidth="1"/>
    <col min="13069" max="13069" width="14.375" style="3191" customWidth="1"/>
    <col min="13070" max="13070" width="6.25" style="3191" customWidth="1"/>
    <col min="13071" max="13071" width="31" style="3191" customWidth="1"/>
    <col min="13072" max="13072" width="7.875" style="3191" customWidth="1"/>
    <col min="13073" max="13312" width="9" style="3191"/>
    <col min="13313" max="13313" width="31" style="3191" customWidth="1"/>
    <col min="13314" max="13314" width="6.25" style="3191" customWidth="1"/>
    <col min="13315" max="13317" width="13.875" style="3191" customWidth="1"/>
    <col min="13318" max="13318" width="12.5" style="3191" customWidth="1"/>
    <col min="13319" max="13319" width="7.875" style="3191" customWidth="1"/>
    <col min="13320" max="13320" width="11.125" style="3191" customWidth="1"/>
    <col min="13321" max="13322" width="9" style="3191" customWidth="1"/>
    <col min="13323" max="13324" width="10.625" style="3191" customWidth="1"/>
    <col min="13325" max="13325" width="14.375" style="3191" customWidth="1"/>
    <col min="13326" max="13326" width="6.25" style="3191" customWidth="1"/>
    <col min="13327" max="13327" width="31" style="3191" customWidth="1"/>
    <col min="13328" max="13328" width="7.875" style="3191" customWidth="1"/>
    <col min="13329" max="13568" width="9" style="3191"/>
    <col min="13569" max="13569" width="31" style="3191" customWidth="1"/>
    <col min="13570" max="13570" width="6.25" style="3191" customWidth="1"/>
    <col min="13571" max="13573" width="13.875" style="3191" customWidth="1"/>
    <col min="13574" max="13574" width="12.5" style="3191" customWidth="1"/>
    <col min="13575" max="13575" width="7.875" style="3191" customWidth="1"/>
    <col min="13576" max="13576" width="11.125" style="3191" customWidth="1"/>
    <col min="13577" max="13578" width="9" style="3191" customWidth="1"/>
    <col min="13579" max="13580" width="10.625" style="3191" customWidth="1"/>
    <col min="13581" max="13581" width="14.375" style="3191" customWidth="1"/>
    <col min="13582" max="13582" width="6.25" style="3191" customWidth="1"/>
    <col min="13583" max="13583" width="31" style="3191" customWidth="1"/>
    <col min="13584" max="13584" width="7.875" style="3191" customWidth="1"/>
    <col min="13585" max="13824" width="9" style="3191"/>
    <col min="13825" max="13825" width="31" style="3191" customWidth="1"/>
    <col min="13826" max="13826" width="6.25" style="3191" customWidth="1"/>
    <col min="13827" max="13829" width="13.875" style="3191" customWidth="1"/>
    <col min="13830" max="13830" width="12.5" style="3191" customWidth="1"/>
    <col min="13831" max="13831" width="7.875" style="3191" customWidth="1"/>
    <col min="13832" max="13832" width="11.125" style="3191" customWidth="1"/>
    <col min="13833" max="13834" width="9" style="3191" customWidth="1"/>
    <col min="13835" max="13836" width="10.625" style="3191" customWidth="1"/>
    <col min="13837" max="13837" width="14.375" style="3191" customWidth="1"/>
    <col min="13838" max="13838" width="6.25" style="3191" customWidth="1"/>
    <col min="13839" max="13839" width="31" style="3191" customWidth="1"/>
    <col min="13840" max="13840" width="7.875" style="3191" customWidth="1"/>
    <col min="13841" max="14080" width="9" style="3191"/>
    <col min="14081" max="14081" width="31" style="3191" customWidth="1"/>
    <col min="14082" max="14082" width="6.25" style="3191" customWidth="1"/>
    <col min="14083" max="14085" width="13.875" style="3191" customWidth="1"/>
    <col min="14086" max="14086" width="12.5" style="3191" customWidth="1"/>
    <col min="14087" max="14087" width="7.875" style="3191" customWidth="1"/>
    <col min="14088" max="14088" width="11.125" style="3191" customWidth="1"/>
    <col min="14089" max="14090" width="9" style="3191" customWidth="1"/>
    <col min="14091" max="14092" width="10.625" style="3191" customWidth="1"/>
    <col min="14093" max="14093" width="14.375" style="3191" customWidth="1"/>
    <col min="14094" max="14094" width="6.25" style="3191" customWidth="1"/>
    <col min="14095" max="14095" width="31" style="3191" customWidth="1"/>
    <col min="14096" max="14096" width="7.875" style="3191" customWidth="1"/>
    <col min="14097" max="14336" width="9" style="3191"/>
    <col min="14337" max="14337" width="31" style="3191" customWidth="1"/>
    <col min="14338" max="14338" width="6.25" style="3191" customWidth="1"/>
    <col min="14339" max="14341" width="13.875" style="3191" customWidth="1"/>
    <col min="14342" max="14342" width="12.5" style="3191" customWidth="1"/>
    <col min="14343" max="14343" width="7.875" style="3191" customWidth="1"/>
    <col min="14344" max="14344" width="11.125" style="3191" customWidth="1"/>
    <col min="14345" max="14346" width="9" style="3191" customWidth="1"/>
    <col min="14347" max="14348" width="10.625" style="3191" customWidth="1"/>
    <col min="14349" max="14349" width="14.375" style="3191" customWidth="1"/>
    <col min="14350" max="14350" width="6.25" style="3191" customWidth="1"/>
    <col min="14351" max="14351" width="31" style="3191" customWidth="1"/>
    <col min="14352" max="14352" width="7.875" style="3191" customWidth="1"/>
    <col min="14353" max="14592" width="9" style="3191"/>
    <col min="14593" max="14593" width="31" style="3191" customWidth="1"/>
    <col min="14594" max="14594" width="6.25" style="3191" customWidth="1"/>
    <col min="14595" max="14597" width="13.875" style="3191" customWidth="1"/>
    <col min="14598" max="14598" width="12.5" style="3191" customWidth="1"/>
    <col min="14599" max="14599" width="7.875" style="3191" customWidth="1"/>
    <col min="14600" max="14600" width="11.125" style="3191" customWidth="1"/>
    <col min="14601" max="14602" width="9" style="3191" customWidth="1"/>
    <col min="14603" max="14604" width="10.625" style="3191" customWidth="1"/>
    <col min="14605" max="14605" width="14.375" style="3191" customWidth="1"/>
    <col min="14606" max="14606" width="6.25" style="3191" customWidth="1"/>
    <col min="14607" max="14607" width="31" style="3191" customWidth="1"/>
    <col min="14608" max="14608" width="7.875" style="3191" customWidth="1"/>
    <col min="14609" max="14848" width="9" style="3191"/>
    <col min="14849" max="14849" width="31" style="3191" customWidth="1"/>
    <col min="14850" max="14850" width="6.25" style="3191" customWidth="1"/>
    <col min="14851" max="14853" width="13.875" style="3191" customWidth="1"/>
    <col min="14854" max="14854" width="12.5" style="3191" customWidth="1"/>
    <col min="14855" max="14855" width="7.875" style="3191" customWidth="1"/>
    <col min="14856" max="14856" width="11.125" style="3191" customWidth="1"/>
    <col min="14857" max="14858" width="9" style="3191" customWidth="1"/>
    <col min="14859" max="14860" width="10.625" style="3191" customWidth="1"/>
    <col min="14861" max="14861" width="14.375" style="3191" customWidth="1"/>
    <col min="14862" max="14862" width="6.25" style="3191" customWidth="1"/>
    <col min="14863" max="14863" width="31" style="3191" customWidth="1"/>
    <col min="14864" max="14864" width="7.875" style="3191" customWidth="1"/>
    <col min="14865" max="15104" width="9" style="3191"/>
    <col min="15105" max="15105" width="31" style="3191" customWidth="1"/>
    <col min="15106" max="15106" width="6.25" style="3191" customWidth="1"/>
    <col min="15107" max="15109" width="13.875" style="3191" customWidth="1"/>
    <col min="15110" max="15110" width="12.5" style="3191" customWidth="1"/>
    <col min="15111" max="15111" width="7.875" style="3191" customWidth="1"/>
    <col min="15112" max="15112" width="11.125" style="3191" customWidth="1"/>
    <col min="15113" max="15114" width="9" style="3191" customWidth="1"/>
    <col min="15115" max="15116" width="10.625" style="3191" customWidth="1"/>
    <col min="15117" max="15117" width="14.375" style="3191" customWidth="1"/>
    <col min="15118" max="15118" width="6.25" style="3191" customWidth="1"/>
    <col min="15119" max="15119" width="31" style="3191" customWidth="1"/>
    <col min="15120" max="15120" width="7.875" style="3191" customWidth="1"/>
    <col min="15121" max="15360" width="9" style="3191"/>
    <col min="15361" max="15361" width="31" style="3191" customWidth="1"/>
    <col min="15362" max="15362" width="6.25" style="3191" customWidth="1"/>
    <col min="15363" max="15365" width="13.875" style="3191" customWidth="1"/>
    <col min="15366" max="15366" width="12.5" style="3191" customWidth="1"/>
    <col min="15367" max="15367" width="7.875" style="3191" customWidth="1"/>
    <col min="15368" max="15368" width="11.125" style="3191" customWidth="1"/>
    <col min="15369" max="15370" width="9" style="3191" customWidth="1"/>
    <col min="15371" max="15372" width="10.625" style="3191" customWidth="1"/>
    <col min="15373" max="15373" width="14.375" style="3191" customWidth="1"/>
    <col min="15374" max="15374" width="6.25" style="3191" customWidth="1"/>
    <col min="15375" max="15375" width="31" style="3191" customWidth="1"/>
    <col min="15376" max="15376" width="7.875" style="3191" customWidth="1"/>
    <col min="15377" max="15616" width="9" style="3191"/>
    <col min="15617" max="15617" width="31" style="3191" customWidth="1"/>
    <col min="15618" max="15618" width="6.25" style="3191" customWidth="1"/>
    <col min="15619" max="15621" width="13.875" style="3191" customWidth="1"/>
    <col min="15622" max="15622" width="12.5" style="3191" customWidth="1"/>
    <col min="15623" max="15623" width="7.875" style="3191" customWidth="1"/>
    <col min="15624" max="15624" width="11.125" style="3191" customWidth="1"/>
    <col min="15625" max="15626" width="9" style="3191" customWidth="1"/>
    <col min="15627" max="15628" width="10.625" style="3191" customWidth="1"/>
    <col min="15629" max="15629" width="14.375" style="3191" customWidth="1"/>
    <col min="15630" max="15630" width="6.25" style="3191" customWidth="1"/>
    <col min="15631" max="15631" width="31" style="3191" customWidth="1"/>
    <col min="15632" max="15632" width="7.875" style="3191" customWidth="1"/>
    <col min="15633" max="15872" width="9" style="3191"/>
    <col min="15873" max="15873" width="31" style="3191" customWidth="1"/>
    <col min="15874" max="15874" width="6.25" style="3191" customWidth="1"/>
    <col min="15875" max="15877" width="13.875" style="3191" customWidth="1"/>
    <col min="15878" max="15878" width="12.5" style="3191" customWidth="1"/>
    <col min="15879" max="15879" width="7.875" style="3191" customWidth="1"/>
    <col min="15880" max="15880" width="11.125" style="3191" customWidth="1"/>
    <col min="15881" max="15882" width="9" style="3191" customWidth="1"/>
    <col min="15883" max="15884" width="10.625" style="3191" customWidth="1"/>
    <col min="15885" max="15885" width="14.375" style="3191" customWidth="1"/>
    <col min="15886" max="15886" width="6.25" style="3191" customWidth="1"/>
    <col min="15887" max="15887" width="31" style="3191" customWidth="1"/>
    <col min="15888" max="15888" width="7.875" style="3191" customWidth="1"/>
    <col min="15889" max="16128" width="9" style="3191"/>
    <col min="16129" max="16129" width="31" style="3191" customWidth="1"/>
    <col min="16130" max="16130" width="6.25" style="3191" customWidth="1"/>
    <col min="16131" max="16133" width="13.875" style="3191" customWidth="1"/>
    <col min="16134" max="16134" width="12.5" style="3191" customWidth="1"/>
    <col min="16135" max="16135" width="7.875" style="3191" customWidth="1"/>
    <col min="16136" max="16136" width="11.125" style="3191" customWidth="1"/>
    <col min="16137" max="16138" width="9" style="3191" customWidth="1"/>
    <col min="16139" max="16140" width="10.625" style="3191" customWidth="1"/>
    <col min="16141" max="16141" width="14.375" style="3191" customWidth="1"/>
    <col min="16142" max="16142" width="6.25" style="3191" customWidth="1"/>
    <col min="16143" max="16143" width="31" style="3191" customWidth="1"/>
    <col min="16144" max="16144" width="7.875" style="3191" customWidth="1"/>
    <col min="16145" max="16384" width="9" style="3191"/>
  </cols>
  <sheetData>
    <row r="1" spans="1:16">
      <c r="A1" s="3191" t="s">
        <v>3037</v>
      </c>
      <c r="B1" s="3191" t="s">
        <v>3038</v>
      </c>
      <c r="C1" s="3191" t="s">
        <v>3039</v>
      </c>
      <c r="D1" s="3191" t="s">
        <v>3040</v>
      </c>
      <c r="E1" s="3191" t="s">
        <v>3041</v>
      </c>
      <c r="F1" s="3191" t="s">
        <v>2024</v>
      </c>
      <c r="G1" s="3191" t="s">
        <v>3042</v>
      </c>
      <c r="H1" s="3191" t="s">
        <v>3043</v>
      </c>
      <c r="I1" s="3191" t="s">
        <v>3044</v>
      </c>
      <c r="J1" s="3191" t="s">
        <v>3045</v>
      </c>
      <c r="K1" s="3191" t="s">
        <v>3046</v>
      </c>
      <c r="L1" s="3191" t="s">
        <v>3047</v>
      </c>
      <c r="M1" s="3191" t="s">
        <v>3048</v>
      </c>
      <c r="N1" s="3191" t="s">
        <v>3049</v>
      </c>
      <c r="O1" s="3191" t="s">
        <v>3050</v>
      </c>
      <c r="P1" s="3191" t="s">
        <v>3051</v>
      </c>
    </row>
    <row r="2" spans="1:16">
      <c r="A2" s="3191" t="s">
        <v>3052</v>
      </c>
      <c r="B2" s="3191" t="s">
        <v>3053</v>
      </c>
      <c r="C2" s="3191" t="s">
        <v>3054</v>
      </c>
      <c r="D2" s="3191">
        <v>70297</v>
      </c>
      <c r="E2" s="3191">
        <v>154653.4</v>
      </c>
      <c r="F2" s="3191" t="s">
        <v>3055</v>
      </c>
      <c r="G2" s="3191" t="s">
        <v>3056</v>
      </c>
      <c r="H2" s="3191" t="s">
        <v>3057</v>
      </c>
      <c r="I2" s="3191" t="s">
        <v>3058</v>
      </c>
      <c r="J2" s="3191" t="s">
        <v>3058</v>
      </c>
      <c r="K2" s="3191">
        <v>105500</v>
      </c>
      <c r="L2" s="3191">
        <v>142500</v>
      </c>
      <c r="M2" s="3191">
        <v>9214.14</v>
      </c>
      <c r="N2" s="3191">
        <v>35.07</v>
      </c>
      <c r="O2" s="3191" t="s">
        <v>3059</v>
      </c>
      <c r="P2" s="3191" t="s">
        <v>3060</v>
      </c>
    </row>
    <row r="3" spans="1:16">
      <c r="A3" s="3191" t="s">
        <v>3061</v>
      </c>
      <c r="B3" s="3191" t="s">
        <v>3053</v>
      </c>
      <c r="C3" s="3191" t="s">
        <v>3062</v>
      </c>
      <c r="D3" s="3191">
        <v>44679</v>
      </c>
      <c r="E3" s="3191">
        <v>111697.5</v>
      </c>
      <c r="F3" s="3191" t="s">
        <v>3063</v>
      </c>
      <c r="G3" s="3191" t="s">
        <v>3056</v>
      </c>
      <c r="H3" s="3191" t="s">
        <v>3064</v>
      </c>
      <c r="I3" s="3191" t="s">
        <v>3065</v>
      </c>
      <c r="J3" s="3191" t="s">
        <v>3065</v>
      </c>
      <c r="K3" s="3191">
        <v>40200</v>
      </c>
      <c r="L3" s="3191">
        <v>73800</v>
      </c>
      <c r="M3" s="3191">
        <v>6607.13</v>
      </c>
      <c r="N3" s="3191">
        <v>83.58</v>
      </c>
      <c r="O3" s="3191" t="s">
        <v>3066</v>
      </c>
      <c r="P3" s="3191" t="s">
        <v>3067</v>
      </c>
    </row>
    <row r="4" spans="1:16">
      <c r="A4" s="3191" t="s">
        <v>3068</v>
      </c>
      <c r="B4" s="3191" t="s">
        <v>3053</v>
      </c>
      <c r="C4" s="3191" t="s">
        <v>3054</v>
      </c>
      <c r="D4" s="3191">
        <v>58093</v>
      </c>
      <c r="E4" s="3191">
        <v>104567.4</v>
      </c>
      <c r="F4" s="3191" t="s">
        <v>3069</v>
      </c>
      <c r="G4" s="3191" t="s">
        <v>3070</v>
      </c>
      <c r="H4" s="3191" t="s">
        <v>3057</v>
      </c>
      <c r="I4" s="3191" t="s">
        <v>3071</v>
      </c>
      <c r="J4" s="3191" t="s">
        <v>3071</v>
      </c>
      <c r="K4" s="3191">
        <v>52300</v>
      </c>
      <c r="L4" s="3191">
        <v>72300</v>
      </c>
      <c r="M4" s="3191">
        <v>6914.19</v>
      </c>
      <c r="N4" s="3191">
        <v>38.24</v>
      </c>
      <c r="O4" s="3191" t="s">
        <v>3072</v>
      </c>
      <c r="P4" s="3191" t="s">
        <v>3067</v>
      </c>
    </row>
    <row r="5" spans="1:16">
      <c r="A5" s="3191" t="s">
        <v>3073</v>
      </c>
      <c r="B5" s="3191" t="s">
        <v>3053</v>
      </c>
      <c r="C5" s="3191" t="s">
        <v>3062</v>
      </c>
      <c r="D5" s="3191">
        <v>35088</v>
      </c>
      <c r="E5" s="3191">
        <v>70176</v>
      </c>
      <c r="F5" s="3191" t="s">
        <v>3074</v>
      </c>
      <c r="G5" s="3191" t="s">
        <v>3056</v>
      </c>
      <c r="H5" s="3191" t="s">
        <v>3062</v>
      </c>
      <c r="I5" s="3191" t="s">
        <v>3075</v>
      </c>
      <c r="J5" s="3191" t="s">
        <v>3075</v>
      </c>
      <c r="K5" s="3191">
        <v>42100</v>
      </c>
      <c r="L5" s="3191">
        <v>90500</v>
      </c>
      <c r="M5" s="3191">
        <v>12896.14</v>
      </c>
      <c r="N5" s="3191">
        <v>114.96</v>
      </c>
      <c r="O5" s="3191" t="s">
        <v>3076</v>
      </c>
      <c r="P5" s="3191" t="s">
        <v>3077</v>
      </c>
    </row>
    <row r="6" spans="1:16">
      <c r="A6" s="3191" t="s">
        <v>3078</v>
      </c>
      <c r="B6" s="3191" t="s">
        <v>3053</v>
      </c>
      <c r="C6" s="3191" t="s">
        <v>3062</v>
      </c>
      <c r="D6" s="3191">
        <v>23927</v>
      </c>
      <c r="E6" s="3191">
        <v>35890.5</v>
      </c>
      <c r="F6" s="3191" t="s">
        <v>3079</v>
      </c>
      <c r="G6" s="3191" t="s">
        <v>3056</v>
      </c>
      <c r="H6" s="3191" t="s">
        <v>3062</v>
      </c>
      <c r="I6" s="3191" t="s">
        <v>3075</v>
      </c>
      <c r="J6" s="3191" t="s">
        <v>3075</v>
      </c>
      <c r="K6" s="3191">
        <v>28700</v>
      </c>
      <c r="L6" s="3191">
        <v>40400</v>
      </c>
      <c r="M6" s="3191">
        <v>11256.45</v>
      </c>
      <c r="N6" s="3191">
        <v>40.770000000000003</v>
      </c>
      <c r="O6" s="3191" t="s">
        <v>3076</v>
      </c>
      <c r="P6" s="3191" t="s">
        <v>3067</v>
      </c>
    </row>
    <row r="7" spans="1:16" s="3208" customFormat="1">
      <c r="A7" s="3208" t="s">
        <v>3080</v>
      </c>
      <c r="B7" s="3208" t="s">
        <v>3053</v>
      </c>
      <c r="C7" s="3208" t="s">
        <v>3062</v>
      </c>
      <c r="D7" s="3208">
        <v>53338</v>
      </c>
      <c r="E7" s="3208">
        <v>106676</v>
      </c>
      <c r="F7" s="3208" t="s">
        <v>3081</v>
      </c>
      <c r="G7" s="3208" t="s">
        <v>3056</v>
      </c>
      <c r="H7" s="3208" t="s">
        <v>3062</v>
      </c>
      <c r="I7" s="3208" t="s">
        <v>3075</v>
      </c>
      <c r="J7" s="3208" t="s">
        <v>3075</v>
      </c>
      <c r="K7" s="3208">
        <v>48000</v>
      </c>
      <c r="L7" s="3208">
        <v>65500</v>
      </c>
      <c r="M7" s="3208">
        <v>6140.09</v>
      </c>
      <c r="N7" s="3208">
        <v>36.46</v>
      </c>
      <c r="O7" s="3208" t="s">
        <v>3082</v>
      </c>
      <c r="P7" s="3208" t="s">
        <v>3067</v>
      </c>
    </row>
    <row r="8" spans="1:16">
      <c r="A8" s="3191" t="s">
        <v>3083</v>
      </c>
      <c r="B8" s="3191" t="s">
        <v>3053</v>
      </c>
      <c r="C8" s="3191" t="s">
        <v>3062</v>
      </c>
      <c r="D8" s="3191">
        <v>29701</v>
      </c>
      <c r="E8" s="3191">
        <v>59402</v>
      </c>
      <c r="F8" s="3191" t="s">
        <v>3081</v>
      </c>
      <c r="G8" s="3191" t="s">
        <v>3056</v>
      </c>
      <c r="H8" s="3191" t="s">
        <v>3062</v>
      </c>
      <c r="I8" s="3191" t="s">
        <v>3084</v>
      </c>
      <c r="J8" s="3191" t="s">
        <v>3084</v>
      </c>
      <c r="K8" s="3191">
        <v>8000</v>
      </c>
      <c r="L8" s="3191">
        <v>9760</v>
      </c>
      <c r="M8" s="3191">
        <v>1643.03</v>
      </c>
      <c r="N8" s="3191">
        <v>22</v>
      </c>
      <c r="O8" s="3191" t="s">
        <v>3085</v>
      </c>
      <c r="P8" s="3191" t="s">
        <v>3067</v>
      </c>
    </row>
    <row r="9" spans="1:16" s="3192" customFormat="1">
      <c r="A9" s="3192" t="s">
        <v>3086</v>
      </c>
      <c r="B9" s="3192" t="s">
        <v>3053</v>
      </c>
      <c r="C9" s="3192" t="s">
        <v>3062</v>
      </c>
      <c r="D9" s="3192">
        <v>34307</v>
      </c>
      <c r="E9" s="3192">
        <v>61752.6</v>
      </c>
      <c r="F9" s="3192" t="s">
        <v>3087</v>
      </c>
      <c r="G9" s="3192" t="s">
        <v>3056</v>
      </c>
      <c r="H9" s="3192" t="s">
        <v>3062</v>
      </c>
      <c r="I9" s="3192" t="s">
        <v>3084</v>
      </c>
      <c r="J9" s="3192" t="s">
        <v>3084</v>
      </c>
      <c r="K9" s="3192">
        <v>23200</v>
      </c>
      <c r="L9" s="3192">
        <v>35600</v>
      </c>
      <c r="M9" s="3192">
        <v>5764.93</v>
      </c>
      <c r="N9" s="3192">
        <v>53.45</v>
      </c>
      <c r="O9" s="3192" t="s">
        <v>3088</v>
      </c>
      <c r="P9" s="3192" t="s">
        <v>3089</v>
      </c>
    </row>
    <row r="10" spans="1:16">
      <c r="A10" s="3191" t="s">
        <v>3090</v>
      </c>
      <c r="B10" s="3191" t="s">
        <v>3053</v>
      </c>
      <c r="C10" s="3191" t="s">
        <v>3062</v>
      </c>
      <c r="D10" s="3191">
        <v>10359</v>
      </c>
      <c r="E10" s="3191">
        <v>15538.5</v>
      </c>
      <c r="F10" s="3191" t="s">
        <v>3091</v>
      </c>
      <c r="G10" s="3191" t="s">
        <v>3056</v>
      </c>
      <c r="H10" s="3191" t="s">
        <v>3064</v>
      </c>
      <c r="I10" s="3191" t="s">
        <v>3092</v>
      </c>
      <c r="J10" s="3191" t="s">
        <v>3092</v>
      </c>
      <c r="K10" s="3191">
        <v>7000</v>
      </c>
      <c r="L10" s="3191">
        <v>7700</v>
      </c>
      <c r="M10" s="3191">
        <v>4955.43</v>
      </c>
      <c r="N10" s="3191">
        <v>10</v>
      </c>
      <c r="O10" s="3191" t="s">
        <v>3093</v>
      </c>
      <c r="P10" s="3191" t="s">
        <v>3077</v>
      </c>
    </row>
    <row r="11" spans="1:16">
      <c r="A11" s="3191" t="s">
        <v>3094</v>
      </c>
      <c r="B11" s="3191" t="s">
        <v>3053</v>
      </c>
      <c r="C11" s="3191" t="s">
        <v>3062</v>
      </c>
      <c r="D11" s="3191">
        <v>75343</v>
      </c>
      <c r="E11" s="3191">
        <v>150686</v>
      </c>
      <c r="F11" s="3191" t="s">
        <v>3095</v>
      </c>
      <c r="G11" s="3191" t="s">
        <v>3056</v>
      </c>
      <c r="H11" s="3191" t="s">
        <v>3064</v>
      </c>
      <c r="I11" s="3191" t="s">
        <v>3092</v>
      </c>
      <c r="J11" s="3191" t="s">
        <v>3092</v>
      </c>
      <c r="K11" s="3191">
        <v>113000</v>
      </c>
      <c r="L11" s="3191">
        <v>211000</v>
      </c>
      <c r="M11" s="3191">
        <v>14002.62</v>
      </c>
      <c r="N11" s="3191">
        <v>86.73</v>
      </c>
      <c r="O11" s="3191" t="s">
        <v>3096</v>
      </c>
      <c r="P11" s="3191" t="s">
        <v>3067</v>
      </c>
    </row>
    <row r="12" spans="1:16">
      <c r="A12" s="3191" t="s">
        <v>3097</v>
      </c>
      <c r="B12" s="3191" t="s">
        <v>3053</v>
      </c>
      <c r="C12" s="3191" t="s">
        <v>3054</v>
      </c>
      <c r="D12" s="3191">
        <v>87705</v>
      </c>
      <c r="E12" s="3191">
        <v>192951</v>
      </c>
      <c r="F12" s="3191" t="s">
        <v>3098</v>
      </c>
      <c r="G12" s="3191" t="s">
        <v>3056</v>
      </c>
      <c r="H12" s="3191" t="s">
        <v>3057</v>
      </c>
      <c r="I12" s="3191" t="s">
        <v>3099</v>
      </c>
      <c r="J12" s="3191" t="s">
        <v>3099</v>
      </c>
      <c r="K12" s="3191">
        <v>132000</v>
      </c>
      <c r="L12" s="3191">
        <v>195000</v>
      </c>
      <c r="M12" s="3191">
        <v>10106.19</v>
      </c>
      <c r="N12" s="3191">
        <v>47.73</v>
      </c>
      <c r="O12" s="3191" t="s">
        <v>3100</v>
      </c>
      <c r="P12" s="3191" t="s">
        <v>3060</v>
      </c>
    </row>
    <row r="13" spans="1:16" s="3192" customFormat="1">
      <c r="A13" s="3192" t="s">
        <v>3101</v>
      </c>
      <c r="B13" s="3192" t="s">
        <v>3053</v>
      </c>
      <c r="C13" s="3192" t="s">
        <v>3062</v>
      </c>
      <c r="D13" s="3192">
        <v>68563</v>
      </c>
      <c r="E13" s="3192">
        <v>137126</v>
      </c>
      <c r="F13" s="3192" t="s">
        <v>3081</v>
      </c>
      <c r="G13" s="3192" t="s">
        <v>3056</v>
      </c>
      <c r="H13" s="3192" t="s">
        <v>3064</v>
      </c>
      <c r="I13" s="3192" t="s">
        <v>3102</v>
      </c>
      <c r="J13" s="3192" t="s">
        <v>3102</v>
      </c>
      <c r="K13" s="3192">
        <v>48400</v>
      </c>
      <c r="L13" s="3192">
        <v>57400</v>
      </c>
      <c r="M13" s="3192">
        <v>4185.93</v>
      </c>
      <c r="N13" s="3192">
        <v>18.600000000000001</v>
      </c>
      <c r="O13" s="3192" t="s">
        <v>3103</v>
      </c>
      <c r="P13" s="3192" t="s">
        <v>3077</v>
      </c>
    </row>
    <row r="14" spans="1:16">
      <c r="A14" s="3191" t="s">
        <v>3104</v>
      </c>
      <c r="B14" s="3191" t="s">
        <v>3053</v>
      </c>
      <c r="C14" s="3191" t="s">
        <v>3062</v>
      </c>
      <c r="D14" s="3191">
        <v>40087</v>
      </c>
      <c r="E14" s="3191">
        <v>60130.5</v>
      </c>
      <c r="F14" s="3191" t="s">
        <v>3079</v>
      </c>
      <c r="G14" s="3191" t="s">
        <v>3056</v>
      </c>
      <c r="H14" s="3191" t="s">
        <v>3062</v>
      </c>
      <c r="I14" s="3191" t="s">
        <v>3105</v>
      </c>
      <c r="J14" s="3191" t="s">
        <v>3105</v>
      </c>
      <c r="K14" s="3191">
        <v>57100</v>
      </c>
      <c r="L14" s="3191">
        <v>89500</v>
      </c>
      <c r="M14" s="3191">
        <v>14884.29</v>
      </c>
      <c r="N14" s="3191">
        <v>56.74</v>
      </c>
      <c r="O14" s="3191" t="s">
        <v>3106</v>
      </c>
      <c r="P14" s="3191" t="s">
        <v>3060</v>
      </c>
    </row>
    <row r="15" spans="1:16">
      <c r="A15" s="3191" t="s">
        <v>3107</v>
      </c>
      <c r="B15" s="3191" t="s">
        <v>3053</v>
      </c>
      <c r="C15" s="3191" t="s">
        <v>3062</v>
      </c>
      <c r="D15" s="3191">
        <v>55052</v>
      </c>
      <c r="E15" s="3191">
        <v>121114.4</v>
      </c>
      <c r="F15" s="3191" t="s">
        <v>3108</v>
      </c>
      <c r="G15" s="3191" t="s">
        <v>3056</v>
      </c>
      <c r="H15" s="3191" t="s">
        <v>3062</v>
      </c>
      <c r="I15" s="3191" t="s">
        <v>3105</v>
      </c>
      <c r="J15" s="3191" t="s">
        <v>3105</v>
      </c>
      <c r="K15" s="3191">
        <v>66100</v>
      </c>
      <c r="L15" s="3191">
        <v>99000</v>
      </c>
      <c r="M15" s="3191">
        <v>8174.09</v>
      </c>
      <c r="N15" s="3191">
        <v>49.77</v>
      </c>
      <c r="O15" s="3191" t="s">
        <v>3109</v>
      </c>
      <c r="P15" s="3191" t="s">
        <v>3060</v>
      </c>
    </row>
    <row r="16" spans="1:16">
      <c r="A16" s="3191" t="s">
        <v>3110</v>
      </c>
      <c r="B16" s="3191" t="s">
        <v>3053</v>
      </c>
      <c r="C16" s="3191" t="s">
        <v>3054</v>
      </c>
      <c r="D16" s="3191">
        <v>19543</v>
      </c>
      <c r="E16" s="3191">
        <v>35177.4</v>
      </c>
      <c r="F16" s="3191" t="s">
        <v>3087</v>
      </c>
      <c r="G16" s="3191" t="s">
        <v>3056</v>
      </c>
      <c r="H16" s="3191" t="s">
        <v>3111</v>
      </c>
      <c r="I16" s="3191" t="s">
        <v>3112</v>
      </c>
      <c r="J16" s="3191" t="s">
        <v>3112</v>
      </c>
      <c r="K16" s="3191">
        <v>3590</v>
      </c>
      <c r="L16" s="3191">
        <v>3740</v>
      </c>
      <c r="M16" s="3191">
        <v>1063.18</v>
      </c>
      <c r="N16" s="3191">
        <v>4.18</v>
      </c>
      <c r="O16" s="3191" t="s">
        <v>3113</v>
      </c>
      <c r="P16" s="3191" t="s">
        <v>3077</v>
      </c>
    </row>
    <row r="17" spans="1:16">
      <c r="A17" s="3191" t="s">
        <v>3114</v>
      </c>
      <c r="B17" s="3191" t="s">
        <v>3053</v>
      </c>
      <c r="C17" s="3191" t="s">
        <v>3054</v>
      </c>
      <c r="D17" s="3191">
        <v>23395</v>
      </c>
      <c r="E17" s="3191">
        <v>51469</v>
      </c>
      <c r="F17" s="3191" t="s">
        <v>3108</v>
      </c>
      <c r="G17" s="3191" t="s">
        <v>3056</v>
      </c>
      <c r="H17" s="3191" t="s">
        <v>3111</v>
      </c>
      <c r="I17" s="3191" t="s">
        <v>3112</v>
      </c>
      <c r="J17" s="3191" t="s">
        <v>3112</v>
      </c>
      <c r="K17" s="3191">
        <v>22800</v>
      </c>
      <c r="L17" s="3191">
        <v>39600</v>
      </c>
      <c r="M17" s="3191">
        <v>7693.94</v>
      </c>
      <c r="N17" s="3191">
        <v>73.680000000000007</v>
      </c>
      <c r="O17" s="3191" t="s">
        <v>3115</v>
      </c>
      <c r="P17" s="3191" t="s">
        <v>3067</v>
      </c>
    </row>
    <row r="18" spans="1:16">
      <c r="A18" s="3191" t="s">
        <v>3116</v>
      </c>
      <c r="B18" s="3191" t="s">
        <v>3053</v>
      </c>
      <c r="C18" s="3191" t="s">
        <v>3054</v>
      </c>
      <c r="D18" s="3191">
        <v>17051</v>
      </c>
      <c r="E18" s="3191">
        <v>28986.7</v>
      </c>
      <c r="F18" s="3191" t="s">
        <v>3117</v>
      </c>
      <c r="G18" s="3191" t="s">
        <v>3056</v>
      </c>
      <c r="H18" s="3191" t="s">
        <v>3111</v>
      </c>
      <c r="I18" s="3191" t="s">
        <v>3112</v>
      </c>
      <c r="J18" s="3191" t="s">
        <v>3112</v>
      </c>
      <c r="K18" s="3191">
        <v>12800</v>
      </c>
      <c r="L18" s="3191">
        <v>15000</v>
      </c>
      <c r="M18" s="3191">
        <v>5174.78</v>
      </c>
      <c r="N18" s="3191">
        <v>17.190000000000001</v>
      </c>
      <c r="O18" s="3191" t="s">
        <v>3118</v>
      </c>
      <c r="P18" s="3191" t="s">
        <v>3067</v>
      </c>
    </row>
    <row r="19" spans="1:16">
      <c r="A19" s="3191" t="s">
        <v>3119</v>
      </c>
      <c r="B19" s="3191" t="s">
        <v>3053</v>
      </c>
      <c r="C19" s="3191" t="s">
        <v>3054</v>
      </c>
      <c r="D19" s="3191">
        <v>93717</v>
      </c>
      <c r="E19" s="3191">
        <v>206177.4</v>
      </c>
      <c r="F19" s="3191" t="s">
        <v>3055</v>
      </c>
      <c r="G19" s="3191" t="s">
        <v>3056</v>
      </c>
      <c r="H19" s="3191" t="s">
        <v>3057</v>
      </c>
      <c r="I19" s="3191" t="s">
        <v>3120</v>
      </c>
      <c r="J19" s="3191" t="s">
        <v>3120</v>
      </c>
      <c r="K19" s="3191">
        <v>85000</v>
      </c>
      <c r="L19" s="3191">
        <v>125000</v>
      </c>
      <c r="M19" s="3191">
        <v>6062.73</v>
      </c>
      <c r="N19" s="3191">
        <v>47.06</v>
      </c>
      <c r="O19" s="3191" t="s">
        <v>3121</v>
      </c>
      <c r="P19" s="3191" t="s">
        <v>3067</v>
      </c>
    </row>
    <row r="20" spans="1:16">
      <c r="A20" s="3191" t="s">
        <v>3122</v>
      </c>
      <c r="B20" s="3191" t="s">
        <v>3053</v>
      </c>
      <c r="C20" s="3191" t="s">
        <v>3062</v>
      </c>
      <c r="D20" s="3191">
        <v>42506.400000000001</v>
      </c>
      <c r="E20" s="3191">
        <v>85012.800000000003</v>
      </c>
      <c r="F20" s="3191" t="s">
        <v>3081</v>
      </c>
      <c r="G20" s="3191" t="s">
        <v>3056</v>
      </c>
      <c r="H20" s="3191" t="s">
        <v>3064</v>
      </c>
      <c r="I20" s="3191" t="s">
        <v>3123</v>
      </c>
      <c r="J20" s="3191" t="s">
        <v>3123</v>
      </c>
      <c r="K20" s="3191">
        <v>25500</v>
      </c>
      <c r="L20" s="3191">
        <v>38700</v>
      </c>
      <c r="M20" s="3191">
        <v>4552.26</v>
      </c>
      <c r="N20" s="3191">
        <v>51.76</v>
      </c>
      <c r="O20" s="3191" t="s">
        <v>3124</v>
      </c>
      <c r="P20" s="3191" t="s">
        <v>3077</v>
      </c>
    </row>
    <row r="21" spans="1:16">
      <c r="A21" s="3191" t="s">
        <v>3125</v>
      </c>
      <c r="B21" s="3191" t="s">
        <v>3053</v>
      </c>
      <c r="C21" s="3191" t="s">
        <v>3062</v>
      </c>
      <c r="D21" s="3191">
        <v>28855</v>
      </c>
      <c r="E21" s="3191">
        <v>57710</v>
      </c>
      <c r="F21" s="3191" t="s">
        <v>3081</v>
      </c>
      <c r="G21" s="3191" t="s">
        <v>3056</v>
      </c>
      <c r="H21" s="3191" t="s">
        <v>3064</v>
      </c>
      <c r="I21" s="3191" t="s">
        <v>3126</v>
      </c>
      <c r="J21" s="3191" t="s">
        <v>3126</v>
      </c>
      <c r="K21" s="3191">
        <v>28200</v>
      </c>
      <c r="L21" s="3191">
        <v>33700</v>
      </c>
      <c r="M21" s="3191">
        <v>5839.53</v>
      </c>
      <c r="N21" s="3191">
        <v>19.5</v>
      </c>
      <c r="O21" s="3191" t="s">
        <v>3127</v>
      </c>
      <c r="P21" s="3191" t="s">
        <v>3077</v>
      </c>
    </row>
    <row r="22" spans="1:16">
      <c r="A22" s="3191" t="s">
        <v>3128</v>
      </c>
      <c r="B22" s="3191" t="s">
        <v>3053</v>
      </c>
      <c r="C22" s="3191" t="s">
        <v>3062</v>
      </c>
      <c r="D22" s="3191">
        <v>39787</v>
      </c>
      <c r="E22" s="3191">
        <v>79574</v>
      </c>
      <c r="F22" s="3191" t="s">
        <v>3081</v>
      </c>
      <c r="G22" s="3191" t="s">
        <v>3056</v>
      </c>
      <c r="H22" s="3191" t="s">
        <v>3064</v>
      </c>
      <c r="I22" s="3191" t="s">
        <v>3126</v>
      </c>
      <c r="J22" s="3191" t="s">
        <v>3126</v>
      </c>
      <c r="K22" s="3191">
        <v>38800</v>
      </c>
      <c r="L22" s="3191">
        <v>45800</v>
      </c>
      <c r="M22" s="3191">
        <v>5755.64</v>
      </c>
      <c r="N22" s="3191">
        <v>18.04</v>
      </c>
      <c r="O22" s="3191" t="s">
        <v>3129</v>
      </c>
      <c r="P22" s="3191" t="s">
        <v>3077</v>
      </c>
    </row>
    <row r="23" spans="1:16">
      <c r="A23" s="3191" t="s">
        <v>3130</v>
      </c>
      <c r="B23" s="3191" t="s">
        <v>3053</v>
      </c>
      <c r="C23" s="3191" t="s">
        <v>3054</v>
      </c>
      <c r="D23" s="3191">
        <v>67402</v>
      </c>
      <c r="E23" s="3191">
        <v>148284.4</v>
      </c>
      <c r="F23" s="3191" t="s">
        <v>3098</v>
      </c>
      <c r="G23" s="3191" t="s">
        <v>3056</v>
      </c>
      <c r="H23" s="3191" t="s">
        <v>3057</v>
      </c>
      <c r="I23" s="3191" t="s">
        <v>3131</v>
      </c>
      <c r="J23" s="3191" t="s">
        <v>3131</v>
      </c>
      <c r="K23" s="3191">
        <v>57400</v>
      </c>
      <c r="L23" s="3191">
        <v>58900</v>
      </c>
      <c r="M23" s="3191">
        <v>3972.09</v>
      </c>
      <c r="N23" s="3191">
        <v>2.61</v>
      </c>
      <c r="O23" s="3191" t="s">
        <v>3132</v>
      </c>
      <c r="P23" s="3191" t="s">
        <v>3067</v>
      </c>
    </row>
    <row r="24" spans="1:16">
      <c r="A24" s="3191" t="s">
        <v>3133</v>
      </c>
      <c r="B24" s="3191" t="s">
        <v>3053</v>
      </c>
      <c r="C24" s="3191" t="s">
        <v>3062</v>
      </c>
      <c r="D24" s="3191">
        <v>107822.7</v>
      </c>
      <c r="E24" s="3191">
        <v>161734.1</v>
      </c>
      <c r="F24" s="3191" t="s">
        <v>3134</v>
      </c>
      <c r="G24" s="3191" t="s">
        <v>3056</v>
      </c>
      <c r="H24" s="3191" t="s">
        <v>3064</v>
      </c>
      <c r="I24" s="3191" t="s">
        <v>3135</v>
      </c>
      <c r="J24" s="3191" t="s">
        <v>3135</v>
      </c>
      <c r="K24" s="3191">
        <v>154000</v>
      </c>
      <c r="L24" s="3191">
        <v>209000</v>
      </c>
      <c r="M24" s="3191">
        <v>12922.44</v>
      </c>
      <c r="N24" s="3191">
        <v>35.71</v>
      </c>
      <c r="O24" s="3191" t="s">
        <v>3088</v>
      </c>
      <c r="P24" s="3191" t="s">
        <v>3060</v>
      </c>
    </row>
    <row r="25" spans="1:16">
      <c r="A25" s="3191" t="s">
        <v>3136</v>
      </c>
      <c r="B25" s="3191" t="s">
        <v>3053</v>
      </c>
      <c r="C25" s="3191" t="s">
        <v>3062</v>
      </c>
      <c r="D25" s="3191">
        <v>86935</v>
      </c>
      <c r="E25" s="3191">
        <v>191257</v>
      </c>
      <c r="F25" s="3191" t="s">
        <v>3137</v>
      </c>
      <c r="G25" s="3191" t="s">
        <v>3056</v>
      </c>
      <c r="H25" s="3191" t="s">
        <v>3064</v>
      </c>
      <c r="I25" s="3191" t="s">
        <v>3138</v>
      </c>
      <c r="J25" s="3191" t="s">
        <v>3138</v>
      </c>
      <c r="K25" s="3191">
        <v>85000</v>
      </c>
      <c r="L25" s="3191">
        <v>112000</v>
      </c>
      <c r="M25" s="3191">
        <v>5855.98</v>
      </c>
      <c r="N25" s="3191">
        <v>31.76</v>
      </c>
      <c r="O25" s="3191" t="s">
        <v>3139</v>
      </c>
      <c r="P25" s="3191" t="s">
        <v>3067</v>
      </c>
    </row>
    <row r="26" spans="1:16" s="3192" customFormat="1">
      <c r="A26" s="3192" t="s">
        <v>3140</v>
      </c>
      <c r="B26" s="3192" t="s">
        <v>3053</v>
      </c>
      <c r="C26" s="3192" t="s">
        <v>3062</v>
      </c>
      <c r="D26" s="3192">
        <v>176055</v>
      </c>
      <c r="E26" s="3192">
        <v>369715.5</v>
      </c>
      <c r="F26" s="3192" t="s">
        <v>3141</v>
      </c>
      <c r="G26" s="3192" t="s">
        <v>3056</v>
      </c>
      <c r="H26" s="3192" t="s">
        <v>3064</v>
      </c>
      <c r="I26" s="3192" t="s">
        <v>3142</v>
      </c>
      <c r="J26" s="3192" t="s">
        <v>3142</v>
      </c>
      <c r="K26" s="3192">
        <v>159000</v>
      </c>
      <c r="L26" s="3192">
        <v>245000</v>
      </c>
      <c r="M26" s="3192">
        <v>6626.72</v>
      </c>
      <c r="N26" s="3192">
        <v>54.09</v>
      </c>
      <c r="O26" s="3192" t="s">
        <v>3143</v>
      </c>
      <c r="P26" s="3192" t="s">
        <v>3077</v>
      </c>
    </row>
    <row r="27" spans="1:16">
      <c r="A27" s="3191" t="s">
        <v>3144</v>
      </c>
      <c r="B27" s="3191" t="s">
        <v>3053</v>
      </c>
      <c r="C27" s="3191" t="s">
        <v>3054</v>
      </c>
      <c r="D27" s="3191">
        <v>141724</v>
      </c>
      <c r="E27" s="3191">
        <v>283448</v>
      </c>
      <c r="F27" s="3191" t="s">
        <v>3145</v>
      </c>
      <c r="G27" s="3191" t="s">
        <v>3056</v>
      </c>
      <c r="H27" s="3191" t="s">
        <v>3057</v>
      </c>
      <c r="I27" s="3191" t="s">
        <v>3146</v>
      </c>
      <c r="J27" s="3191" t="s">
        <v>3146</v>
      </c>
      <c r="K27" s="3191">
        <v>192000</v>
      </c>
      <c r="L27" s="3191">
        <v>262000</v>
      </c>
      <c r="M27" s="3191">
        <v>9243.31</v>
      </c>
      <c r="N27" s="3191">
        <v>36.46</v>
      </c>
      <c r="O27" s="3191" t="s">
        <v>3147</v>
      </c>
      <c r="P27" s="3191" t="s">
        <v>3148</v>
      </c>
    </row>
    <row r="28" spans="1:16">
      <c r="A28" s="3191" t="s">
        <v>3149</v>
      </c>
      <c r="B28" s="3191" t="s">
        <v>3053</v>
      </c>
      <c r="C28" s="3191" t="s">
        <v>3054</v>
      </c>
      <c r="D28" s="3191">
        <v>33349</v>
      </c>
      <c r="E28" s="3191">
        <v>73367.8</v>
      </c>
      <c r="F28" s="3191" t="s">
        <v>3150</v>
      </c>
      <c r="G28" s="3191" t="s">
        <v>3056</v>
      </c>
      <c r="H28" s="3191" t="s">
        <v>3057</v>
      </c>
      <c r="I28" s="3191" t="s">
        <v>3146</v>
      </c>
      <c r="J28" s="3191" t="s">
        <v>3146</v>
      </c>
      <c r="K28" s="3191">
        <v>23000</v>
      </c>
      <c r="L28" s="3191">
        <v>34700</v>
      </c>
      <c r="M28" s="3191">
        <v>4729.6000000000004</v>
      </c>
      <c r="N28" s="3191">
        <v>50.87</v>
      </c>
      <c r="O28" s="3191" t="s">
        <v>3151</v>
      </c>
      <c r="P28" s="3191" t="s">
        <v>3077</v>
      </c>
    </row>
    <row r="29" spans="1:16">
      <c r="A29" s="3191" t="s">
        <v>3152</v>
      </c>
      <c r="B29" s="3191" t="s">
        <v>3053</v>
      </c>
      <c r="C29" s="3191" t="s">
        <v>3054</v>
      </c>
      <c r="D29" s="3191">
        <v>26709</v>
      </c>
      <c r="E29" s="3191">
        <v>58759.8</v>
      </c>
      <c r="F29" s="3191" t="s">
        <v>3150</v>
      </c>
      <c r="G29" s="3191" t="s">
        <v>3056</v>
      </c>
      <c r="H29" s="3191" t="s">
        <v>3057</v>
      </c>
      <c r="I29" s="3191" t="s">
        <v>3146</v>
      </c>
      <c r="J29" s="3191" t="s">
        <v>3146</v>
      </c>
      <c r="K29" s="3191">
        <v>36000</v>
      </c>
      <c r="L29" s="3191">
        <v>48000</v>
      </c>
      <c r="M29" s="3191">
        <v>8168.85</v>
      </c>
      <c r="N29" s="3191">
        <v>33.33</v>
      </c>
      <c r="O29" s="3191" t="s">
        <v>3153</v>
      </c>
      <c r="P29" s="3191" t="s">
        <v>3060</v>
      </c>
    </row>
    <row r="30" spans="1:16">
      <c r="A30" s="3191" t="s">
        <v>3154</v>
      </c>
      <c r="B30" s="3191" t="s">
        <v>3053</v>
      </c>
      <c r="C30" s="3191" t="s">
        <v>3054</v>
      </c>
      <c r="D30" s="3191">
        <v>60579</v>
      </c>
      <c r="E30" s="3191">
        <v>133273.79999999999</v>
      </c>
      <c r="F30" s="3191" t="s">
        <v>3155</v>
      </c>
      <c r="G30" s="3191" t="s">
        <v>3056</v>
      </c>
      <c r="H30" s="3191" t="s">
        <v>3111</v>
      </c>
      <c r="I30" s="3191" t="s">
        <v>3156</v>
      </c>
      <c r="J30" s="3191" t="s">
        <v>3156</v>
      </c>
      <c r="K30" s="3191">
        <v>82000</v>
      </c>
      <c r="L30" s="3191">
        <v>117000</v>
      </c>
      <c r="M30" s="3191">
        <v>8778.92</v>
      </c>
      <c r="N30" s="3191">
        <v>42.68</v>
      </c>
      <c r="O30" s="3191" t="s">
        <v>3157</v>
      </c>
      <c r="P30" s="3191" t="s">
        <v>3148</v>
      </c>
    </row>
    <row r="31" spans="1:16">
      <c r="A31" s="3191" t="s">
        <v>3158</v>
      </c>
      <c r="B31" s="3191" t="s">
        <v>3053</v>
      </c>
      <c r="C31" s="3191" t="s">
        <v>3062</v>
      </c>
      <c r="D31" s="3191">
        <v>111718</v>
      </c>
      <c r="E31" s="3191">
        <v>245779.6</v>
      </c>
      <c r="F31" s="3191" t="s">
        <v>3155</v>
      </c>
      <c r="G31" s="3191" t="s">
        <v>3056</v>
      </c>
      <c r="H31" s="3191" t="s">
        <v>3064</v>
      </c>
      <c r="I31" s="3191" t="s">
        <v>3159</v>
      </c>
      <c r="J31" s="3191" t="s">
        <v>3159</v>
      </c>
      <c r="K31" s="3191">
        <v>139100</v>
      </c>
      <c r="L31" s="3191">
        <v>221100</v>
      </c>
      <c r="M31" s="3191">
        <v>8995.86</v>
      </c>
      <c r="N31" s="3191">
        <v>58.95</v>
      </c>
      <c r="O31" s="3191" t="s">
        <v>3160</v>
      </c>
      <c r="P31" s="3191" t="s">
        <v>3060</v>
      </c>
    </row>
    <row r="32" spans="1:16">
      <c r="A32" s="3191" t="s">
        <v>3161</v>
      </c>
      <c r="B32" s="3191" t="s">
        <v>3053</v>
      </c>
      <c r="C32" s="3191" t="s">
        <v>3062</v>
      </c>
      <c r="D32" s="3191">
        <v>27590</v>
      </c>
      <c r="E32" s="3191">
        <v>49662</v>
      </c>
      <c r="F32" s="3191" t="s">
        <v>3162</v>
      </c>
      <c r="G32" s="3191" t="s">
        <v>3056</v>
      </c>
      <c r="H32" s="3191" t="s">
        <v>3064</v>
      </c>
      <c r="I32" s="3191" t="s">
        <v>3159</v>
      </c>
      <c r="J32" s="3191" t="s">
        <v>3159</v>
      </c>
      <c r="K32" s="3191">
        <v>14500</v>
      </c>
      <c r="L32" s="3191">
        <v>22700</v>
      </c>
      <c r="M32" s="3191">
        <v>4570.8900000000003</v>
      </c>
      <c r="N32" s="3191">
        <v>56.55</v>
      </c>
      <c r="O32" s="3191" t="s">
        <v>3163</v>
      </c>
      <c r="P32" s="3191" t="s">
        <v>3067</v>
      </c>
    </row>
    <row r="33" spans="1:16">
      <c r="A33" s="3191" t="s">
        <v>3164</v>
      </c>
      <c r="B33" s="3191" t="s">
        <v>3053</v>
      </c>
      <c r="C33" s="3191" t="s">
        <v>3062</v>
      </c>
      <c r="D33" s="3191">
        <v>77282.91</v>
      </c>
      <c r="E33" s="3191">
        <v>170022.39999999999</v>
      </c>
      <c r="F33" s="3191" t="s">
        <v>3155</v>
      </c>
      <c r="G33" s="3191" t="s">
        <v>3056</v>
      </c>
      <c r="H33" s="3191" t="s">
        <v>3064</v>
      </c>
      <c r="I33" s="3191" t="s">
        <v>3165</v>
      </c>
      <c r="J33" s="3191" t="s">
        <v>3165</v>
      </c>
      <c r="K33" s="3191">
        <v>75400</v>
      </c>
      <c r="L33" s="3191">
        <v>117000</v>
      </c>
      <c r="M33" s="3191">
        <v>6881.44</v>
      </c>
      <c r="N33" s="3191">
        <v>55.17</v>
      </c>
      <c r="O33" s="3191" t="s">
        <v>3147</v>
      </c>
      <c r="P33" s="3191" t="s">
        <v>3067</v>
      </c>
    </row>
    <row r="34" spans="1:16">
      <c r="A34" s="3191" t="s">
        <v>3166</v>
      </c>
      <c r="B34" s="3191" t="s">
        <v>3053</v>
      </c>
      <c r="C34" s="3191" t="s">
        <v>3062</v>
      </c>
      <c r="D34" s="3191">
        <v>112678</v>
      </c>
      <c r="E34" s="3191">
        <v>281695</v>
      </c>
      <c r="F34" s="3191" t="s">
        <v>3167</v>
      </c>
      <c r="G34" s="3191" t="s">
        <v>3056</v>
      </c>
      <c r="H34" s="3191" t="s">
        <v>3168</v>
      </c>
      <c r="I34" s="3191" t="s">
        <v>3169</v>
      </c>
      <c r="J34" s="3191" t="s">
        <v>3169</v>
      </c>
      <c r="K34" s="3191">
        <v>44000</v>
      </c>
      <c r="L34" s="3191">
        <v>61200</v>
      </c>
      <c r="M34" s="3191">
        <v>2172.5500000000002</v>
      </c>
      <c r="N34" s="3191">
        <v>39.090000000000003</v>
      </c>
      <c r="O34" s="3191" t="s">
        <v>3170</v>
      </c>
      <c r="P34" s="3191" t="s">
        <v>3060</v>
      </c>
    </row>
    <row r="35" spans="1:16">
      <c r="A35" s="3191" t="s">
        <v>3171</v>
      </c>
      <c r="B35" s="3191" t="s">
        <v>3053</v>
      </c>
      <c r="C35" s="3191" t="s">
        <v>3062</v>
      </c>
      <c r="D35" s="3191">
        <v>38108</v>
      </c>
      <c r="E35" s="3191">
        <v>83837.600000000006</v>
      </c>
      <c r="F35" s="3191" t="s">
        <v>3150</v>
      </c>
      <c r="G35" s="3191" t="s">
        <v>3056</v>
      </c>
      <c r="H35" s="3191" t="s">
        <v>3168</v>
      </c>
      <c r="I35" s="3191" t="s">
        <v>3169</v>
      </c>
      <c r="J35" s="3191" t="s">
        <v>3169</v>
      </c>
      <c r="K35" s="3191">
        <v>20100</v>
      </c>
      <c r="L35" s="3191">
        <v>20300</v>
      </c>
      <c r="M35" s="3191">
        <v>2421.34</v>
      </c>
      <c r="N35" s="3191">
        <v>1</v>
      </c>
      <c r="O35" s="3191" t="s">
        <v>3160</v>
      </c>
      <c r="P35" s="3191" t="s">
        <v>3077</v>
      </c>
    </row>
    <row r="36" spans="1:16">
      <c r="A36" s="3191" t="s">
        <v>3172</v>
      </c>
      <c r="B36" s="3191" t="s">
        <v>3053</v>
      </c>
      <c r="C36" s="3191" t="s">
        <v>3054</v>
      </c>
      <c r="D36" s="3191">
        <v>68681</v>
      </c>
      <c r="E36" s="3191">
        <v>151098.20000000001</v>
      </c>
      <c r="F36" s="3191" t="s">
        <v>3150</v>
      </c>
      <c r="G36" s="3191" t="s">
        <v>3056</v>
      </c>
      <c r="H36" s="3191" t="s">
        <v>3111</v>
      </c>
      <c r="I36" s="3191" t="s">
        <v>3173</v>
      </c>
      <c r="J36" s="3191" t="s">
        <v>3173</v>
      </c>
      <c r="K36" s="3191">
        <v>103000</v>
      </c>
      <c r="L36" s="3191">
        <v>104000</v>
      </c>
      <c r="M36" s="3191">
        <v>6882.93</v>
      </c>
      <c r="N36" s="3191">
        <v>0.97</v>
      </c>
      <c r="O36" s="3191" t="s">
        <v>3174</v>
      </c>
      <c r="P36" s="3191" t="s">
        <v>3060</v>
      </c>
    </row>
    <row r="37" spans="1:16">
      <c r="A37" s="3191" t="s">
        <v>3175</v>
      </c>
      <c r="B37" s="3191" t="s">
        <v>3053</v>
      </c>
      <c r="C37" s="3191" t="s">
        <v>3054</v>
      </c>
      <c r="D37" s="3191">
        <v>69048.67</v>
      </c>
      <c r="E37" s="3191">
        <v>138097.29999999999</v>
      </c>
      <c r="F37" s="3191" t="s">
        <v>3145</v>
      </c>
      <c r="G37" s="3191" t="s">
        <v>3056</v>
      </c>
      <c r="H37" s="3191" t="s">
        <v>3111</v>
      </c>
      <c r="I37" s="3191" t="s">
        <v>3176</v>
      </c>
      <c r="J37" s="3191" t="s">
        <v>3176</v>
      </c>
      <c r="K37" s="3191">
        <v>30036.16</v>
      </c>
      <c r="L37" s="3191">
        <v>30136.16</v>
      </c>
      <c r="M37" s="3191">
        <v>2182.23</v>
      </c>
      <c r="N37" s="3191">
        <v>0.33</v>
      </c>
      <c r="O37" s="3191" t="s">
        <v>3177</v>
      </c>
      <c r="P37" s="3191" t="s">
        <v>3067</v>
      </c>
    </row>
    <row r="38" spans="1:16">
      <c r="A38" s="3191" t="s">
        <v>3178</v>
      </c>
      <c r="B38" s="3191" t="s">
        <v>3053</v>
      </c>
      <c r="C38" s="3191" t="s">
        <v>3062</v>
      </c>
      <c r="D38" s="3191">
        <v>41024.199999999997</v>
      </c>
      <c r="E38" s="3191">
        <v>82048.399999999994</v>
      </c>
      <c r="F38" s="3191" t="s">
        <v>3145</v>
      </c>
      <c r="G38" s="3191" t="s">
        <v>3056</v>
      </c>
      <c r="H38" s="3191" t="s">
        <v>3168</v>
      </c>
      <c r="I38" s="3191" t="s">
        <v>3179</v>
      </c>
      <c r="J38" s="3191" t="s">
        <v>3179</v>
      </c>
      <c r="K38" s="3191">
        <v>24700</v>
      </c>
      <c r="L38" s="3191">
        <v>24900</v>
      </c>
      <c r="M38" s="3191">
        <v>3034.78</v>
      </c>
      <c r="N38" s="3191">
        <v>0.81</v>
      </c>
      <c r="O38" s="3191" t="s">
        <v>3180</v>
      </c>
      <c r="P38" s="3191" t="s">
        <v>3077</v>
      </c>
    </row>
    <row r="39" spans="1:16">
      <c r="A39" s="3191" t="s">
        <v>3181</v>
      </c>
      <c r="B39" s="3191" t="s">
        <v>3053</v>
      </c>
      <c r="C39" s="3191" t="s">
        <v>3062</v>
      </c>
      <c r="D39" s="3191">
        <v>37558</v>
      </c>
      <c r="E39" s="3191">
        <v>75116</v>
      </c>
      <c r="F39" s="3191" t="s">
        <v>3145</v>
      </c>
      <c r="G39" s="3191" t="s">
        <v>3056</v>
      </c>
      <c r="H39" s="3191" t="s">
        <v>2808</v>
      </c>
      <c r="I39" s="3191" t="s">
        <v>3182</v>
      </c>
      <c r="J39" s="3191" t="s">
        <v>3182</v>
      </c>
      <c r="K39" s="3191">
        <v>22600</v>
      </c>
      <c r="L39" s="3191">
        <v>22800</v>
      </c>
      <c r="M39" s="3191">
        <v>3035.3</v>
      </c>
      <c r="N39" s="3191">
        <v>0.88</v>
      </c>
      <c r="O39" s="3191" t="s">
        <v>3183</v>
      </c>
      <c r="P39" s="3191" t="s">
        <v>3077</v>
      </c>
    </row>
    <row r="40" spans="1:16">
      <c r="A40" s="3191" t="s">
        <v>3184</v>
      </c>
      <c r="B40" s="3191" t="s">
        <v>3053</v>
      </c>
      <c r="C40" s="3191" t="s">
        <v>3054</v>
      </c>
      <c r="D40" s="3191">
        <v>14835</v>
      </c>
      <c r="E40" s="3191">
        <v>32637</v>
      </c>
      <c r="F40" s="3191" t="s">
        <v>3150</v>
      </c>
      <c r="G40" s="3191" t="s">
        <v>3056</v>
      </c>
      <c r="H40" s="3191" t="s">
        <v>3111</v>
      </c>
      <c r="I40" s="3191" t="s">
        <v>3185</v>
      </c>
      <c r="J40" s="3191" t="s">
        <v>3185</v>
      </c>
      <c r="K40" s="3191">
        <v>13400</v>
      </c>
      <c r="L40" s="3191">
        <v>17400</v>
      </c>
      <c r="M40" s="3191">
        <v>5331.36</v>
      </c>
      <c r="N40" s="3191">
        <v>29.85</v>
      </c>
      <c r="O40" s="3191" t="s">
        <v>3186</v>
      </c>
      <c r="P40" s="3191" t="s">
        <v>3067</v>
      </c>
    </row>
    <row r="41" spans="1:16" s="3207" customFormat="1">
      <c r="A41" s="3207" t="s">
        <v>3187</v>
      </c>
      <c r="B41" s="3207" t="s">
        <v>3053</v>
      </c>
      <c r="C41" s="3207" t="s">
        <v>3062</v>
      </c>
      <c r="D41" s="3207">
        <v>15728</v>
      </c>
      <c r="E41" s="3207">
        <v>34601.599999999999</v>
      </c>
      <c r="F41" s="3207" t="s">
        <v>3150</v>
      </c>
      <c r="G41" s="3207" t="s">
        <v>3056</v>
      </c>
      <c r="H41" s="3207" t="s">
        <v>3168</v>
      </c>
      <c r="I41" s="3207" t="s">
        <v>3188</v>
      </c>
      <c r="J41" s="3207" t="s">
        <v>3188</v>
      </c>
      <c r="K41" s="3207">
        <v>15400</v>
      </c>
      <c r="L41" s="3207">
        <v>16900</v>
      </c>
      <c r="M41" s="3207">
        <v>4884.17</v>
      </c>
      <c r="N41" s="3207">
        <v>9.74</v>
      </c>
      <c r="O41" s="3207" t="s">
        <v>3147</v>
      </c>
      <c r="P41" s="3207" t="s">
        <v>3067</v>
      </c>
    </row>
    <row r="42" spans="1:16">
      <c r="A42" s="3191" t="s">
        <v>3189</v>
      </c>
      <c r="B42" s="3191" t="s">
        <v>3053</v>
      </c>
      <c r="C42" s="3191" t="s">
        <v>3062</v>
      </c>
      <c r="D42" s="3191">
        <v>5702</v>
      </c>
      <c r="E42" s="3191">
        <v>8553</v>
      </c>
      <c r="F42" s="3191" t="s">
        <v>3091</v>
      </c>
      <c r="G42" s="3191" t="s">
        <v>3056</v>
      </c>
      <c r="H42" s="3191" t="s">
        <v>3168</v>
      </c>
      <c r="I42" s="3191" t="s">
        <v>3190</v>
      </c>
      <c r="J42" s="3191" t="s">
        <v>3190</v>
      </c>
      <c r="K42" s="3191">
        <v>3848.84</v>
      </c>
      <c r="L42" s="3191">
        <v>3898.84</v>
      </c>
      <c r="M42" s="3191">
        <v>4558.46</v>
      </c>
      <c r="N42" s="3191">
        <v>1.3</v>
      </c>
      <c r="O42" s="3191" t="s">
        <v>3076</v>
      </c>
      <c r="P42" s="3191" t="s">
        <v>3060</v>
      </c>
    </row>
    <row r="43" spans="1:16" s="3207" customFormat="1">
      <c r="A43" s="3207" t="s">
        <v>3191</v>
      </c>
      <c r="B43" s="3207" t="s">
        <v>3053</v>
      </c>
      <c r="C43" s="3207" t="s">
        <v>3062</v>
      </c>
      <c r="D43" s="3207">
        <v>43063.14</v>
      </c>
      <c r="E43" s="3207">
        <v>77513.649999999994</v>
      </c>
      <c r="F43" s="3207" t="s">
        <v>3192</v>
      </c>
      <c r="G43" s="3207" t="s">
        <v>3056</v>
      </c>
      <c r="H43" s="3207" t="s">
        <v>3168</v>
      </c>
      <c r="I43" s="3207" t="s">
        <v>3193</v>
      </c>
      <c r="J43" s="3207" t="s">
        <v>3193</v>
      </c>
      <c r="K43" s="3207">
        <v>38800</v>
      </c>
      <c r="L43" s="3207">
        <v>45600</v>
      </c>
      <c r="M43" s="3207">
        <v>5882.82</v>
      </c>
      <c r="N43" s="3207">
        <v>17.53</v>
      </c>
      <c r="O43" s="3207" t="s">
        <v>3194</v>
      </c>
      <c r="P43" s="3207" t="s">
        <v>3067</v>
      </c>
    </row>
    <row r="44" spans="1:16">
      <c r="A44" s="3191" t="s">
        <v>3195</v>
      </c>
      <c r="B44" s="3191" t="s">
        <v>3053</v>
      </c>
      <c r="C44" s="3191" t="s">
        <v>3062</v>
      </c>
      <c r="D44" s="3191">
        <v>87867</v>
      </c>
      <c r="E44" s="3191">
        <v>193307.4</v>
      </c>
      <c r="F44" s="3191" t="s">
        <v>3196</v>
      </c>
      <c r="G44" s="3191" t="s">
        <v>3056</v>
      </c>
      <c r="H44" s="3191" t="s">
        <v>3168</v>
      </c>
      <c r="I44" s="3191" t="s">
        <v>3197</v>
      </c>
      <c r="J44" s="3191" t="s">
        <v>3197</v>
      </c>
      <c r="K44" s="3191">
        <v>106000</v>
      </c>
      <c r="L44" s="3191">
        <v>123000</v>
      </c>
      <c r="M44" s="3191">
        <v>6362.92</v>
      </c>
      <c r="N44" s="3191">
        <v>16.04</v>
      </c>
      <c r="O44" s="3191" t="s">
        <v>3198</v>
      </c>
      <c r="P44" s="3191" t="s">
        <v>3148</v>
      </c>
    </row>
    <row r="45" spans="1:16">
      <c r="A45" s="3191" t="s">
        <v>3199</v>
      </c>
      <c r="B45" s="3191" t="s">
        <v>3053</v>
      </c>
      <c r="C45" s="3191" t="s">
        <v>3054</v>
      </c>
      <c r="D45" s="3191">
        <v>137836</v>
      </c>
      <c r="E45" s="3191">
        <v>198483.8</v>
      </c>
      <c r="F45" s="3191" t="s">
        <v>3200</v>
      </c>
      <c r="G45" s="3191" t="s">
        <v>3056</v>
      </c>
      <c r="H45" s="3191" t="s">
        <v>3168</v>
      </c>
      <c r="I45" s="3191" t="s">
        <v>3201</v>
      </c>
      <c r="J45" s="3191" t="s">
        <v>3201</v>
      </c>
      <c r="K45" s="3191">
        <v>197000</v>
      </c>
      <c r="L45" s="3191">
        <v>217000</v>
      </c>
      <c r="M45" s="3191">
        <v>10932.87</v>
      </c>
      <c r="N45" s="3191">
        <v>10.15</v>
      </c>
      <c r="O45" s="3191" t="s">
        <v>3202</v>
      </c>
      <c r="P45" s="3191" t="s">
        <v>3060</v>
      </c>
    </row>
    <row r="46" spans="1:16">
      <c r="A46" s="3191" t="s">
        <v>3203</v>
      </c>
      <c r="B46" s="3191" t="s">
        <v>3053</v>
      </c>
      <c r="C46" s="3191" t="s">
        <v>3062</v>
      </c>
      <c r="D46" s="3191">
        <v>65474</v>
      </c>
      <c r="E46" s="3191">
        <v>144042.79999999999</v>
      </c>
      <c r="F46" s="3191" t="s">
        <v>3204</v>
      </c>
      <c r="G46" s="3191" t="s">
        <v>3056</v>
      </c>
      <c r="H46" s="3191" t="s">
        <v>920</v>
      </c>
      <c r="I46" s="3191" t="s">
        <v>3205</v>
      </c>
      <c r="J46" s="3191" t="s">
        <v>3205</v>
      </c>
      <c r="K46" s="3191">
        <v>79000</v>
      </c>
      <c r="L46" s="3191">
        <v>95500</v>
      </c>
      <c r="M46" s="3191">
        <v>6629.97</v>
      </c>
      <c r="N46" s="3191">
        <v>20.89</v>
      </c>
      <c r="O46" s="3191" t="s">
        <v>3202</v>
      </c>
      <c r="P46" s="3191" t="s">
        <v>3067</v>
      </c>
    </row>
    <row r="47" spans="1:16" s="3207" customFormat="1">
      <c r="A47" s="3207" t="s">
        <v>3206</v>
      </c>
      <c r="B47" s="3207" t="s">
        <v>3053</v>
      </c>
      <c r="C47" s="3207" t="s">
        <v>3062</v>
      </c>
      <c r="D47" s="3207">
        <v>66938.75</v>
      </c>
      <c r="E47" s="3207">
        <v>120489.8</v>
      </c>
      <c r="F47" s="3207" t="s">
        <v>3207</v>
      </c>
      <c r="G47" s="3207" t="s">
        <v>3056</v>
      </c>
      <c r="H47" s="3207" t="s">
        <v>920</v>
      </c>
      <c r="I47" s="3207" t="s">
        <v>3208</v>
      </c>
      <c r="J47" s="3207" t="s">
        <v>3208</v>
      </c>
      <c r="K47" s="3207">
        <v>40163.25</v>
      </c>
      <c r="L47" s="3207">
        <v>68667.13</v>
      </c>
      <c r="M47" s="3207">
        <v>5699</v>
      </c>
      <c r="N47" s="3207">
        <v>70.97</v>
      </c>
      <c r="O47" s="3207" t="s">
        <v>3209</v>
      </c>
      <c r="P47" s="3207" t="s">
        <v>3077</v>
      </c>
    </row>
    <row r="48" spans="1:16">
      <c r="A48" s="3191" t="s">
        <v>3210</v>
      </c>
      <c r="B48" s="3191" t="s">
        <v>3053</v>
      </c>
      <c r="C48" s="3191" t="s">
        <v>3062</v>
      </c>
      <c r="D48" s="3191">
        <v>69261</v>
      </c>
      <c r="E48" s="3191">
        <v>124669.8</v>
      </c>
      <c r="F48" s="3191" t="s">
        <v>3207</v>
      </c>
      <c r="G48" s="3191" t="s">
        <v>3056</v>
      </c>
      <c r="H48" s="3191" t="s">
        <v>3211</v>
      </c>
      <c r="I48" s="3191" t="s">
        <v>3212</v>
      </c>
      <c r="J48" s="3191" t="s">
        <v>3212</v>
      </c>
      <c r="K48" s="3191">
        <v>36362.019999999997</v>
      </c>
      <c r="L48" s="3191">
        <v>39362.019999999997</v>
      </c>
      <c r="M48" s="3191">
        <v>3157.3</v>
      </c>
      <c r="N48" s="3191">
        <v>8.25</v>
      </c>
      <c r="O48" s="3191" t="s">
        <v>3213</v>
      </c>
      <c r="P48" s="3191" t="s">
        <v>3067</v>
      </c>
    </row>
    <row r="49" spans="1:16">
      <c r="A49" s="3191" t="s">
        <v>3214</v>
      </c>
      <c r="B49" s="3191" t="s">
        <v>3053</v>
      </c>
      <c r="C49" s="3191" t="s">
        <v>3054</v>
      </c>
      <c r="D49" s="3191">
        <v>24312</v>
      </c>
      <c r="E49" s="3191">
        <v>60780</v>
      </c>
      <c r="F49" s="3191" t="s">
        <v>3167</v>
      </c>
      <c r="G49" s="3191" t="s">
        <v>3056</v>
      </c>
      <c r="H49" s="3191" t="s">
        <v>3111</v>
      </c>
      <c r="I49" s="3191" t="s">
        <v>3215</v>
      </c>
      <c r="J49" s="3191" t="s">
        <v>3215</v>
      </c>
      <c r="K49" s="3191">
        <v>21200</v>
      </c>
      <c r="L49" s="3191">
        <v>21400</v>
      </c>
      <c r="M49" s="3191">
        <v>3520.9</v>
      </c>
      <c r="N49" s="3191">
        <v>0.94</v>
      </c>
      <c r="O49" s="3191" t="s">
        <v>3216</v>
      </c>
      <c r="P49" s="3191" t="s">
        <v>3077</v>
      </c>
    </row>
    <row r="50" spans="1:16">
      <c r="A50" s="3191" t="s">
        <v>3217</v>
      </c>
      <c r="B50" s="3191" t="s">
        <v>3053</v>
      </c>
      <c r="C50" s="3191" t="s">
        <v>3062</v>
      </c>
      <c r="D50" s="3191">
        <v>62167</v>
      </c>
      <c r="E50" s="3191">
        <v>155417.5</v>
      </c>
      <c r="F50" s="3191" t="s">
        <v>3167</v>
      </c>
      <c r="G50" s="3191" t="s">
        <v>3056</v>
      </c>
      <c r="H50" s="3191" t="s">
        <v>3168</v>
      </c>
      <c r="I50" s="3191" t="s">
        <v>3215</v>
      </c>
      <c r="J50" s="3191" t="s">
        <v>3215</v>
      </c>
      <c r="K50" s="3191">
        <v>14000</v>
      </c>
      <c r="L50" s="3191">
        <v>14200</v>
      </c>
      <c r="M50" s="3191">
        <v>913.66</v>
      </c>
      <c r="N50" s="3191">
        <v>1.43</v>
      </c>
      <c r="O50" s="3191" t="s">
        <v>3218</v>
      </c>
      <c r="P50" s="3191" t="s">
        <v>3067</v>
      </c>
    </row>
    <row r="51" spans="1:16">
      <c r="A51" s="3191" t="s">
        <v>3219</v>
      </c>
      <c r="B51" s="3191" t="s">
        <v>3053</v>
      </c>
      <c r="C51" s="3191" t="s">
        <v>3062</v>
      </c>
      <c r="D51" s="3191">
        <v>40967</v>
      </c>
      <c r="E51" s="3191">
        <v>73740.600000000006</v>
      </c>
      <c r="F51" s="3191" t="s">
        <v>3207</v>
      </c>
      <c r="G51" s="3191" t="s">
        <v>3056</v>
      </c>
      <c r="H51" s="3191" t="s">
        <v>3211</v>
      </c>
      <c r="I51" s="3191" t="s">
        <v>3220</v>
      </c>
      <c r="J51" s="3191" t="s">
        <v>3220</v>
      </c>
      <c r="K51" s="3191">
        <v>15362.62</v>
      </c>
      <c r="L51" s="3191">
        <v>24162.63</v>
      </c>
      <c r="M51" s="3191">
        <v>3276.71</v>
      </c>
      <c r="N51" s="3191">
        <v>57.28</v>
      </c>
      <c r="O51" s="3191" t="s">
        <v>3221</v>
      </c>
      <c r="P51" s="3191" t="s">
        <v>3077</v>
      </c>
    </row>
    <row r="52" spans="1:16">
      <c r="A52" s="3191" t="s">
        <v>3222</v>
      </c>
      <c r="B52" s="3191" t="s">
        <v>3053</v>
      </c>
      <c r="C52" s="3191" t="s">
        <v>3062</v>
      </c>
      <c r="D52" s="3191">
        <v>31155.74</v>
      </c>
      <c r="E52" s="3191">
        <v>68542.63</v>
      </c>
      <c r="F52" s="3191" t="s">
        <v>3204</v>
      </c>
      <c r="G52" s="3191" t="s">
        <v>3056</v>
      </c>
      <c r="H52" s="3191" t="s">
        <v>3223</v>
      </c>
      <c r="I52" s="3191" t="s">
        <v>3224</v>
      </c>
      <c r="J52" s="3191" t="s">
        <v>3224</v>
      </c>
      <c r="K52" s="3191">
        <v>23600</v>
      </c>
      <c r="L52" s="3191">
        <v>24500</v>
      </c>
      <c r="M52" s="3191">
        <v>3574.42</v>
      </c>
      <c r="N52" s="3191">
        <v>3.81</v>
      </c>
      <c r="O52" s="3191" t="s">
        <v>3225</v>
      </c>
      <c r="P52" s="3191" t="s">
        <v>3067</v>
      </c>
    </row>
    <row r="53" spans="1:16">
      <c r="A53" s="3191" t="s">
        <v>3226</v>
      </c>
      <c r="B53" s="3191" t="s">
        <v>3053</v>
      </c>
      <c r="C53" s="3191" t="s">
        <v>3062</v>
      </c>
      <c r="D53" s="3191">
        <v>49119.7</v>
      </c>
      <c r="E53" s="3191">
        <v>88415.46</v>
      </c>
      <c r="F53" s="3191" t="s">
        <v>3227</v>
      </c>
      <c r="G53" s="3191" t="s">
        <v>3056</v>
      </c>
      <c r="H53" s="3191" t="s">
        <v>920</v>
      </c>
      <c r="I53" s="3191" t="s">
        <v>3228</v>
      </c>
      <c r="J53" s="3191" t="s">
        <v>3228</v>
      </c>
      <c r="K53" s="3191">
        <v>48000</v>
      </c>
      <c r="L53" s="3191">
        <v>55000</v>
      </c>
      <c r="M53" s="3191">
        <v>6220.63</v>
      </c>
      <c r="N53" s="3191">
        <v>14.58</v>
      </c>
      <c r="O53" s="3191" t="s">
        <v>3229</v>
      </c>
      <c r="P53" s="3191" t="s">
        <v>3077</v>
      </c>
    </row>
    <row r="54" spans="1:16">
      <c r="A54" s="3191" t="s">
        <v>3230</v>
      </c>
      <c r="B54" s="3191" t="s">
        <v>3053</v>
      </c>
      <c r="C54" s="3191" t="s">
        <v>3062</v>
      </c>
      <c r="D54" s="3191">
        <v>2793.63</v>
      </c>
      <c r="E54" s="3191">
        <v>4190.45</v>
      </c>
      <c r="F54" s="3191" t="s">
        <v>3231</v>
      </c>
      <c r="G54" s="3191" t="s">
        <v>3056</v>
      </c>
      <c r="H54" s="3191" t="s">
        <v>2808</v>
      </c>
      <c r="I54" s="3191" t="s">
        <v>3232</v>
      </c>
      <c r="J54" s="3191" t="s">
        <v>3232</v>
      </c>
      <c r="K54" s="3191">
        <v>1550.46</v>
      </c>
      <c r="L54" s="3191">
        <v>1565.46</v>
      </c>
      <c r="M54" s="3191">
        <v>3735.78</v>
      </c>
      <c r="N54" s="3191">
        <v>0.97</v>
      </c>
      <c r="O54" s="3191" t="s">
        <v>3233</v>
      </c>
      <c r="P54" s="3191" t="s">
        <v>3060</v>
      </c>
    </row>
    <row r="55" spans="1:16">
      <c r="A55" s="3191" t="s">
        <v>3234</v>
      </c>
      <c r="B55" s="3191" t="s">
        <v>3053</v>
      </c>
      <c r="C55" s="3191" t="s">
        <v>3062</v>
      </c>
      <c r="D55" s="3191">
        <v>14805.6</v>
      </c>
      <c r="E55" s="3191">
        <v>37014</v>
      </c>
      <c r="F55" s="3191" t="s">
        <v>3235</v>
      </c>
      <c r="G55" s="3191" t="s">
        <v>3056</v>
      </c>
      <c r="H55" s="3191" t="s">
        <v>920</v>
      </c>
      <c r="I55" s="3191" t="s">
        <v>3236</v>
      </c>
      <c r="J55" s="3191" t="s">
        <v>3236</v>
      </c>
      <c r="K55" s="3191">
        <v>13325.04</v>
      </c>
      <c r="L55" s="3191">
        <v>13425.04</v>
      </c>
      <c r="M55" s="3191">
        <v>3627.01</v>
      </c>
      <c r="N55" s="3191">
        <v>0.75</v>
      </c>
      <c r="O55" s="3191" t="s">
        <v>3237</v>
      </c>
      <c r="P55" s="3191" t="s">
        <v>3077</v>
      </c>
    </row>
    <row r="56" spans="1:16">
      <c r="A56" s="3191" t="s">
        <v>3238</v>
      </c>
      <c r="B56" s="3191" t="s">
        <v>3053</v>
      </c>
      <c r="C56" s="3191" t="s">
        <v>3062</v>
      </c>
      <c r="D56" s="3191">
        <v>45437</v>
      </c>
      <c r="E56" s="3191">
        <v>113592.5</v>
      </c>
      <c r="F56" s="3191" t="s">
        <v>3235</v>
      </c>
      <c r="G56" s="3191" t="s">
        <v>3056</v>
      </c>
      <c r="H56" s="3191" t="s">
        <v>920</v>
      </c>
      <c r="I56" s="3191" t="s">
        <v>3239</v>
      </c>
      <c r="J56" s="3191" t="s">
        <v>3239</v>
      </c>
      <c r="K56" s="3191">
        <v>8200</v>
      </c>
      <c r="L56" s="3191">
        <v>15600</v>
      </c>
      <c r="M56" s="3191">
        <v>1373.32</v>
      </c>
      <c r="N56" s="3191">
        <v>90.24</v>
      </c>
      <c r="O56" s="3191" t="s">
        <v>3218</v>
      </c>
      <c r="P56" s="3191" t="s">
        <v>3067</v>
      </c>
    </row>
    <row r="57" spans="1:16">
      <c r="A57" s="3191" t="s">
        <v>3240</v>
      </c>
      <c r="B57" s="3191" t="s">
        <v>3053</v>
      </c>
      <c r="C57" s="3191" t="s">
        <v>3062</v>
      </c>
      <c r="D57" s="3191">
        <v>17569</v>
      </c>
      <c r="E57" s="3191">
        <v>26353.5</v>
      </c>
      <c r="F57" s="3191" t="s">
        <v>3231</v>
      </c>
      <c r="G57" s="3191" t="s">
        <v>3056</v>
      </c>
      <c r="H57" s="3191" t="s">
        <v>920</v>
      </c>
      <c r="I57" s="3191" t="s">
        <v>3239</v>
      </c>
      <c r="J57" s="3191" t="s">
        <v>3239</v>
      </c>
      <c r="K57" s="3191">
        <v>3200</v>
      </c>
      <c r="L57" s="3191">
        <v>3550</v>
      </c>
      <c r="M57" s="3191">
        <v>1347.06</v>
      </c>
      <c r="N57" s="3191">
        <v>10.94</v>
      </c>
      <c r="O57" s="3191" t="s">
        <v>3218</v>
      </c>
      <c r="P57" s="3191" t="s">
        <v>3077</v>
      </c>
    </row>
    <row r="58" spans="1:16">
      <c r="A58" s="3191" t="s">
        <v>3241</v>
      </c>
      <c r="B58" s="3191" t="s">
        <v>3053</v>
      </c>
      <c r="C58" s="3191" t="s">
        <v>3062</v>
      </c>
      <c r="D58" s="3191">
        <v>34858</v>
      </c>
      <c r="E58" s="3191">
        <v>111545.60000000001</v>
      </c>
      <c r="F58" s="3191" t="s">
        <v>3242</v>
      </c>
      <c r="G58" s="3191" t="s">
        <v>3056</v>
      </c>
      <c r="H58" s="3191" t="s">
        <v>920</v>
      </c>
      <c r="I58" s="3191" t="s">
        <v>3239</v>
      </c>
      <c r="J58" s="3191" t="s">
        <v>3239</v>
      </c>
      <c r="K58" s="3191">
        <v>13100</v>
      </c>
      <c r="L58" s="3191">
        <v>18500</v>
      </c>
      <c r="M58" s="3191">
        <v>1658.5</v>
      </c>
      <c r="N58" s="3191">
        <v>41.22</v>
      </c>
      <c r="O58" s="3191" t="s">
        <v>3174</v>
      </c>
      <c r="P58" s="3191" t="s">
        <v>3067</v>
      </c>
    </row>
    <row r="59" spans="1:16">
      <c r="A59" s="3191" t="s">
        <v>3243</v>
      </c>
      <c r="B59" s="3191" t="s">
        <v>3053</v>
      </c>
      <c r="C59" s="3191" t="s">
        <v>3062</v>
      </c>
      <c r="D59" s="3191">
        <v>101745</v>
      </c>
      <c r="E59" s="3191">
        <v>254362.5</v>
      </c>
      <c r="F59" s="3191" t="s">
        <v>3235</v>
      </c>
      <c r="G59" s="3191" t="s">
        <v>3056</v>
      </c>
      <c r="H59" s="3191" t="s">
        <v>920</v>
      </c>
      <c r="I59" s="3191" t="s">
        <v>3239</v>
      </c>
      <c r="J59" s="3191" t="s">
        <v>3239</v>
      </c>
      <c r="K59" s="3191">
        <v>19100</v>
      </c>
      <c r="L59" s="3191">
        <v>36200</v>
      </c>
      <c r="M59" s="3191">
        <v>1423.17</v>
      </c>
      <c r="N59" s="3191">
        <v>89.53</v>
      </c>
      <c r="O59" s="3191" t="s">
        <v>3244</v>
      </c>
      <c r="P59" s="3191" t="s">
        <v>3077</v>
      </c>
    </row>
    <row r="60" spans="1:16">
      <c r="A60" s="3191" t="s">
        <v>3245</v>
      </c>
      <c r="B60" s="3191" t="s">
        <v>3053</v>
      </c>
      <c r="C60" s="3191" t="s">
        <v>3054</v>
      </c>
      <c r="D60" s="3191">
        <v>64088</v>
      </c>
      <c r="E60" s="3191">
        <v>153811.20000000001</v>
      </c>
      <c r="F60" s="3191" t="s">
        <v>3246</v>
      </c>
      <c r="G60" s="3191" t="s">
        <v>3056</v>
      </c>
      <c r="H60" s="3191" t="s">
        <v>3111</v>
      </c>
      <c r="I60" s="3191" t="s">
        <v>3247</v>
      </c>
      <c r="J60" s="3191" t="s">
        <v>3247</v>
      </c>
      <c r="K60" s="3191">
        <v>57700</v>
      </c>
      <c r="L60" s="3191">
        <v>105699.1</v>
      </c>
      <c r="M60" s="3191">
        <v>6872</v>
      </c>
      <c r="N60" s="3191">
        <v>83.19</v>
      </c>
      <c r="O60" s="3191" t="s">
        <v>3248</v>
      </c>
      <c r="P60" s="3191" t="s">
        <v>3060</v>
      </c>
    </row>
  </sheetData>
  <phoneticPr fontId="228"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9" sqref="M1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645"/>
      <c r="C1" s="2086"/>
      <c r="D1" s="2086"/>
      <c r="E1" s="2086"/>
      <c r="F1" s="2086"/>
      <c r="G1" s="2086"/>
      <c r="H1" s="2086"/>
      <c r="I1" s="2086"/>
      <c r="J1" s="2086"/>
      <c r="K1" s="421">
        <f>MATCH(B1,'数据-取费表'!A6:A16,0)+5</f>
        <v>13</v>
      </c>
    </row>
    <row r="2" spans="1:31" s="2023" customFormat="1" ht="18" customHeight="1">
      <c r="A2" s="2083" t="s">
        <v>467</v>
      </c>
      <c r="B2" s="2087">
        <f ca="1">C36</f>
        <v>180714</v>
      </c>
      <c r="C2" s="2086"/>
      <c r="D2" s="2086"/>
      <c r="E2" s="2086"/>
      <c r="F2" s="2086"/>
      <c r="G2" s="2086"/>
      <c r="H2" s="2086"/>
      <c r="I2" s="2086"/>
      <c r="J2" s="2086"/>
      <c r="K2" s="2086"/>
    </row>
    <row r="3" spans="1:31" s="2023" customFormat="1" ht="18" customHeight="1">
      <c r="A3" s="2088" t="s">
        <v>1678</v>
      </c>
      <c r="B3" s="2089">
        <f ca="1">ROUND(B2*10000/IF(B1="",'数据-汇总表'!E3,INDIRECT("'数据-取费表'!K"&amp;$K$1)),0)</f>
        <v>3828</v>
      </c>
      <c r="C3" s="2086"/>
      <c r="D3" s="2086"/>
      <c r="E3" s="2086"/>
      <c r="F3" s="2086"/>
      <c r="G3" s="2086"/>
      <c r="H3" s="2086"/>
      <c r="I3" s="2086"/>
      <c r="J3" s="2086"/>
      <c r="K3" s="2086"/>
    </row>
    <row r="4" spans="1:31" s="2023" customFormat="1" ht="18" customHeight="1">
      <c r="A4" s="425" t="s">
        <v>468</v>
      </c>
      <c r="B4" s="426">
        <f ca="1">ROUND(B2*10000/IF(B1="",'数据-汇总表'!D3,INDIRECT("'数据-取费表'!R"&amp;$K$1)),0)</f>
        <v>10199</v>
      </c>
      <c r="C4" s="427"/>
      <c r="D4" s="421"/>
      <c r="E4" s="421"/>
      <c r="F4" s="421"/>
      <c r="G4" s="421"/>
      <c r="H4" s="421"/>
      <c r="I4" s="421"/>
      <c r="J4" s="421"/>
      <c r="K4" s="421"/>
    </row>
    <row r="5" spans="1:31" s="2023" customFormat="1" ht="18" customHeight="1" thickBot="1">
      <c r="A5" s="428"/>
      <c r="B5" s="429">
        <f ca="1">ROUND(B2/(IF(B1="",'数据-汇总表'!D3,INDIRECT("'数据-取费表'!R"&amp;$K$1))/666.67),0)</f>
        <v>680</v>
      </c>
      <c r="C5" s="430" t="s">
        <v>469</v>
      </c>
      <c r="D5" s="421"/>
      <c r="E5" s="421"/>
      <c r="F5" s="421"/>
      <c r="G5" s="421"/>
      <c r="H5" s="421"/>
      <c r="I5" s="421"/>
      <c r="J5" s="421"/>
      <c r="K5" s="421"/>
    </row>
    <row r="6" spans="1:31" s="2093" customFormat="1" ht="16.5" customHeight="1">
      <c r="A6" s="2664" t="s">
        <v>1836</v>
      </c>
      <c r="B6" s="2665"/>
      <c r="C6" s="2666">
        <f ca="1">SUM(C10:K10)</f>
        <v>456263.45238799998</v>
      </c>
      <c r="D6" s="2665"/>
      <c r="E6" s="2665"/>
      <c r="F6" s="2665"/>
      <c r="G6" s="2665"/>
      <c r="H6" s="2665"/>
      <c r="I6" s="2665"/>
      <c r="J6" s="2665"/>
      <c r="K6" s="2667"/>
    </row>
    <row r="7" spans="1:31" s="2095" customFormat="1" ht="15">
      <c r="A7" s="2668" t="s">
        <v>470</v>
      </c>
      <c r="B7" s="2669" t="s">
        <v>471</v>
      </c>
      <c r="C7" s="435" t="s">
        <v>3017</v>
      </c>
      <c r="D7" s="435" t="s">
        <v>3009</v>
      </c>
      <c r="E7" s="435" t="s">
        <v>3011</v>
      </c>
      <c r="F7" s="435" t="s">
        <v>2996</v>
      </c>
      <c r="G7" s="435" t="s">
        <v>1674</v>
      </c>
      <c r="H7" s="435" t="s">
        <v>2997</v>
      </c>
      <c r="I7" s="435" t="s">
        <v>3024</v>
      </c>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472</v>
      </c>
      <c r="C8" s="2670">
        <f>'不动产比较法-住宅'!C48</f>
        <v>14409</v>
      </c>
      <c r="D8" s="2670">
        <f>典型户型修正!R25</f>
        <v>18732</v>
      </c>
      <c r="E8" s="2670">
        <f>典型户型修正!R26</f>
        <v>28818</v>
      </c>
      <c r="F8" s="2670">
        <f ca="1">不动产收益法商业!B3</f>
        <v>15091</v>
      </c>
      <c r="G8" s="2670">
        <f ca="1">不动产收益法办公!B3</f>
        <v>5699</v>
      </c>
      <c r="H8" s="2670">
        <f ca="1">不动产收益法车库!B3</f>
        <v>931</v>
      </c>
      <c r="I8" s="2670">
        <v>0</v>
      </c>
      <c r="J8" s="2670"/>
      <c r="K8" s="2671"/>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473</v>
      </c>
      <c r="C9" s="440">
        <f>SUMIF('数据-汇总表'!$C19:$C33,'剩余法-待开发'!C7,'数据-汇总表'!$E19:$E33)</f>
        <v>195457.31999999998</v>
      </c>
      <c r="D9" s="440">
        <f>SUMIF('数据-汇总表'!$C19:$C33,'剩余法-待开发'!D7,'数据-汇总表'!$E19:$E33)</f>
        <v>41200.360000000008</v>
      </c>
      <c r="E9" s="440">
        <f>SUMIF('数据-汇总表'!$C19:$C33,'剩余法-待开发'!E7,'数据-汇总表'!$E19:$E33)</f>
        <v>13269.76</v>
      </c>
      <c r="F9" s="440">
        <f>SUMIF('数据-汇总表'!$C19:$C33,'剩余法-待开发'!F7,'数据-汇总表'!$E19:$E33)</f>
        <v>11647.55</v>
      </c>
      <c r="G9" s="440">
        <f>SUMIF('数据-汇总表'!$C19:$C33,'剩余法-待开发'!G7,'数据-汇总表'!$E19:$E33)</f>
        <v>55077.55</v>
      </c>
      <c r="H9" s="440">
        <f>SUMIF('数据-汇总表'!$C19:$C33,'剩余法-待开发'!H7,'数据-汇总表'!$E19:$E33)</f>
        <v>109970</v>
      </c>
      <c r="I9" s="440">
        <f>SUMIF('数据-汇总表'!$C19:$C33,'剩余法-待开发'!I7,'数据-汇总表'!$E19:$E33)</f>
        <v>7729.71</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672" t="s">
        <v>1841</v>
      </c>
      <c r="B10" s="2658" t="s">
        <v>474</v>
      </c>
      <c r="C10" s="2861">
        <f>C8*C9/10000</f>
        <v>281634.45238799998</v>
      </c>
      <c r="D10" s="2861">
        <f>典型户型修正!S25</f>
        <v>77177</v>
      </c>
      <c r="E10" s="2861">
        <f>典型户型修正!S26</f>
        <v>38241</v>
      </c>
      <c r="F10" s="2673">
        <f ca="1">不动产收益法商业!B2</f>
        <v>17577</v>
      </c>
      <c r="G10" s="2673">
        <f ca="1">不动产收益法办公!B2</f>
        <v>31391</v>
      </c>
      <c r="H10" s="2673">
        <f ca="1">不动产收益法车库!B2</f>
        <v>10243</v>
      </c>
      <c r="I10" s="2673">
        <f>I8*I9</f>
        <v>0</v>
      </c>
      <c r="J10" s="2673"/>
      <c r="K10" s="2674"/>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675" t="s">
        <v>1837</v>
      </c>
      <c r="B11" s="2665"/>
      <c r="C11" s="2665"/>
      <c r="D11" s="2665"/>
      <c r="E11" s="2665"/>
      <c r="F11" s="2665"/>
      <c r="G11" s="2665"/>
      <c r="H11" s="2665"/>
      <c r="I11" s="2665"/>
      <c r="J11" s="2665"/>
      <c r="K11" s="2667"/>
    </row>
    <row r="12" spans="1:31" s="2067" customFormat="1" ht="13.5" customHeight="1">
      <c r="A12" s="2676" t="s">
        <v>470</v>
      </c>
      <c r="B12" s="2648" t="s">
        <v>471</v>
      </c>
      <c r="C12" s="2677" t="s">
        <v>475</v>
      </c>
      <c r="D12" s="2644" t="s">
        <v>476</v>
      </c>
      <c r="E12" s="2644" t="s">
        <v>477</v>
      </c>
      <c r="F12" s="2644" t="s">
        <v>478</v>
      </c>
      <c r="G12" s="2648"/>
      <c r="H12" s="2649"/>
      <c r="I12" s="2649"/>
      <c r="J12" s="2649"/>
      <c r="K12" s="2650"/>
    </row>
    <row r="13" spans="1:31" s="2098" customFormat="1" ht="13.5" customHeight="1">
      <c r="A13" s="2678" t="s">
        <v>1842</v>
      </c>
      <c r="B13" s="2679" t="s">
        <v>479</v>
      </c>
      <c r="C13" s="449">
        <f ca="1">IF(B1="",'数据-取费表'!P16,INDIRECT("'数据-取费表'!p"&amp;$K$1)+INDIRECT("'数据-取费表'!t"&amp;$K$1))</f>
        <v>126789</v>
      </c>
      <c r="D13" s="2680"/>
      <c r="E13" s="2681"/>
      <c r="F13" s="2682"/>
      <c r="G13" s="2648"/>
      <c r="H13" s="2649"/>
      <c r="I13" s="2649"/>
      <c r="J13" s="2649"/>
      <c r="K13" s="2650"/>
    </row>
    <row r="14" spans="1:31" s="2098" customFormat="1" ht="13.5" customHeight="1">
      <c r="A14" s="2678" t="s">
        <v>1843</v>
      </c>
      <c r="B14" s="2679" t="s">
        <v>480</v>
      </c>
      <c r="C14" s="53">
        <f ca="1">ROUND(C13*F14,0)</f>
        <v>3804</v>
      </c>
      <c r="D14" s="2680"/>
      <c r="E14" s="2681"/>
      <c r="F14" s="2683">
        <f>'数据-取费表'!B33</f>
        <v>0.03</v>
      </c>
      <c r="G14" s="2648" t="s">
        <v>481</v>
      </c>
      <c r="H14" s="2649"/>
      <c r="I14" s="2649"/>
      <c r="J14" s="2649"/>
      <c r="K14" s="2650"/>
    </row>
    <row r="15" spans="1:31" s="2098" customFormat="1" ht="13.5" customHeight="1">
      <c r="A15" s="2678" t="s">
        <v>1844</v>
      </c>
      <c r="B15" s="2679" t="s">
        <v>482</v>
      </c>
      <c r="C15" s="53">
        <f ca="1">ROUND(IF(B1="",SUMIF('数据-取费表'!C:C,"住宅",'数据-取费表'!P:P)*F15,IF(INDIRECT("'数据-取费表'!c"&amp;$K$1)="住宅",INDIRECT("'数据-取费表'!P"&amp;$K$1)*F15,0)),0)</f>
        <v>3342</v>
      </c>
      <c r="D15" s="2680"/>
      <c r="E15" s="2681"/>
      <c r="F15" s="2683">
        <f>'数据-取费表'!B34</f>
        <v>0.05</v>
      </c>
      <c r="G15" s="2648" t="s">
        <v>483</v>
      </c>
      <c r="H15" s="2649"/>
      <c r="I15" s="2649"/>
      <c r="J15" s="2649"/>
      <c r="K15" s="2650"/>
    </row>
    <row r="16" spans="1:31" s="2099" customFormat="1" ht="13.5" customHeight="1">
      <c r="A16" s="2678" t="s">
        <v>1845</v>
      </c>
      <c r="B16" s="2679" t="s">
        <v>484</v>
      </c>
      <c r="C16" s="53">
        <f ca="1">ROUND(D16*E16/10000,0)</f>
        <v>8498</v>
      </c>
      <c r="D16" s="2680">
        <f ca="1">IF(B1="",'数据-汇总表'!E3,INDIRECT("'数据-取费表'!K"&amp;$K$1)+INDIRECT("'数据-取费表'!S"&amp;$K$1))</f>
        <v>472085.52</v>
      </c>
      <c r="E16" s="53">
        <f>'数据-取费表'!B35</f>
        <v>180</v>
      </c>
      <c r="F16" s="2683"/>
      <c r="G16" s="2648"/>
      <c r="H16" s="2649"/>
      <c r="I16" s="2649"/>
      <c r="J16" s="2649"/>
      <c r="K16" s="2650"/>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678" t="s">
        <v>1846</v>
      </c>
      <c r="B17" s="2679" t="s">
        <v>485</v>
      </c>
      <c r="C17" s="2684">
        <f ca="1">ROUND(C13*F17,0)</f>
        <v>1902</v>
      </c>
      <c r="D17" s="474"/>
      <c r="E17" s="2684"/>
      <c r="F17" s="2685">
        <f>'数据-取费表'!B36</f>
        <v>1.4999999999999999E-2</v>
      </c>
      <c r="G17" s="260" t="s">
        <v>486</v>
      </c>
      <c r="H17" s="2651"/>
      <c r="I17" s="2651"/>
      <c r="J17" s="2651"/>
      <c r="K17" s="278"/>
    </row>
    <row r="18" spans="1:14" s="2098" customFormat="1" ht="13.5" customHeight="1">
      <c r="A18" s="2686" t="s">
        <v>1847</v>
      </c>
      <c r="B18" s="2687" t="s">
        <v>487</v>
      </c>
      <c r="C18" s="2688">
        <f ca="1">SUM(C13:C17)</f>
        <v>144335</v>
      </c>
      <c r="D18" s="2689"/>
      <c r="E18" s="467"/>
      <c r="F18" s="467"/>
      <c r="G18" s="2652" t="s">
        <v>2421</v>
      </c>
      <c r="H18" s="2653"/>
      <c r="I18" s="2653"/>
      <c r="J18" s="2653"/>
      <c r="K18" s="2654"/>
    </row>
    <row r="19" spans="1:14" s="2098" customFormat="1" ht="13.5" customHeight="1">
      <c r="A19" s="2686" t="s">
        <v>1848</v>
      </c>
      <c r="B19" s="2687" t="s">
        <v>488</v>
      </c>
      <c r="C19" s="2644">
        <f ca="1">ROUND(D19*E19/10000,0)</f>
        <v>0</v>
      </c>
      <c r="D19" s="2690">
        <f ca="1">D16</f>
        <v>472085.52</v>
      </c>
      <c r="E19" s="2644">
        <f>'数据-取费表'!B32</f>
        <v>0</v>
      </c>
      <c r="F19" s="467"/>
      <c r="G19" s="2648" t="s">
        <v>489</v>
      </c>
      <c r="H19" s="2649"/>
      <c r="I19" s="2653"/>
      <c r="J19" s="2653"/>
      <c r="K19" s="2654"/>
    </row>
    <row r="20" spans="1:14" s="2098" customFormat="1" ht="13.5" customHeight="1">
      <c r="A20" s="2686" t="s">
        <v>1849</v>
      </c>
      <c r="B20" s="2687" t="s">
        <v>490</v>
      </c>
      <c r="C20" s="2644">
        <f ca="1">C21+C22-IF(B1="",'数据-取费表'!B29,IF(G20="已全部缴纳",C21+C22,H20))</f>
        <v>4956</v>
      </c>
      <c r="D20" s="2690"/>
      <c r="E20" s="2644"/>
      <c r="F20" s="2691"/>
      <c r="G20" s="2914"/>
      <c r="H20" s="2646"/>
      <c r="I20" s="2647" t="s">
        <v>2641</v>
      </c>
      <c r="J20" s="2653"/>
      <c r="K20" s="2654"/>
    </row>
    <row r="21" spans="1:14" s="2098" customFormat="1" ht="13.5" customHeight="1">
      <c r="A21" s="2678" t="s">
        <v>1850</v>
      </c>
      <c r="B21" s="2679" t="s">
        <v>491</v>
      </c>
      <c r="C21" s="53">
        <f ca="1">ROUND(D21*E21/10000,0)</f>
        <v>2705</v>
      </c>
      <c r="D21" s="2680">
        <f ca="1">IF(B1="",'数据-汇总表'!E5,IF(INDIRECT("'数据-取费表'!c"&amp;$K$1)="住宅",INDIRECT("'数据-取费表'!k"&amp;$K$1),0))</f>
        <v>257657.15</v>
      </c>
      <c r="E21" s="53">
        <f>'数据-取费表'!B27</f>
        <v>105</v>
      </c>
      <c r="F21" s="2683"/>
      <c r="G21" s="26"/>
      <c r="H21" s="51"/>
      <c r="I21" s="51"/>
      <c r="J21" s="51"/>
      <c r="K21" s="2655"/>
    </row>
    <row r="22" spans="1:14" s="2098" customFormat="1" ht="13.5" customHeight="1">
      <c r="A22" s="2678" t="s">
        <v>1851</v>
      </c>
      <c r="B22" s="2679" t="s">
        <v>492</v>
      </c>
      <c r="C22" s="53">
        <f ca="1">ROUND(D22*E22/10000,0)</f>
        <v>2251</v>
      </c>
      <c r="D22" s="2680">
        <f ca="1">IF(B1="",'数据-汇总表'!E6,IF(INDIRECT("'数据-取费表'!c"&amp;$K$1)="住宅",INDIRECT("'数据-取费表'!s"&amp;$K$1),INDIRECT("'数据-取费表'!k"&amp;$K$1)+INDIRECT("'数据-取费表'!s"&amp;$K$1)))</f>
        <v>214428.37000000002</v>
      </c>
      <c r="E22" s="53">
        <f>'数据-取费表'!B28</f>
        <v>105</v>
      </c>
      <c r="F22" s="2683"/>
      <c r="G22" s="26"/>
      <c r="H22" s="51"/>
      <c r="I22" s="51"/>
      <c r="J22" s="51"/>
      <c r="K22" s="2655"/>
    </row>
    <row r="23" spans="1:14" s="2098" customFormat="1" ht="13.5" customHeight="1">
      <c r="A23" s="2686" t="s">
        <v>1852</v>
      </c>
      <c r="B23" s="2867" t="s">
        <v>2824</v>
      </c>
      <c r="C23" s="2688">
        <f ca="1">ROUND((C18+C19+C20)*F23,0)</f>
        <v>2986</v>
      </c>
      <c r="D23" s="467"/>
      <c r="E23" s="467"/>
      <c r="F23" s="2692">
        <f>'数据-取费表'!B37</f>
        <v>0.02</v>
      </c>
      <c r="G23" s="2648" t="s">
        <v>2422</v>
      </c>
      <c r="H23" s="2649"/>
      <c r="I23" s="2649"/>
      <c r="J23" s="2649"/>
      <c r="K23" s="2650"/>
      <c r="L23" s="2100"/>
      <c r="M23" s="2100"/>
      <c r="N23" s="2100"/>
    </row>
    <row r="24" spans="1:14" s="2098" customFormat="1" ht="13.5" customHeight="1">
      <c r="A24" s="2686" t="s">
        <v>1853</v>
      </c>
      <c r="B24" s="2867" t="s">
        <v>2827</v>
      </c>
      <c r="C24" s="2688">
        <f ca="1">ROUND(C6*F24,0)</f>
        <v>9125</v>
      </c>
      <c r="D24" s="474"/>
      <c r="E24" s="472"/>
      <c r="F24" s="2692">
        <f>'数据-取费表'!B38</f>
        <v>0.02</v>
      </c>
      <c r="G24" s="2657" t="s">
        <v>499</v>
      </c>
      <c r="H24" s="2651"/>
      <c r="I24" s="2651"/>
      <c r="J24" s="2651"/>
      <c r="K24" s="278"/>
      <c r="L24" s="2100"/>
      <c r="M24" s="2100"/>
      <c r="N24" s="2100"/>
    </row>
    <row r="25" spans="1:14" s="2101" customFormat="1" ht="13.5" customHeight="1">
      <c r="A25" s="2686" t="s">
        <v>1854</v>
      </c>
      <c r="B25" s="2867" t="s">
        <v>2825</v>
      </c>
      <c r="C25" s="466">
        <f>ROUND(F25/(1+'数据-取费表'!C42),4)</f>
        <v>2.9000000000000001E-2</v>
      </c>
      <c r="D25" s="461" t="s">
        <v>2819</v>
      </c>
      <c r="E25" s="468"/>
      <c r="F25" s="2692">
        <f>IF(项目基本情况!B8="出让",0,'数据-取费表'!B48+'数据-取费表'!B49)</f>
        <v>3.0499999999999999E-2</v>
      </c>
      <c r="G25" s="2656" t="s">
        <v>2280</v>
      </c>
      <c r="H25" s="2649"/>
      <c r="I25" s="2649"/>
      <c r="J25" s="2649"/>
      <c r="K25" s="2650"/>
    </row>
    <row r="26" spans="1:14" s="2100" customFormat="1" ht="13.5" customHeight="1">
      <c r="A26" s="2686" t="s">
        <v>1855</v>
      </c>
      <c r="B26" s="2868" t="s">
        <v>2826</v>
      </c>
      <c r="C26" s="2693">
        <f ca="1">C28</f>
        <v>11635</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2" customFormat="1" ht="13.5" customHeight="1">
      <c r="A27" s="802" t="s">
        <v>1850</v>
      </c>
      <c r="B27" s="2694" t="s">
        <v>496</v>
      </c>
      <c r="C27" s="2695">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651"/>
      <c r="I27" s="2651"/>
      <c r="J27" s="2651"/>
      <c r="K27" s="278"/>
    </row>
    <row r="28" spans="1:14" s="2102" customFormat="1" ht="13.5" customHeight="1">
      <c r="A28" s="802" t="s">
        <v>1851</v>
      </c>
      <c r="B28" s="2694" t="s">
        <v>2828</v>
      </c>
      <c r="C28" s="2696">
        <f ca="1">ROUND(IF('数据-取费表'!B22&lt;=1,(C18+C19+C20+C23+C24)*F26*'数据-取费表'!B24/2,(C18+C19+C20+C23+C24)*(POWER((1+F26),'数据-取费表'!B24/2)-1)),0)</f>
        <v>11635</v>
      </c>
      <c r="D28" s="471"/>
      <c r="E28" s="472"/>
      <c r="F28" s="473"/>
      <c r="G28" s="2533" t="str">
        <f>IF('数据-取费表'!B22&lt;=1,"（1）-（4）项×年利率×建设期÷2","（1）-（4）项×((1+年利率)^(建设期÷2)-1)")</f>
        <v>（1）-（4）项×((1+年利率)^(建设期÷2)-1)</v>
      </c>
      <c r="H28" s="2651"/>
      <c r="I28" s="2651"/>
      <c r="J28" s="2651"/>
      <c r="K28" s="278"/>
    </row>
    <row r="29" spans="1:14" s="2102" customFormat="1" ht="13.5" customHeight="1">
      <c r="A29" s="2697" t="s">
        <v>1856</v>
      </c>
      <c r="B29" s="2687" t="s">
        <v>497</v>
      </c>
      <c r="C29" s="2688">
        <f ca="1">ROUND(C6*F29/(1+'数据-取费表'!C42),0)</f>
        <v>24334</v>
      </c>
      <c r="D29" s="467"/>
      <c r="E29" s="467"/>
      <c r="F29" s="2869">
        <f>'数据-取费表'!B41</f>
        <v>5.6000000000000001E-2</v>
      </c>
      <c r="G29" s="2657" t="s">
        <v>498</v>
      </c>
      <c r="H29" s="2649"/>
      <c r="I29" s="2649"/>
      <c r="J29" s="2649"/>
      <c r="K29" s="2650"/>
    </row>
    <row r="30" spans="1:14" s="2103" customFormat="1" ht="13.5" customHeight="1">
      <c r="A30" s="1617" t="s">
        <v>1857</v>
      </c>
      <c r="B30" s="2698" t="s">
        <v>500</v>
      </c>
      <c r="C30" s="2693">
        <f ca="1">C31</f>
        <v>197371</v>
      </c>
      <c r="D30" s="476">
        <f ca="1">C32</f>
        <v>0.1827</v>
      </c>
      <c r="E30" s="468" t="s">
        <v>495</v>
      </c>
      <c r="F30" s="470"/>
      <c r="G30" s="2656" t="s">
        <v>2961</v>
      </c>
      <c r="H30" s="2649"/>
      <c r="I30" s="2649"/>
      <c r="J30" s="2649"/>
      <c r="K30" s="2650"/>
    </row>
    <row r="31" spans="1:14" s="2102" customFormat="1" ht="13.5" customHeight="1">
      <c r="A31" s="802" t="s">
        <v>1850</v>
      </c>
      <c r="B31" s="2694"/>
      <c r="C31" s="449">
        <f ca="1">C18+C19+C20+C23+C24+C26+C29</f>
        <v>197371</v>
      </c>
      <c r="D31" s="471"/>
      <c r="E31" s="472"/>
      <c r="F31" s="473"/>
      <c r="G31" s="260"/>
      <c r="H31" s="2651"/>
      <c r="I31" s="2651"/>
      <c r="J31" s="2651"/>
      <c r="K31" s="278"/>
    </row>
    <row r="32" spans="1:14" s="2102" customFormat="1" ht="13.5" customHeight="1">
      <c r="A32" s="802" t="s">
        <v>1851</v>
      </c>
      <c r="B32" s="2694"/>
      <c r="C32" s="53">
        <f ca="1">ROUND(C25+D26,4)</f>
        <v>0.1827</v>
      </c>
      <c r="D32" s="471"/>
      <c r="E32" s="472"/>
      <c r="F32" s="473"/>
      <c r="G32" s="260"/>
      <c r="H32" s="2651"/>
      <c r="I32" s="2651"/>
      <c r="J32" s="2651"/>
      <c r="K32" s="278"/>
    </row>
    <row r="33" spans="1:11" s="2104" customFormat="1" ht="13.5" customHeight="1">
      <c r="A33" s="2866" t="s">
        <v>2823</v>
      </c>
      <c r="B33" s="2864" t="s">
        <v>2821</v>
      </c>
      <c r="C33" s="477">
        <f ca="1">C35</f>
        <v>20982</v>
      </c>
      <c r="D33" s="466">
        <f ca="1">C34</f>
        <v>0.1338</v>
      </c>
      <c r="E33" s="468" t="s">
        <v>495</v>
      </c>
      <c r="F33" s="478">
        <f ca="1">IF(B1="",'数据-取费表'!Q16,INDIRECT("'数据-取费表'!q"&amp;$K$1))</f>
        <v>0.13</v>
      </c>
      <c r="G33" s="2652"/>
      <c r="H33" s="2653"/>
      <c r="I33" s="2653"/>
      <c r="J33" s="2653"/>
      <c r="K33" s="2654"/>
    </row>
    <row r="34" spans="1:11" s="2105" customFormat="1" ht="13.5" customHeight="1">
      <c r="A34" s="374" t="s">
        <v>1850</v>
      </c>
      <c r="B34" s="2699" t="s">
        <v>501</v>
      </c>
      <c r="C34" s="471">
        <f ca="1">ROUND((1+C25)*F33,4)</f>
        <v>0.1338</v>
      </c>
      <c r="D34" s="471"/>
      <c r="E34" s="472"/>
      <c r="F34" s="479"/>
      <c r="G34" s="260" t="s">
        <v>2281</v>
      </c>
      <c r="H34" s="2651"/>
      <c r="I34" s="2651"/>
      <c r="J34" s="2651"/>
      <c r="K34" s="278"/>
    </row>
    <row r="35" spans="1:11" s="2105" customFormat="1" ht="13.5" customHeight="1" thickBot="1">
      <c r="A35" s="1618" t="s">
        <v>1851</v>
      </c>
      <c r="B35" s="2865" t="s">
        <v>2829</v>
      </c>
      <c r="C35" s="1610">
        <f ca="1">ROUND((C18+C19+C20+C23+C24)*F33,0)</f>
        <v>20982</v>
      </c>
      <c r="D35" s="1611"/>
      <c r="E35" s="2700"/>
      <c r="F35" s="1612"/>
      <c r="G35" s="2658"/>
      <c r="H35" s="2659"/>
      <c r="I35" s="2659"/>
      <c r="J35" s="2659"/>
      <c r="K35" s="2660"/>
    </row>
    <row r="36" spans="1:11" s="2067" customFormat="1" ht="13.5" customHeight="1" thickBot="1">
      <c r="A36" s="283" t="s">
        <v>1838</v>
      </c>
      <c r="B36" s="2662"/>
      <c r="C36" s="2701">
        <f ca="1">ROUND((C6-C30-C33)/(1+D30+D33),0)</f>
        <v>180714</v>
      </c>
      <c r="D36" s="2662"/>
      <c r="E36" s="2662"/>
      <c r="F36" s="2662"/>
      <c r="G36" s="2661" t="s">
        <v>2830</v>
      </c>
      <c r="H36" s="2662"/>
      <c r="I36" s="2662"/>
      <c r="J36" s="2662"/>
      <c r="K36" s="26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645"/>
      <c r="C1" s="2086"/>
      <c r="D1" s="2086"/>
      <c r="E1" s="2086"/>
      <c r="F1" s="2086"/>
      <c r="G1" s="2086"/>
      <c r="H1" s="2086"/>
      <c r="I1" s="2086"/>
      <c r="J1" s="2086"/>
      <c r="K1" s="421">
        <f>MATCH(B1,'数据-取费表'!A6:A16,0)+5</f>
        <v>13</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2642</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1842</v>
      </c>
      <c r="B13" s="448" t="s">
        <v>479</v>
      </c>
      <c r="C13" s="449">
        <f ca="1">IF(B1="",'数据-取费表'!M16,INDIRECT("'数据-取费表'!M"&amp;$K$1)+INDIRECT("'数据-取费表'!t"&amp;$K$1))</f>
        <v>126789</v>
      </c>
      <c r="D13" s="450"/>
      <c r="E13" s="364"/>
      <c r="F13" s="451"/>
      <c r="G13" s="443"/>
      <c r="H13" s="446"/>
      <c r="I13" s="446"/>
      <c r="J13" s="446"/>
      <c r="K13" s="447"/>
    </row>
    <row r="14" spans="1:41" s="2098" customFormat="1" ht="13.5" customHeight="1">
      <c r="A14" s="1615" t="s">
        <v>1843</v>
      </c>
      <c r="B14" s="448" t="s">
        <v>480</v>
      </c>
      <c r="C14" s="53">
        <f ca="1">ROUND(C13*F14,0)</f>
        <v>3804</v>
      </c>
      <c r="D14" s="450"/>
      <c r="E14" s="364"/>
      <c r="F14" s="452">
        <f>'数据-取费表'!B33</f>
        <v>0.03</v>
      </c>
      <c r="G14" s="443" t="s">
        <v>502</v>
      </c>
      <c r="H14" s="446"/>
      <c r="I14" s="446"/>
      <c r="J14" s="446"/>
      <c r="K14" s="447"/>
    </row>
    <row r="15" spans="1:41" s="2098" customFormat="1" ht="13.5" customHeight="1">
      <c r="A15" s="1615" t="s">
        <v>1844</v>
      </c>
      <c r="B15" s="448" t="s">
        <v>482</v>
      </c>
      <c r="C15" s="53">
        <f ca="1">ROUND(IF(B1="",SUMIF('数据-取费表'!C:C,"住宅",'数据-取费表'!M:M)*F15,IF(INDIRECT("'数据-取费表'!c"&amp;$K$1)="住宅",INDIRECT("'数据-取费表'!M"&amp;$K$1)*F15,0)),0)</f>
        <v>3342</v>
      </c>
      <c r="D15" s="450"/>
      <c r="E15" s="364"/>
      <c r="F15" s="452">
        <f>'数据-取费表'!B34</f>
        <v>0.05</v>
      </c>
      <c r="G15" s="443" t="s">
        <v>502</v>
      </c>
      <c r="H15" s="446"/>
      <c r="I15" s="446"/>
      <c r="J15" s="446"/>
      <c r="K15" s="447"/>
    </row>
    <row r="16" spans="1:41" s="2099" customFormat="1" ht="13.5" customHeight="1">
      <c r="A16" s="1615" t="s">
        <v>1845</v>
      </c>
      <c r="B16" s="448" t="s">
        <v>484</v>
      </c>
      <c r="C16" s="53">
        <f ca="1">ROUND(D16*E16/10000,0)</f>
        <v>8498</v>
      </c>
      <c r="D16" s="450">
        <f ca="1">IF(B1="",'数据-汇总表'!E3,INDIRECT("'数据-取费表'!K"&amp;$K$1)+INDIRECT("'数据-取费表'!S"&amp;$K$1))</f>
        <v>472085.52</v>
      </c>
      <c r="E16" s="53">
        <f>'数据-取费表'!B35</f>
        <v>180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485</v>
      </c>
      <c r="C17" s="453">
        <f ca="1">ROUND(C13*F17,0)</f>
        <v>1902</v>
      </c>
      <c r="D17" s="454"/>
      <c r="E17" s="453"/>
      <c r="F17" s="455">
        <f>'数据-取费表'!B36</f>
        <v>1.4999999999999999E-2</v>
      </c>
      <c r="G17" s="443" t="s">
        <v>502</v>
      </c>
      <c r="H17" s="456"/>
      <c r="I17" s="456"/>
      <c r="J17" s="456"/>
      <c r="K17" s="457"/>
    </row>
    <row r="18" spans="1:14" s="2101" customFormat="1" ht="13.5" customHeight="1">
      <c r="A18" s="1616" t="s">
        <v>1847</v>
      </c>
      <c r="B18" s="458" t="s">
        <v>487</v>
      </c>
      <c r="C18" s="459">
        <f ca="1">SUM(C13:C17)</f>
        <v>144335</v>
      </c>
      <c r="D18" s="460"/>
      <c r="E18" s="461"/>
      <c r="F18" s="461"/>
      <c r="G18" s="1321" t="s">
        <v>2423</v>
      </c>
      <c r="H18" s="446"/>
      <c r="I18" s="446"/>
      <c r="J18" s="446"/>
      <c r="K18" s="447"/>
    </row>
    <row r="19" spans="1:14" s="2101" customFormat="1" ht="13.5" customHeight="1">
      <c r="A19" s="1616" t="s">
        <v>1848</v>
      </c>
      <c r="B19" s="458" t="s">
        <v>493</v>
      </c>
      <c r="C19" s="459">
        <f ca="1">ROUND(C18*F19,0)</f>
        <v>2887</v>
      </c>
      <c r="D19" s="461"/>
      <c r="E19" s="461"/>
      <c r="F19" s="465">
        <f>'数据-取费表'!B37</f>
        <v>0.02</v>
      </c>
      <c r="G19" s="443" t="s">
        <v>503</v>
      </c>
      <c r="H19" s="446"/>
      <c r="I19" s="446"/>
      <c r="J19" s="446"/>
      <c r="K19" s="447"/>
      <c r="L19" s="2103"/>
      <c r="M19" s="2103"/>
      <c r="N19" s="2103"/>
    </row>
    <row r="20" spans="1:14" s="2101" customFormat="1" ht="13.5" customHeight="1">
      <c r="A20" s="1616" t="s">
        <v>1849</v>
      </c>
      <c r="B20" s="458" t="s">
        <v>504</v>
      </c>
      <c r="C20" s="2862">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1852</v>
      </c>
      <c r="B21" s="460" t="s">
        <v>494</v>
      </c>
      <c r="C21" s="469">
        <f ca="1">C22</f>
        <v>10613</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2445</v>
      </c>
    </row>
    <row r="22" spans="1:14" s="2102" customFormat="1" ht="13.5" customHeight="1">
      <c r="A22" s="1615" t="s">
        <v>1842</v>
      </c>
      <c r="B22" s="1322" t="s">
        <v>2426</v>
      </c>
      <c r="C22" s="486">
        <f ca="1">ROUND(IF('数据-取费表'!B22&lt;=1,(C18+C19)*F21*'数据-取费表'!B20/2,(C18+C19)*(POWER((1+F21),'数据-取费表'!B20/2)-1)),0)</f>
        <v>10613</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864" t="s">
        <v>2822</v>
      </c>
      <c r="C24" s="477">
        <f ca="1">C25</f>
        <v>19139</v>
      </c>
      <c r="D24" s="488">
        <f ca="1">C26</f>
        <v>2.5999999999999999E-3</v>
      </c>
      <c r="E24" s="468" t="s">
        <v>507</v>
      </c>
      <c r="F24" s="478">
        <f ca="1">IF(B1="",'数据-取费表'!Q16,INDIRECT("'数据-取费表'!q"&amp;$K$1))</f>
        <v>0.13</v>
      </c>
      <c r="G24" s="443"/>
      <c r="H24" s="446"/>
      <c r="I24" s="446"/>
      <c r="J24" s="446"/>
      <c r="K24" s="447"/>
    </row>
    <row r="25" spans="1:14" s="2102" customFormat="1" ht="13.5" customHeight="1">
      <c r="A25" s="1615" t="s">
        <v>1842</v>
      </c>
      <c r="B25" s="1322" t="s">
        <v>2427</v>
      </c>
      <c r="C25" s="489">
        <f ca="1">ROUND((C18+C19)*F24,0)</f>
        <v>19139</v>
      </c>
      <c r="D25" s="471"/>
      <c r="E25" s="472"/>
      <c r="F25" s="479"/>
      <c r="G25" s="1320" t="s">
        <v>2424</v>
      </c>
      <c r="H25" s="456"/>
      <c r="I25" s="456"/>
      <c r="J25" s="456"/>
      <c r="K25" s="457"/>
    </row>
    <row r="26" spans="1:14" s="2102" customFormat="1" ht="13.5" customHeight="1">
      <c r="A26" s="1615" t="s">
        <v>1843</v>
      </c>
      <c r="B26" s="1322" t="s">
        <v>509</v>
      </c>
      <c r="C26" s="490">
        <f ca="1">ROUND(F20*F24,4)</f>
        <v>2.5999999999999999E-3</v>
      </c>
      <c r="D26" s="471"/>
      <c r="E26" s="480"/>
      <c r="F26" s="479"/>
      <c r="G26" s="1320" t="s">
        <v>510</v>
      </c>
      <c r="H26" s="456"/>
      <c r="I26" s="456"/>
      <c r="J26" s="456"/>
      <c r="K26" s="457"/>
    </row>
    <row r="27" spans="1:14" s="2102" customFormat="1" ht="13.5" customHeight="1">
      <c r="A27" s="1619" t="s">
        <v>1861</v>
      </c>
      <c r="B27" s="458" t="s">
        <v>511</v>
      </c>
      <c r="C27" s="2863">
        <f>ROUND(F27/(1+'数据-取费表'!C42),4)</f>
        <v>5.33E-2</v>
      </c>
      <c r="D27" s="461" t="s">
        <v>2820</v>
      </c>
      <c r="E27" s="461"/>
      <c r="F27" s="465">
        <f>'数据-取费表'!B41</f>
        <v>5.6000000000000001E-2</v>
      </c>
      <c r="G27" s="1942" t="s">
        <v>2282</v>
      </c>
      <c r="H27" s="446"/>
      <c r="I27" s="446"/>
      <c r="J27" s="446"/>
      <c r="K27" s="447"/>
    </row>
    <row r="28" spans="1:14" s="2103" customFormat="1" ht="13.5" customHeight="1">
      <c r="A28" s="1619" t="s">
        <v>1862</v>
      </c>
      <c r="B28" s="475" t="s">
        <v>512</v>
      </c>
      <c r="C28" s="469">
        <f ca="1">ROUND((C18+C19+C21+C24)/(1-C20-D21-D24-C27),0)</f>
        <v>191800</v>
      </c>
      <c r="D28" s="476"/>
      <c r="E28" s="468"/>
      <c r="F28" s="470"/>
      <c r="G28" s="1321" t="s">
        <v>2425</v>
      </c>
      <c r="H28" s="446"/>
      <c r="I28" s="446"/>
      <c r="J28" s="446"/>
      <c r="K28" s="447"/>
    </row>
    <row r="29" spans="1:14" s="2103" customFormat="1" ht="13.5" customHeight="1">
      <c r="A29" s="1619" t="s">
        <v>1863</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1859</v>
      </c>
      <c r="B31" s="1324"/>
      <c r="C31" s="499">
        <f>ROUND(C6*F31/(1+'数据-取费表'!C42),0)</f>
        <v>0</v>
      </c>
      <c r="D31" s="1325"/>
      <c r="E31" s="1325"/>
      <c r="F31" s="500">
        <f>'数据-取费表'!B41</f>
        <v>5.6000000000000001E-2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2962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532" t="s">
        <v>522</v>
      </c>
      <c r="D6" s="3533"/>
      <c r="E6" s="3556" t="s">
        <v>523</v>
      </c>
      <c r="F6" s="3557"/>
      <c r="G6" s="3532" t="s">
        <v>524</v>
      </c>
      <c r="H6" s="3533"/>
      <c r="I6" s="3532" t="s">
        <v>525</v>
      </c>
      <c r="J6" s="3533"/>
      <c r="K6" s="513" t="s">
        <v>526</v>
      </c>
      <c r="L6" s="2115"/>
      <c r="M6" s="2116"/>
      <c r="N6" s="2116"/>
      <c r="O6" s="2116"/>
      <c r="P6" s="3534" t="s">
        <v>527</v>
      </c>
      <c r="Q6" s="3535"/>
      <c r="R6" s="3520" t="s">
        <v>523</v>
      </c>
      <c r="S6" s="3521"/>
      <c r="T6" s="3520" t="s">
        <v>524</v>
      </c>
      <c r="U6" s="3521"/>
      <c r="V6" s="3540" t="s">
        <v>525</v>
      </c>
      <c r="W6" s="3540"/>
      <c r="X6" s="1550"/>
      <c r="Y6" s="3520" t="s">
        <v>527</v>
      </c>
      <c r="Z6" s="3521"/>
      <c r="AA6" s="3515" t="s">
        <v>523</v>
      </c>
      <c r="AB6" s="3516" t="s">
        <v>524</v>
      </c>
      <c r="AC6" s="3515" t="s">
        <v>525</v>
      </c>
    </row>
    <row r="7" spans="1:29" ht="15">
      <c r="A7" s="514"/>
      <c r="B7" s="515"/>
      <c r="C7" s="3543" t="s">
        <v>2919</v>
      </c>
      <c r="D7" s="3544"/>
      <c r="E7" s="3558" t="s">
        <v>2920</v>
      </c>
      <c r="F7" s="3559"/>
      <c r="G7" s="3543" t="s">
        <v>2921</v>
      </c>
      <c r="H7" s="3544"/>
      <c r="I7" s="3543" t="s">
        <v>2922</v>
      </c>
      <c r="J7" s="3544"/>
      <c r="K7" s="513"/>
      <c r="L7" s="2115"/>
      <c r="M7" s="2116"/>
      <c r="N7" s="2116"/>
      <c r="O7" s="2116"/>
      <c r="P7" s="3536"/>
      <c r="Q7" s="3537"/>
      <c r="R7" s="3522"/>
      <c r="S7" s="3523"/>
      <c r="T7" s="3522"/>
      <c r="U7" s="3523"/>
      <c r="V7" s="3540"/>
      <c r="W7" s="3540"/>
      <c r="X7" s="1550"/>
      <c r="Y7" s="3522"/>
      <c r="Z7" s="3523"/>
      <c r="AA7" s="3516"/>
      <c r="AB7" s="3516"/>
      <c r="AC7" s="3516"/>
    </row>
    <row r="8" spans="1:29" ht="15.75" thickBot="1">
      <c r="A8" s="516"/>
      <c r="B8" s="517"/>
      <c r="C8" s="3541" t="s">
        <v>2923</v>
      </c>
      <c r="D8" s="3542"/>
      <c r="E8" s="3560" t="s">
        <v>2923</v>
      </c>
      <c r="F8" s="3561"/>
      <c r="G8" s="3541" t="s">
        <v>2923</v>
      </c>
      <c r="H8" s="3542"/>
      <c r="I8" s="3541" t="s">
        <v>2923</v>
      </c>
      <c r="J8" s="3542"/>
      <c r="K8" s="513" t="s">
        <v>528</v>
      </c>
      <c r="L8" s="2115"/>
      <c r="M8" s="2116"/>
      <c r="N8" s="2116"/>
      <c r="O8" s="2116"/>
      <c r="P8" s="3538"/>
      <c r="Q8" s="3539"/>
      <c r="R8" s="3522"/>
      <c r="S8" s="3523"/>
      <c r="T8" s="3524"/>
      <c r="U8" s="3525"/>
      <c r="V8" s="3540"/>
      <c r="W8" s="3540"/>
      <c r="X8" s="1550"/>
      <c r="Y8" s="3524"/>
      <c r="Z8" s="3525"/>
      <c r="AA8" s="3517"/>
      <c r="AB8" s="3517"/>
      <c r="AC8" s="3517"/>
    </row>
    <row r="9" spans="1:29" s="1214" customFormat="1" ht="15.75" thickBot="1">
      <c r="A9" s="2748"/>
      <c r="B9" s="2755" t="s">
        <v>529</v>
      </c>
      <c r="C9" s="518">
        <f>'数据-取费表'!B2</f>
        <v>44050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518" t="s">
        <v>530</v>
      </c>
      <c r="Q9" s="3527"/>
      <c r="R9" s="1551" t="s">
        <v>8</v>
      </c>
      <c r="S9" s="1552">
        <f t="shared" ref="S9:S17" si="0">F9</f>
        <v>0</v>
      </c>
      <c r="T9" s="1551" t="s">
        <v>8</v>
      </c>
      <c r="U9" s="1552">
        <f t="shared" ref="U9:U17" si="1">H9</f>
        <v>0</v>
      </c>
      <c r="V9" s="1551" t="s">
        <v>8</v>
      </c>
      <c r="W9" s="1552">
        <f t="shared" ref="W9:W17" si="2">J9</f>
        <v>0</v>
      </c>
      <c r="X9" s="1553"/>
      <c r="Y9" s="3518" t="s">
        <v>530</v>
      </c>
      <c r="Z9" s="3519"/>
      <c r="AA9" s="1554" t="e">
        <f>D9/F9</f>
        <v>#DIV/0!</v>
      </c>
      <c r="AB9" s="1554" t="e">
        <f>D9/H9</f>
        <v>#DIV/0!</v>
      </c>
      <c r="AC9" s="1554" t="e">
        <f>D9/J9</f>
        <v>#DIV/0!</v>
      </c>
    </row>
    <row r="10" spans="1:29" s="1214" customFormat="1" ht="15.75" thickBot="1">
      <c r="A10" s="2749"/>
      <c r="B10" s="275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518" t="s">
        <v>533</v>
      </c>
      <c r="Q10" s="3519"/>
      <c r="R10" s="1551" t="s">
        <v>8</v>
      </c>
      <c r="S10" s="1552">
        <f t="shared" si="0"/>
        <v>0</v>
      </c>
      <c r="T10" s="1551" t="s">
        <v>8</v>
      </c>
      <c r="U10" s="1552">
        <f t="shared" si="1"/>
        <v>0</v>
      </c>
      <c r="V10" s="1551" t="s">
        <v>8</v>
      </c>
      <c r="W10" s="1552">
        <f t="shared" si="2"/>
        <v>0</v>
      </c>
      <c r="X10" s="1553"/>
      <c r="Y10" s="3518" t="s">
        <v>533</v>
      </c>
      <c r="Z10" s="3519"/>
      <c r="AA10" s="1554" t="e">
        <f t="shared" ref="AA10:AA42" si="3">D10/F10</f>
        <v>#DIV/0!</v>
      </c>
      <c r="AB10" s="1554" t="e">
        <f t="shared" ref="AB10:AB42" si="4">D10/H10</f>
        <v>#DIV/0!</v>
      </c>
      <c r="AC10" s="1554" t="e">
        <f t="shared" ref="AC10:AC42" si="5">D10/J10</f>
        <v>#DIV/0!</v>
      </c>
    </row>
    <row r="11" spans="1:29" s="1214" customFormat="1" ht="15">
      <c r="A11" s="2750"/>
      <c r="B11" s="2757" t="s">
        <v>2746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526" t="s">
        <v>535</v>
      </c>
      <c r="Q11" s="1145" t="str">
        <f t="shared" ref="Q11:Q17" si="6">B11</f>
        <v>用途</v>
      </c>
      <c r="R11" s="1551" t="s">
        <v>8</v>
      </c>
      <c r="S11" s="1552">
        <f t="shared" si="0"/>
        <v>100</v>
      </c>
      <c r="T11" s="1551" t="s">
        <v>8</v>
      </c>
      <c r="U11" s="1552">
        <f t="shared" si="1"/>
        <v>100</v>
      </c>
      <c r="V11" s="1551" t="s">
        <v>8</v>
      </c>
      <c r="W11" s="1552">
        <f t="shared" si="2"/>
        <v>100</v>
      </c>
      <c r="X11" s="1553"/>
      <c r="Y11" s="3480" t="s">
        <v>536</v>
      </c>
      <c r="Z11" s="1144" t="str">
        <f t="shared" ref="Z11:Z17" si="7">Q11</f>
        <v>用途</v>
      </c>
      <c r="AA11" s="1554">
        <f t="shared" si="3"/>
        <v>1</v>
      </c>
      <c r="AB11" s="1554">
        <f t="shared" si="4"/>
        <v>1</v>
      </c>
      <c r="AC11" s="1554">
        <f t="shared" si="5"/>
        <v>1</v>
      </c>
    </row>
    <row r="12" spans="1:29" s="1332" customFormat="1" ht="27">
      <c r="A12" s="2751"/>
      <c r="B12" s="2756" t="s">
        <v>2747</v>
      </c>
      <c r="C12" s="527"/>
      <c r="D12" s="254">
        <v>100</v>
      </c>
      <c r="E12" s="527"/>
      <c r="F12" s="254">
        <f>ROUND(100/'数据-取费表'!G16,0)</f>
        <v>104</v>
      </c>
      <c r="G12" s="527"/>
      <c r="H12" s="254">
        <f>ROUND(100/'数据-取费表'!G16,0)</f>
        <v>104</v>
      </c>
      <c r="I12" s="527"/>
      <c r="J12" s="254">
        <f>ROUND(100/'数据-取费表'!G16,0)</f>
        <v>104</v>
      </c>
      <c r="K12" s="530"/>
      <c r="L12" s="2120"/>
      <c r="M12" s="2160"/>
      <c r="N12" s="2160"/>
      <c r="O12" s="2121"/>
      <c r="P12" s="3526"/>
      <c r="Q12" s="1145" t="str">
        <f t="shared" si="6"/>
        <v>土地使用年限（年）</v>
      </c>
      <c r="R12" s="1551" t="s">
        <v>8</v>
      </c>
      <c r="S12" s="1552">
        <f t="shared" si="0"/>
        <v>104</v>
      </c>
      <c r="T12" s="1551" t="s">
        <v>8</v>
      </c>
      <c r="U12" s="1552">
        <f t="shared" si="1"/>
        <v>104</v>
      </c>
      <c r="V12" s="1551" t="s">
        <v>8</v>
      </c>
      <c r="W12" s="1552">
        <f t="shared" si="2"/>
        <v>104</v>
      </c>
      <c r="X12" s="1553"/>
      <c r="Y12" s="3480"/>
      <c r="Z12" s="1144" t="str">
        <f t="shared" si="7"/>
        <v>土地使用年限（年）</v>
      </c>
      <c r="AA12" s="1554">
        <f t="shared" si="3"/>
        <v>0.96153846153846156</v>
      </c>
      <c r="AB12" s="1554">
        <f t="shared" si="4"/>
        <v>0.96153846153846156</v>
      </c>
      <c r="AC12" s="1554">
        <f t="shared" si="5"/>
        <v>0.96153846153846156</v>
      </c>
    </row>
    <row r="13" spans="1:29" ht="15">
      <c r="A13" s="2752"/>
      <c r="B13" s="2756" t="s">
        <v>2748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526"/>
      <c r="Q13" s="1145" t="str">
        <f t="shared" si="6"/>
        <v>容积率</v>
      </c>
      <c r="R13" s="1551" t="s">
        <v>8</v>
      </c>
      <c r="S13" s="1552" t="e">
        <f t="shared" si="0"/>
        <v>#N/A</v>
      </c>
      <c r="T13" s="1551" t="s">
        <v>8</v>
      </c>
      <c r="U13" s="1552" t="e">
        <f t="shared" si="1"/>
        <v>#N/A</v>
      </c>
      <c r="V13" s="1551" t="s">
        <v>8</v>
      </c>
      <c r="W13" s="1552" t="e">
        <f t="shared" si="2"/>
        <v>#N/A</v>
      </c>
      <c r="X13" s="1553"/>
      <c r="Y13" s="3480"/>
      <c r="Z13" s="1144" t="str">
        <f t="shared" si="7"/>
        <v>容积率</v>
      </c>
      <c r="AA13" s="1554" t="e">
        <f t="shared" si="3"/>
        <v>#N/A</v>
      </c>
      <c r="AB13" s="1554" t="e">
        <f t="shared" si="4"/>
        <v>#N/A</v>
      </c>
      <c r="AC13" s="1554" t="e">
        <f t="shared" si="5"/>
        <v>#N/A</v>
      </c>
    </row>
    <row r="14" spans="1:29" s="1214" customFormat="1" ht="15">
      <c r="A14" s="2753"/>
      <c r="B14" s="2759">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526"/>
      <c r="Q14" s="1145">
        <f t="shared" si="6"/>
        <v>111</v>
      </c>
      <c r="R14" s="1551" t="s">
        <v>8</v>
      </c>
      <c r="S14" s="1552">
        <f t="shared" si="0"/>
        <v>100</v>
      </c>
      <c r="T14" s="1551" t="s">
        <v>8</v>
      </c>
      <c r="U14" s="1552">
        <f t="shared" si="1"/>
        <v>100</v>
      </c>
      <c r="V14" s="1551" t="s">
        <v>8</v>
      </c>
      <c r="W14" s="1552">
        <f t="shared" si="2"/>
        <v>100</v>
      </c>
      <c r="X14" s="1553"/>
      <c r="Y14" s="3480"/>
      <c r="Z14" s="1144">
        <f t="shared" si="7"/>
        <v>111</v>
      </c>
      <c r="AA14" s="1554">
        <f>D14/F14</f>
        <v>1</v>
      </c>
      <c r="AB14" s="1554">
        <f>D14/H14</f>
        <v>1</v>
      </c>
      <c r="AC14" s="1554">
        <f>D14/J14</f>
        <v>1</v>
      </c>
    </row>
    <row r="15" spans="1:29" ht="15">
      <c r="A15" s="2753"/>
      <c r="B15" s="2759">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526"/>
      <c r="Q15" s="1145">
        <f t="shared" si="6"/>
        <v>111</v>
      </c>
      <c r="R15" s="1551" t="s">
        <v>8</v>
      </c>
      <c r="S15" s="1552">
        <f t="shared" si="0"/>
        <v>100</v>
      </c>
      <c r="T15" s="1551" t="s">
        <v>8</v>
      </c>
      <c r="U15" s="1552">
        <f t="shared" si="1"/>
        <v>100</v>
      </c>
      <c r="V15" s="1551" t="s">
        <v>8</v>
      </c>
      <c r="W15" s="1552">
        <f t="shared" si="2"/>
        <v>100</v>
      </c>
      <c r="X15" s="1553"/>
      <c r="Y15" s="3480"/>
      <c r="Z15" s="1144">
        <f t="shared" si="7"/>
        <v>111</v>
      </c>
      <c r="AA15" s="1554">
        <f t="shared" si="3"/>
        <v>1</v>
      </c>
      <c r="AB15" s="1554">
        <f t="shared" si="4"/>
        <v>1</v>
      </c>
      <c r="AC15" s="1554">
        <f t="shared" si="5"/>
        <v>1</v>
      </c>
    </row>
    <row r="16" spans="1:29" ht="15.75" thickBot="1">
      <c r="A16" s="2754"/>
      <c r="B16" s="2760">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526"/>
      <c r="Q16" s="1145">
        <f t="shared" si="6"/>
        <v>111</v>
      </c>
      <c r="R16" s="1551" t="s">
        <v>8</v>
      </c>
      <c r="S16" s="1552">
        <f t="shared" si="0"/>
        <v>100</v>
      </c>
      <c r="T16" s="1551" t="s">
        <v>8</v>
      </c>
      <c r="U16" s="1552">
        <f t="shared" si="1"/>
        <v>100</v>
      </c>
      <c r="V16" s="1551" t="s">
        <v>8</v>
      </c>
      <c r="W16" s="1552">
        <f t="shared" si="2"/>
        <v>100</v>
      </c>
      <c r="X16" s="1553"/>
      <c r="Y16" s="3480"/>
      <c r="Z16" s="1144">
        <f t="shared" si="7"/>
        <v>111</v>
      </c>
      <c r="AA16" s="1554">
        <f t="shared" si="3"/>
        <v>1</v>
      </c>
      <c r="AB16" s="1554">
        <f t="shared" si="4"/>
        <v>1</v>
      </c>
      <c r="AC16" s="1554">
        <f t="shared" si="5"/>
        <v>1</v>
      </c>
    </row>
    <row r="17" spans="1:29" ht="57">
      <c r="A17" s="2746" t="s">
        <v>2744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528" t="s">
        <v>540</v>
      </c>
      <c r="Q17" s="1555" t="str">
        <f t="shared" si="6"/>
        <v>产业集聚程度</v>
      </c>
      <c r="R17" s="1556" t="s">
        <v>8</v>
      </c>
      <c r="S17" s="1557">
        <f t="shared" si="0"/>
        <v>100</v>
      </c>
      <c r="T17" s="1556" t="s">
        <v>8</v>
      </c>
      <c r="U17" s="1557">
        <f t="shared" si="1"/>
        <v>100</v>
      </c>
      <c r="V17" s="1556" t="s">
        <v>8</v>
      </c>
      <c r="W17" s="1557">
        <f t="shared" si="2"/>
        <v>100</v>
      </c>
      <c r="X17" s="1550"/>
      <c r="Y17" s="3528"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529"/>
      <c r="Q18" s="1555"/>
      <c r="R18" s="1556"/>
      <c r="S18" s="1557"/>
      <c r="T18" s="1556"/>
      <c r="U18" s="1557"/>
      <c r="V18" s="1556"/>
      <c r="W18" s="1557"/>
      <c r="X18" s="1550"/>
      <c r="Y18" s="3529"/>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529"/>
      <c r="Q19" s="1555" t="str">
        <f>B19</f>
        <v>交通便捷度</v>
      </c>
      <c r="R19" s="1556" t="s">
        <v>8</v>
      </c>
      <c r="S19" s="1557">
        <f>F19</f>
        <v>100</v>
      </c>
      <c r="T19" s="1556" t="s">
        <v>8</v>
      </c>
      <c r="U19" s="1557">
        <f>H19</f>
        <v>100</v>
      </c>
      <c r="V19" s="1556" t="s">
        <v>8</v>
      </c>
      <c r="W19" s="1557">
        <f>J19</f>
        <v>100</v>
      </c>
      <c r="X19" s="1550"/>
      <c r="Y19" s="3529"/>
      <c r="Z19" s="1558" t="str">
        <f>Q19</f>
        <v>交通便捷度</v>
      </c>
      <c r="AA19" s="1559">
        <f t="shared" si="3"/>
        <v>1</v>
      </c>
      <c r="AB19" s="1559">
        <f t="shared" si="4"/>
        <v>1</v>
      </c>
      <c r="AC19" s="1559">
        <f t="shared" si="5"/>
        <v>1</v>
      </c>
    </row>
    <row r="20" spans="1:29" ht="15">
      <c r="A20" s="531"/>
      <c r="B20" s="921"/>
      <c r="C20" s="575"/>
      <c r="D20" s="554"/>
      <c r="E20" s="555"/>
      <c r="F20" s="554"/>
      <c r="G20" s="555"/>
      <c r="H20" s="554"/>
      <c r="I20" s="557"/>
      <c r="J20" s="554"/>
      <c r="K20" s="530"/>
      <c r="L20" s="2124"/>
      <c r="M20" s="2116"/>
      <c r="N20" s="2116"/>
      <c r="O20" s="2123"/>
      <c r="P20" s="3529"/>
      <c r="Q20" s="1555"/>
      <c r="R20" s="1556"/>
      <c r="S20" s="1557"/>
      <c r="T20" s="1556"/>
      <c r="U20" s="1557"/>
      <c r="V20" s="1556"/>
      <c r="W20" s="1557"/>
      <c r="X20" s="1550"/>
      <c r="Y20" s="3529"/>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529"/>
      <c r="Q21" s="1555" t="str">
        <f t="shared" ref="Q21:Q35" si="8">B21</f>
        <v>区域土地利用方向</v>
      </c>
      <c r="R21" s="1556" t="s">
        <v>8</v>
      </c>
      <c r="S21" s="1557">
        <f>F21</f>
        <v>100</v>
      </c>
      <c r="T21" s="1556" t="s">
        <v>8</v>
      </c>
      <c r="U21" s="1557">
        <f>H21</f>
        <v>100</v>
      </c>
      <c r="V21" s="1556" t="s">
        <v>8</v>
      </c>
      <c r="W21" s="1557">
        <f>J21</f>
        <v>100</v>
      </c>
      <c r="X21" s="1550"/>
      <c r="Y21" s="3529"/>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529"/>
      <c r="Q22" s="1555"/>
      <c r="R22" s="1556"/>
      <c r="S22" s="1557"/>
      <c r="T22" s="1556"/>
      <c r="U22" s="1557"/>
      <c r="V22" s="1556"/>
      <c r="W22" s="1557"/>
      <c r="X22" s="1550"/>
      <c r="Y22" s="3529"/>
      <c r="Z22" s="1558"/>
      <c r="AA22" s="1559"/>
      <c r="AB22" s="1559"/>
      <c r="AC22" s="1559"/>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529"/>
      <c r="Q23" s="1555" t="str">
        <f t="shared" si="8"/>
        <v>环境状况</v>
      </c>
      <c r="R23" s="1556" t="s">
        <v>8</v>
      </c>
      <c r="S23" s="1557">
        <f>F23</f>
        <v>100</v>
      </c>
      <c r="T23" s="1556" t="s">
        <v>8</v>
      </c>
      <c r="U23" s="1557">
        <f>H23</f>
        <v>100</v>
      </c>
      <c r="V23" s="1556" t="s">
        <v>8</v>
      </c>
      <c r="W23" s="1557">
        <f>J23</f>
        <v>100</v>
      </c>
      <c r="X23" s="1550"/>
      <c r="Y23" s="3529"/>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529"/>
      <c r="Q24" s="1555"/>
      <c r="R24" s="1556"/>
      <c r="S24" s="1557"/>
      <c r="T24" s="1556"/>
      <c r="U24" s="1557"/>
      <c r="V24" s="1556"/>
      <c r="W24" s="1557"/>
      <c r="X24" s="1550"/>
      <c r="Y24" s="3529"/>
      <c r="Z24" s="1558"/>
      <c r="AA24" s="1559">
        <v>1</v>
      </c>
      <c r="AB24" s="1559">
        <v>1</v>
      </c>
      <c r="AC24" s="1559">
        <v>1</v>
      </c>
    </row>
    <row r="25" spans="1:29" s="1214" customFormat="1" ht="42.75">
      <c r="A25" s="576"/>
      <c r="B25" s="2554" t="s">
        <v>2539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529"/>
      <c r="Q25" s="1145" t="str">
        <f t="shared" si="8"/>
        <v>公共配套设施</v>
      </c>
      <c r="R25" s="1551" t="s">
        <v>8</v>
      </c>
      <c r="S25" s="1552">
        <f>F25</f>
        <v>100</v>
      </c>
      <c r="T25" s="1551" t="s">
        <v>8</v>
      </c>
      <c r="U25" s="1552">
        <f>H25</f>
        <v>100</v>
      </c>
      <c r="V25" s="1551" t="s">
        <v>8</v>
      </c>
      <c r="W25" s="1552">
        <f>J25</f>
        <v>100</v>
      </c>
      <c r="X25" s="1553"/>
      <c r="Y25" s="3529"/>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529"/>
      <c r="Q26" s="1145"/>
      <c r="R26" s="1551"/>
      <c r="S26" s="1552"/>
      <c r="T26" s="1551"/>
      <c r="U26" s="1552"/>
      <c r="V26" s="1551"/>
      <c r="W26" s="1552"/>
      <c r="X26" s="1553"/>
      <c r="Y26" s="3529"/>
      <c r="Z26" s="1144"/>
      <c r="AA26" s="1554">
        <v>1</v>
      </c>
      <c r="AB26" s="1554">
        <v>1</v>
      </c>
      <c r="AC26" s="1554">
        <v>1</v>
      </c>
    </row>
    <row r="27" spans="1:29" s="1214" customFormat="1" ht="28.5">
      <c r="A27" s="576"/>
      <c r="B27" s="2554" t="s">
        <v>2540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529"/>
      <c r="Q27" s="2539" t="str">
        <f t="shared" ref="Q27" si="9">B27</f>
        <v>基础设施水平</v>
      </c>
      <c r="R27" s="1551" t="s">
        <v>8</v>
      </c>
      <c r="S27" s="1552">
        <f>F27</f>
        <v>100</v>
      </c>
      <c r="T27" s="1551" t="s">
        <v>8</v>
      </c>
      <c r="U27" s="1552">
        <f>H27</f>
        <v>100</v>
      </c>
      <c r="V27" s="1551" t="s">
        <v>8</v>
      </c>
      <c r="W27" s="1552">
        <f>J27</f>
        <v>100</v>
      </c>
      <c r="X27" s="1553"/>
      <c r="Y27" s="3529"/>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529"/>
      <c r="Q28" s="2539"/>
      <c r="R28" s="1551"/>
      <c r="S28" s="1552"/>
      <c r="T28" s="1551"/>
      <c r="U28" s="1552"/>
      <c r="V28" s="1551"/>
      <c r="W28" s="1552"/>
      <c r="X28" s="1553"/>
      <c r="Y28" s="3529"/>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52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29"/>
      <c r="Z29" s="1558" t="str">
        <f t="shared" ref="Z29:Z42" si="13">Q29</f>
        <v>临街状况</v>
      </c>
      <c r="AA29" s="1559">
        <f t="shared" si="3"/>
        <v>1</v>
      </c>
      <c r="AB29" s="1559">
        <f t="shared" si="4"/>
        <v>1</v>
      </c>
      <c r="AC29" s="1559">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529"/>
      <c r="Q30" s="1555" t="str">
        <f t="shared" si="8"/>
        <v>毗邻道路的类型与等级</v>
      </c>
      <c r="R30" s="1556" t="s">
        <v>8</v>
      </c>
      <c r="S30" s="1557">
        <f t="shared" si="10"/>
        <v>100</v>
      </c>
      <c r="T30" s="1556" t="s">
        <v>8</v>
      </c>
      <c r="U30" s="1557">
        <f t="shared" si="11"/>
        <v>100</v>
      </c>
      <c r="V30" s="1556" t="s">
        <v>8</v>
      </c>
      <c r="W30" s="1557">
        <f t="shared" si="12"/>
        <v>100</v>
      </c>
      <c r="X30" s="1550"/>
      <c r="Y30" s="3529"/>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529"/>
      <c r="Q31" s="1555"/>
      <c r="R31" s="1556"/>
      <c r="S31" s="1557"/>
      <c r="T31" s="1556"/>
      <c r="U31" s="1557"/>
      <c r="V31" s="1556"/>
      <c r="W31" s="1557"/>
      <c r="X31" s="1550"/>
      <c r="Y31" s="3529"/>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529"/>
      <c r="Q32" s="1555" t="str">
        <f t="shared" si="8"/>
        <v>土地级别</v>
      </c>
      <c r="R32" s="1556" t="s">
        <v>8</v>
      </c>
      <c r="S32" s="1557">
        <f t="shared" si="10"/>
        <v>100</v>
      </c>
      <c r="T32" s="1556" t="s">
        <v>8</v>
      </c>
      <c r="U32" s="1557">
        <f t="shared" si="11"/>
        <v>100</v>
      </c>
      <c r="V32" s="1556" t="s">
        <v>8</v>
      </c>
      <c r="W32" s="1557">
        <f t="shared" si="12"/>
        <v>100</v>
      </c>
      <c r="X32" s="1550"/>
      <c r="Y32" s="3529"/>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529"/>
      <c r="Q33" s="1555">
        <f t="shared" si="8"/>
        <v>111</v>
      </c>
      <c r="R33" s="1556" t="s">
        <v>8</v>
      </c>
      <c r="S33" s="1557">
        <f t="shared" si="10"/>
        <v>100</v>
      </c>
      <c r="T33" s="1556" t="s">
        <v>8</v>
      </c>
      <c r="U33" s="1557">
        <f t="shared" si="11"/>
        <v>100</v>
      </c>
      <c r="V33" s="1556" t="s">
        <v>8</v>
      </c>
      <c r="W33" s="1557">
        <f t="shared" si="12"/>
        <v>100</v>
      </c>
      <c r="X33" s="1550"/>
      <c r="Y33" s="3529"/>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530" t="s">
        <v>550</v>
      </c>
      <c r="Q34" s="1555">
        <f t="shared" si="8"/>
        <v>111</v>
      </c>
      <c r="R34" s="1556" t="s">
        <v>8</v>
      </c>
      <c r="S34" s="1557">
        <f t="shared" si="10"/>
        <v>100</v>
      </c>
      <c r="T34" s="1556" t="s">
        <v>8</v>
      </c>
      <c r="U34" s="1557">
        <f t="shared" si="11"/>
        <v>100</v>
      </c>
      <c r="V34" s="1556" t="s">
        <v>8</v>
      </c>
      <c r="W34" s="1557">
        <f t="shared" si="12"/>
        <v>100</v>
      </c>
      <c r="X34" s="1550"/>
      <c r="Y34" s="3531" t="s">
        <v>550</v>
      </c>
      <c r="Z34" s="1558">
        <f t="shared" si="13"/>
        <v>111</v>
      </c>
      <c r="AA34" s="1559">
        <f t="shared" si="3"/>
        <v>1</v>
      </c>
      <c r="AB34" s="1559">
        <f t="shared" si="4"/>
        <v>1</v>
      </c>
      <c r="AC34" s="1559">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531"/>
      <c r="Q35" s="1555">
        <f t="shared" si="8"/>
        <v>111</v>
      </c>
      <c r="R35" s="1560" t="s">
        <v>8</v>
      </c>
      <c r="S35" s="1561">
        <f t="shared" si="10"/>
        <v>100</v>
      </c>
      <c r="T35" s="1560" t="s">
        <v>8</v>
      </c>
      <c r="U35" s="1561">
        <f t="shared" si="11"/>
        <v>100</v>
      </c>
      <c r="V35" s="1560" t="s">
        <v>8</v>
      </c>
      <c r="W35" s="1561">
        <f t="shared" si="12"/>
        <v>100</v>
      </c>
      <c r="X35" s="1562"/>
      <c r="Y35" s="3531"/>
      <c r="Z35" s="1563">
        <f t="shared" si="13"/>
        <v>111</v>
      </c>
      <c r="AA35" s="1559">
        <f t="shared" si="3"/>
        <v>1</v>
      </c>
      <c r="AB35" s="1559">
        <f t="shared" si="4"/>
        <v>1</v>
      </c>
      <c r="AC35" s="1559">
        <f t="shared" si="5"/>
        <v>1</v>
      </c>
    </row>
    <row r="36" spans="1:29" ht="15">
      <c r="A36" s="2743" t="s">
        <v>2745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531"/>
      <c r="Q36" s="1555" t="str">
        <f>B36</f>
        <v>宗地面积</v>
      </c>
      <c r="R36" s="1556" t="s">
        <v>8</v>
      </c>
      <c r="S36" s="1557" t="e">
        <f t="shared" si="10"/>
        <v>#N/A</v>
      </c>
      <c r="T36" s="1556" t="s">
        <v>8</v>
      </c>
      <c r="U36" s="1557" t="e">
        <f t="shared" si="11"/>
        <v>#N/A</v>
      </c>
      <c r="V36" s="1556" t="s">
        <v>8</v>
      </c>
      <c r="W36" s="1557" t="e">
        <f t="shared" si="12"/>
        <v>#N/A</v>
      </c>
      <c r="X36" s="1550"/>
      <c r="Y36" s="3531"/>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531"/>
      <c r="Q37" s="1555" t="str">
        <f t="shared" ref="Q37:Q42" si="14">B37</f>
        <v>宗地形状</v>
      </c>
      <c r="R37" s="1556" t="s">
        <v>8</v>
      </c>
      <c r="S37" s="1557">
        <f t="shared" si="10"/>
        <v>100</v>
      </c>
      <c r="T37" s="1556" t="s">
        <v>8</v>
      </c>
      <c r="U37" s="1557">
        <f t="shared" si="11"/>
        <v>100</v>
      </c>
      <c r="V37" s="1556" t="s">
        <v>8</v>
      </c>
      <c r="W37" s="1557">
        <f t="shared" si="12"/>
        <v>100</v>
      </c>
      <c r="X37" s="1550"/>
      <c r="Y37" s="3531"/>
      <c r="Z37" s="1558" t="str">
        <f t="shared" si="13"/>
        <v>宗地形状</v>
      </c>
      <c r="AA37" s="1559">
        <f t="shared" si="3"/>
        <v>1</v>
      </c>
      <c r="AB37" s="1559">
        <f t="shared" si="4"/>
        <v>1</v>
      </c>
      <c r="AC37" s="1559">
        <f t="shared" si="5"/>
        <v>1</v>
      </c>
    </row>
    <row r="38" spans="1:29" s="1214" customFormat="1" ht="15">
      <c r="A38" s="599"/>
      <c r="B38" s="1877" t="s">
        <v>2415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531"/>
      <c r="Q38" s="1555" t="str">
        <f t="shared" si="14"/>
        <v>宗地开发程度</v>
      </c>
      <c r="R38" s="1551" t="s">
        <v>8</v>
      </c>
      <c r="S38" s="1552">
        <f t="shared" si="10"/>
        <v>100</v>
      </c>
      <c r="T38" s="1551" t="s">
        <v>8</v>
      </c>
      <c r="U38" s="1552">
        <f t="shared" si="11"/>
        <v>100</v>
      </c>
      <c r="V38" s="1551" t="s">
        <v>8</v>
      </c>
      <c r="W38" s="1552">
        <f t="shared" si="12"/>
        <v>100</v>
      </c>
      <c r="X38" s="1553"/>
      <c r="Y38" s="3531"/>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31" t="s">
        <v>601</v>
      </c>
      <c r="Q39" s="1555" t="str">
        <f t="shared" si="14"/>
        <v>工程地质条件</v>
      </c>
      <c r="R39" s="1556" t="s">
        <v>8</v>
      </c>
      <c r="S39" s="1557">
        <f t="shared" si="10"/>
        <v>100</v>
      </c>
      <c r="T39" s="1556" t="s">
        <v>8</v>
      </c>
      <c r="U39" s="1557">
        <f t="shared" si="11"/>
        <v>100</v>
      </c>
      <c r="V39" s="1556" t="s">
        <v>8</v>
      </c>
      <c r="W39" s="1557">
        <f t="shared" si="12"/>
        <v>100</v>
      </c>
      <c r="X39" s="1550"/>
      <c r="Y39" s="3531"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531"/>
      <c r="Q40" s="1555">
        <f t="shared" si="14"/>
        <v>111</v>
      </c>
      <c r="R40" s="1556" t="s">
        <v>8</v>
      </c>
      <c r="S40" s="1557">
        <f t="shared" si="10"/>
        <v>100</v>
      </c>
      <c r="T40" s="1556" t="s">
        <v>8</v>
      </c>
      <c r="U40" s="1557">
        <f t="shared" si="11"/>
        <v>100</v>
      </c>
      <c r="V40" s="1556" t="s">
        <v>8</v>
      </c>
      <c r="W40" s="1557">
        <f t="shared" si="12"/>
        <v>100</v>
      </c>
      <c r="X40" s="1550"/>
      <c r="Y40" s="3531"/>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531"/>
      <c r="Q41" s="1555">
        <f t="shared" si="14"/>
        <v>111</v>
      </c>
      <c r="R41" s="1556" t="s">
        <v>8</v>
      </c>
      <c r="S41" s="1557">
        <f t="shared" si="10"/>
        <v>100</v>
      </c>
      <c r="T41" s="1556" t="s">
        <v>8</v>
      </c>
      <c r="U41" s="1557">
        <f t="shared" si="11"/>
        <v>100</v>
      </c>
      <c r="V41" s="1556" t="s">
        <v>8</v>
      </c>
      <c r="W41" s="1557">
        <f t="shared" si="12"/>
        <v>100</v>
      </c>
      <c r="X41" s="1550"/>
      <c r="Y41" s="3531"/>
      <c r="Z41" s="1558">
        <f t="shared" si="13"/>
        <v>111</v>
      </c>
      <c r="AA41" s="1559">
        <f t="shared" si="3"/>
        <v>1</v>
      </c>
      <c r="AB41" s="1559">
        <f t="shared" si="4"/>
        <v>1</v>
      </c>
      <c r="AC41" s="1559">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531"/>
      <c r="Q42" s="1555">
        <f t="shared" si="14"/>
        <v>111</v>
      </c>
      <c r="R42" s="1560" t="s">
        <v>8</v>
      </c>
      <c r="S42" s="1561">
        <f t="shared" si="10"/>
        <v>100</v>
      </c>
      <c r="T42" s="1560" t="s">
        <v>8</v>
      </c>
      <c r="U42" s="1561">
        <f t="shared" si="11"/>
        <v>100</v>
      </c>
      <c r="V42" s="1560" t="s">
        <v>8</v>
      </c>
      <c r="W42" s="1561">
        <f t="shared" si="12"/>
        <v>100</v>
      </c>
      <c r="X42" s="1562"/>
      <c r="Y42" s="3531"/>
      <c r="Z42" s="1563">
        <f t="shared" si="13"/>
        <v>111</v>
      </c>
      <c r="AA42" s="1559">
        <f t="shared" si="3"/>
        <v>1</v>
      </c>
      <c r="AB42" s="1559">
        <f t="shared" si="4"/>
        <v>1</v>
      </c>
      <c r="AC42" s="1559">
        <f t="shared" si="5"/>
        <v>1</v>
      </c>
    </row>
    <row r="43" spans="1:29" ht="15">
      <c r="A43" s="606" t="s">
        <v>556</v>
      </c>
      <c r="B43" s="607" t="s">
        <v>2924</v>
      </c>
      <c r="C43" s="608" t="s">
        <v>1</v>
      </c>
      <c r="D43" s="609"/>
      <c r="E43" s="610"/>
      <c r="F43" s="611"/>
      <c r="G43" s="612"/>
      <c r="H43" s="613"/>
      <c r="I43" s="610"/>
      <c r="J43" s="613"/>
      <c r="K43" s="1334"/>
      <c r="L43" s="2126"/>
      <c r="M43" s="2116"/>
      <c r="N43" s="2116"/>
      <c r="O43" s="2127"/>
      <c r="P43" s="3526" t="str">
        <f>A43</f>
        <v>成交单价</v>
      </c>
      <c r="Q43" s="3526"/>
      <c r="R43" s="3540">
        <f>E43</f>
        <v>0</v>
      </c>
      <c r="S43" s="3540"/>
      <c r="T43" s="3540">
        <f>G43</f>
        <v>0</v>
      </c>
      <c r="U43" s="3540"/>
      <c r="V43" s="3540">
        <f>I43</f>
        <v>0</v>
      </c>
      <c r="W43" s="3540"/>
      <c r="X43" s="1542"/>
      <c r="Y43" s="1564"/>
      <c r="Z43" s="1542"/>
      <c r="AA43" s="1542"/>
      <c r="AB43" s="1542"/>
      <c r="AC43" s="1542"/>
    </row>
    <row r="44" spans="1:29" ht="15.75" thickBot="1">
      <c r="A44" s="614" t="s">
        <v>2683</v>
      </c>
      <c r="B44" s="615"/>
      <c r="C44" s="616" t="e">
        <f>R45</f>
        <v>#DIV/0!</v>
      </c>
      <c r="D44" s="617"/>
      <c r="E44" s="616" t="e">
        <f>R44</f>
        <v>#DIV/0!</v>
      </c>
      <c r="F44" s="618"/>
      <c r="G44" s="619" t="e">
        <f>T44</f>
        <v>#DIV/0!</v>
      </c>
      <c r="H44" s="617"/>
      <c r="I44" s="616" t="e">
        <f>V44</f>
        <v>#DIV/0!</v>
      </c>
      <c r="J44" s="617"/>
      <c r="K44" s="1335"/>
      <c r="L44" s="2126"/>
      <c r="M44" s="2116"/>
      <c r="N44" s="2116"/>
      <c r="O44" s="2127"/>
      <c r="P44" s="3526" t="str">
        <f>A44</f>
        <v>比较价格（元/平方米）</v>
      </c>
      <c r="Q44" s="3526"/>
      <c r="R44" s="3550" t="e">
        <f>ROUND(PRODUCT(R43,AA9:AA42),0)</f>
        <v>#DIV/0!</v>
      </c>
      <c r="S44" s="3550"/>
      <c r="T44" s="3550" t="e">
        <f>ROUND(PRODUCT(T43,AB9:AB42),0)</f>
        <v>#DIV/0!</v>
      </c>
      <c r="U44" s="3550"/>
      <c r="V44" s="3550" t="e">
        <f>ROUND(PRODUCT(V43,AC9:AC42),0)</f>
        <v>#DIV/0!</v>
      </c>
      <c r="W44" s="3550"/>
      <c r="X44" s="1542"/>
      <c r="Y44" s="1542"/>
      <c r="Z44" s="1542"/>
      <c r="AA44" s="1542"/>
      <c r="AB44" s="1542"/>
      <c r="AC44" s="1542"/>
    </row>
    <row r="45" spans="1:29" ht="15.75" thickBot="1">
      <c r="A45" s="620" t="s">
        <v>2925</v>
      </c>
      <c r="B45" s="621"/>
      <c r="C45" s="622" t="e">
        <f>R45</f>
        <v>#DIV/0!</v>
      </c>
      <c r="D45" s="622"/>
      <c r="E45" s="622"/>
      <c r="F45" s="622"/>
      <c r="G45" s="622"/>
      <c r="H45" s="622"/>
      <c r="I45" s="622"/>
      <c r="J45" s="622"/>
      <c r="K45" s="1336"/>
      <c r="L45" s="2126"/>
      <c r="M45" s="2116"/>
      <c r="N45" s="2116"/>
      <c r="O45" s="2127"/>
      <c r="P45" s="3547" t="str">
        <f>A45</f>
        <v>估价对象XX用房的比较价格（楼面单价，元/平方米）</v>
      </c>
      <c r="Q45" s="3548"/>
      <c r="R45" s="3549" t="e">
        <f>ROUND(AVERAGE(R44:V44),0)</f>
        <v>#DIV/0!</v>
      </c>
      <c r="S45" s="3549"/>
      <c r="T45" s="3549"/>
      <c r="U45" s="3549"/>
      <c r="V45" s="3549"/>
      <c r="W45" s="354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1718</v>
      </c>
      <c r="D52" s="2209" t="s">
        <v>2284</v>
      </c>
      <c r="E52" s="630" t="s">
        <v>562</v>
      </c>
      <c r="F52" s="1933" t="s">
        <v>563</v>
      </c>
      <c r="G52" s="3551" t="s">
        <v>2275</v>
      </c>
      <c r="H52" s="3552"/>
      <c r="I52" s="1934" t="s">
        <v>1937</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324382.25</v>
      </c>
      <c r="F53" s="1932" t="e">
        <f t="shared" ref="F53:F62" si="15">ROUND(B53*E53/10000,0)</f>
        <v>#DIV/0!</v>
      </c>
      <c r="G53" s="3553"/>
      <c r="H53" s="3554"/>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v>
      </c>
      <c r="D54" s="2211">
        <v>0.25</v>
      </c>
      <c r="E54" s="638"/>
      <c r="F54" s="1932" t="e">
        <f t="shared" si="15"/>
        <v>#DIV/0!</v>
      </c>
      <c r="G54" s="3555" t="s">
        <v>2276</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v>
      </c>
      <c r="D55" s="2211">
        <v>0.25</v>
      </c>
      <c r="E55" s="638"/>
      <c r="F55" s="1932" t="e">
        <f t="shared" si="15"/>
        <v>#DIV/0!</v>
      </c>
      <c r="G55" s="3555"/>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v>
      </c>
      <c r="D56" s="2211">
        <v>0.25</v>
      </c>
      <c r="E56" s="638"/>
      <c r="F56" s="1932" t="e">
        <f t="shared" si="15"/>
        <v>#DIV/0!</v>
      </c>
      <c r="G56" s="3555"/>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v>
      </c>
      <c r="D57" s="2211">
        <v>0.25</v>
      </c>
      <c r="E57" s="638"/>
      <c r="F57" s="1932" t="e">
        <f t="shared" si="15"/>
        <v>#DIV/0!</v>
      </c>
      <c r="G57" s="3555"/>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2319</v>
      </c>
      <c r="B58" s="637" t="e">
        <f t="shared" si="17"/>
        <v>#DIV/0!</v>
      </c>
      <c r="C58" s="377">
        <f t="shared" si="16"/>
        <v>0</v>
      </c>
      <c r="D58" s="2211">
        <v>0.25</v>
      </c>
      <c r="E58" s="640">
        <f>'数据-汇总表'!E11</f>
        <v>0</v>
      </c>
      <c r="F58" s="1932" t="e">
        <f t="shared" si="15"/>
        <v>#DIV/0!</v>
      </c>
      <c r="G58" s="1938" t="s">
        <v>2277</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v>
      </c>
      <c r="D59" s="2211">
        <v>0.25</v>
      </c>
      <c r="E59" s="640">
        <f>'数据-汇总表'!E12</f>
        <v>0</v>
      </c>
      <c r="F59" s="1932" t="e">
        <f t="shared" si="15"/>
        <v>#DIV/0!</v>
      </c>
      <c r="G59" s="1928" t="s">
        <v>1674</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v>
      </c>
      <c r="D60" s="2211">
        <v>0.25</v>
      </c>
      <c r="E60" s="640">
        <f>'数据-汇总表'!E13</f>
        <v>109970</v>
      </c>
      <c r="F60" s="1932" t="e">
        <f t="shared" si="15"/>
        <v>#DIV/0!</v>
      </c>
      <c r="G60" s="1928" t="s">
        <v>920</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v>
      </c>
      <c r="D61" s="2211">
        <v>0.25</v>
      </c>
      <c r="E61" s="640">
        <f>'数据-汇总表'!E14</f>
        <v>0</v>
      </c>
      <c r="F61" s="1932" t="e">
        <f t="shared" si="15"/>
        <v>#DIV/0!</v>
      </c>
      <c r="G61" s="1938" t="s">
        <v>2276</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v>
      </c>
      <c r="D62" s="2211">
        <v>0.25</v>
      </c>
      <c r="E62" s="640">
        <f>'数据-汇总表'!E15</f>
        <v>0</v>
      </c>
      <c r="F62" s="1932" t="e">
        <f t="shared" si="15"/>
        <v>#DIV/0!</v>
      </c>
      <c r="G62" s="1939" t="s">
        <v>2277</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2285</v>
      </c>
      <c r="E63" s="642">
        <f>IF(B43="楼面地价",SUM(E53:E62),'数据-汇总表'!D3)</f>
        <v>177193.01</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636" t="str">
        <f>YEAR(C9)&amp;"-"&amp;MONTH(C9)&amp;"-1"</f>
        <v>2020-8-1</v>
      </c>
      <c r="D65" s="2635">
        <f>EDATE(C65,-3)</f>
        <v>43952</v>
      </c>
      <c r="E65" s="2635">
        <f t="shared" ref="E65:N65" si="18">EDATE(D65,-3)</f>
        <v>43862</v>
      </c>
      <c r="F65" s="2635">
        <f t="shared" si="18"/>
        <v>43770</v>
      </c>
      <c r="G65" s="2635">
        <f t="shared" si="18"/>
        <v>43678</v>
      </c>
      <c r="H65" s="2635">
        <f t="shared" si="18"/>
        <v>43586</v>
      </c>
      <c r="I65" s="2635">
        <f t="shared" si="18"/>
        <v>43497</v>
      </c>
      <c r="J65" s="2635">
        <f t="shared" si="18"/>
        <v>43405</v>
      </c>
      <c r="K65" s="2635">
        <f t="shared" si="18"/>
        <v>43313</v>
      </c>
      <c r="L65" s="2635">
        <f t="shared" si="18"/>
        <v>43221</v>
      </c>
      <c r="M65" s="2635">
        <f t="shared" si="18"/>
        <v>43132</v>
      </c>
      <c r="N65" s="2635">
        <f t="shared" si="18"/>
        <v>43040</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2524</v>
      </c>
      <c r="B67" s="645"/>
      <c r="C67" s="2632" t="str">
        <f>YEAR(C65)&amp;"-"&amp;ROUNDUP(MONTH(C65)/3,0)</f>
        <v>2020-3</v>
      </c>
      <c r="D67" s="2637" t="str">
        <f t="shared" ref="D67:N67" si="19">YEAR(D65)&amp;"-"&amp;ROUNDUP(MONTH(D65)/3,0)</f>
        <v>2020-2</v>
      </c>
      <c r="E67" s="2637" t="str">
        <f t="shared" si="19"/>
        <v>2020-1</v>
      </c>
      <c r="F67" s="2637" t="str">
        <f t="shared" si="19"/>
        <v>2019-4</v>
      </c>
      <c r="G67" s="2637" t="str">
        <f t="shared" si="19"/>
        <v>2019-3</v>
      </c>
      <c r="H67" s="2637" t="str">
        <f t="shared" si="19"/>
        <v>2019-2</v>
      </c>
      <c r="I67" s="2637" t="str">
        <f t="shared" si="19"/>
        <v>2019-1</v>
      </c>
      <c r="J67" s="2637" t="str">
        <f t="shared" si="19"/>
        <v>2018-4</v>
      </c>
      <c r="K67" s="2637" t="str">
        <f t="shared" si="19"/>
        <v>2018-3</v>
      </c>
      <c r="L67" s="2637" t="str">
        <f t="shared" si="19"/>
        <v>2018-2</v>
      </c>
      <c r="M67" s="2637" t="str">
        <f t="shared" si="19"/>
        <v>2018-1</v>
      </c>
      <c r="N67" s="2637" t="str">
        <f t="shared" si="19"/>
        <v>2017-4</v>
      </c>
      <c r="O67" s="2141"/>
      <c r="P67" s="2142"/>
      <c r="Q67" s="2143"/>
      <c r="R67" s="2143"/>
      <c r="S67" s="2143"/>
      <c r="T67" s="2143"/>
      <c r="U67" s="2143"/>
      <c r="V67" s="2143"/>
      <c r="W67" s="2143"/>
      <c r="X67" s="2143"/>
      <c r="Y67" s="2143"/>
      <c r="Z67" s="2143"/>
      <c r="AA67" s="2143"/>
      <c r="AB67" s="2143"/>
      <c r="AC67" s="2143"/>
    </row>
    <row r="68" spans="1:29" s="1214" customFormat="1" ht="27.75" customHeight="1">
      <c r="A68" s="2634" t="s">
        <v>2639</v>
      </c>
      <c r="B68" s="478" t="str">
        <f>"北京市平均增长率"&amp;TEXT(基准地价!P24,"0.00%")</f>
        <v>北京市平均增长率1.27%</v>
      </c>
      <c r="C68" s="893">
        <v>100</v>
      </c>
      <c r="D68" s="729"/>
      <c r="E68" s="729"/>
      <c r="F68" s="729"/>
      <c r="G68" s="729"/>
      <c r="H68" s="729"/>
      <c r="I68" s="729"/>
      <c r="J68" s="729"/>
      <c r="K68" s="729"/>
      <c r="L68" s="729"/>
      <c r="M68" s="2630"/>
      <c r="N68" s="2631"/>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628"/>
      <c r="D69" s="2629"/>
      <c r="E69" s="2629"/>
      <c r="F69" s="2629"/>
      <c r="G69" s="2629"/>
      <c r="H69" s="2629"/>
      <c r="I69" s="2629"/>
      <c r="J69" s="2629"/>
      <c r="K69" s="2629"/>
      <c r="L69" s="2629"/>
      <c r="M69" s="2629"/>
      <c r="N69" s="2629"/>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2539</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2541</v>
      </c>
      <c r="C95" s="2559" t="s">
        <v>2542</v>
      </c>
      <c r="D95" s="2559" t="s">
        <v>2543</v>
      </c>
      <c r="E95" s="2559" t="s">
        <v>2544</v>
      </c>
      <c r="F95" s="2559" t="s">
        <v>2545</v>
      </c>
      <c r="G95" s="2559" t="s">
        <v>2546</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2918" t="str">
        <f t="shared" si="25"/>
        <v>(含)-</v>
      </c>
      <c r="L109" s="2919" t="str">
        <f t="shared" si="25"/>
        <v>(含)-</v>
      </c>
      <c r="M109" s="292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2416</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1688</v>
      </c>
      <c r="B1" s="1393"/>
      <c r="C1" s="1399" t="s">
        <v>2417</v>
      </c>
      <c r="D1" s="1505">
        <f>SUM(D29:D30,D33:D39)</f>
        <v>0</v>
      </c>
      <c r="E1" s="1399" t="s">
        <v>2418</v>
      </c>
      <c r="F1" s="2413"/>
      <c r="G1" s="1394"/>
      <c r="H1" s="1394"/>
      <c r="I1" s="1394"/>
      <c r="J1" s="1394"/>
      <c r="K1" s="1394"/>
      <c r="L1" s="1864" t="s">
        <v>2230</v>
      </c>
      <c r="M1" s="1865">
        <f>SUMPRODUCT((区片价!B5:B9=I2)*(区片价!C3:F3=E2)*(区片价!C5:F9))</f>
        <v>0</v>
      </c>
      <c r="N1" s="1866">
        <f>SUMPRODUCT((因素修正幅度!B5:B9=I2)*(因素修正幅度!C3:F3=E2)*(因素修正幅度!C5:F9))</f>
        <v>0</v>
      </c>
      <c r="O1" s="1394"/>
      <c r="P1" s="1394"/>
      <c r="Q1" s="2171"/>
      <c r="R1" s="2772" t="s">
        <v>2752</v>
      </c>
      <c r="S1" s="2772" t="s">
        <v>2753</v>
      </c>
      <c r="T1" s="2772" t="s">
        <v>2774</v>
      </c>
      <c r="U1" s="2772" t="s">
        <v>2775</v>
      </c>
      <c r="V1" s="2772" t="s">
        <v>2776</v>
      </c>
      <c r="W1" s="2171"/>
      <c r="X1" s="2171"/>
      <c r="Y1" s="2171"/>
      <c r="Z1" s="2171"/>
      <c r="AA1" s="2171"/>
      <c r="AB1" s="2171"/>
      <c r="AC1" s="2172"/>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2231</v>
      </c>
      <c r="M2" s="1868">
        <f>SUMPRODUCT((区片价!B10:B28=I2)*(区片价!C3:F3=E2)*(区片价!C10:F28))</f>
        <v>0</v>
      </c>
      <c r="N2" s="1869">
        <f>SUMPRODUCT((因素修正幅度!B10:B28=I2)*(因素修正幅度!C3:F3=E2)*(因素修正幅度!C10:F28))</f>
        <v>0</v>
      </c>
      <c r="O2" s="1403"/>
      <c r="P2" s="1394"/>
      <c r="Q2" s="2171"/>
      <c r="R2" s="2773">
        <v>1</v>
      </c>
      <c r="S2" s="2773">
        <f>ROUND(IF(G3&gt;1,IF(R2&lt;7,SUMPRODUCT((B93:B98=R2)*(C92:N92=G2)*(C93:N98)),SUMIF(C92:N92,G2,C100:N100)),IF(R2&lt;7,SUMPRODUCT((B102:B107=R2)*(C92:N92=G2)*(C102:N107)),SUMIF(C92:N92,G2,C109:N109))),4)</f>
        <v>0</v>
      </c>
      <c r="T2" s="2773" t="e">
        <f>ROUND($C$5*$C$18*$C$19*$C$20*S2*$C$24,0)</f>
        <v>#DIV/0!</v>
      </c>
      <c r="U2" s="2762"/>
      <c r="V2" s="2773" t="e">
        <f>ROUND(T2*U2/10000,0)</f>
        <v>#DIV/0!</v>
      </c>
      <c r="W2" s="2171"/>
      <c r="X2" s="2171"/>
      <c r="Y2" s="2171"/>
      <c r="Z2" s="2171"/>
      <c r="AA2" s="2171"/>
      <c r="AB2" s="2171"/>
      <c r="AC2" s="2172"/>
    </row>
    <row r="3" spans="1:39" ht="15.75">
      <c r="A3" s="1404" t="s">
        <v>1681</v>
      </c>
      <c r="B3" s="1036" t="e">
        <f>ROUND(B2*10000/D1,0)</f>
        <v>#DIV/0!</v>
      </c>
      <c r="C3" s="1400" t="s">
        <v>924</v>
      </c>
      <c r="D3" s="1401" t="s">
        <v>925</v>
      </c>
      <c r="E3" s="1405"/>
      <c r="F3" s="1406"/>
      <c r="G3" s="1037">
        <f>IF(F3="宗地容积率",'数据-汇总表'!I4,IF(F3="估价对象容积率",'数据-汇总表'!I6,'数据-汇总表'!I7))</f>
        <v>1.8306718193906182</v>
      </c>
      <c r="H3" s="1407" t="s">
        <v>926</v>
      </c>
      <c r="I3" s="1038">
        <v>8</v>
      </c>
      <c r="J3" s="1403" t="s">
        <v>927</v>
      </c>
      <c r="K3" s="1403"/>
      <c r="L3" s="1867" t="s">
        <v>2232</v>
      </c>
      <c r="M3" s="1868">
        <f>SUMPRODUCT((区片价!B29:B48=I2)*(区片价!C3:F3=E2)*(区片价!C29:F48))</f>
        <v>0</v>
      </c>
      <c r="N3" s="1869">
        <f>SUMPRODUCT((因素修正幅度!B29:B48=I2)*(因素修正幅度!C3:F3=E2)*(因素修正幅度!C29:F48))</f>
        <v>0</v>
      </c>
      <c r="O3" s="1403"/>
      <c r="P3" s="1394"/>
      <c r="Q3" s="2171"/>
      <c r="R3" s="2773">
        <v>2</v>
      </c>
      <c r="S3" s="2773">
        <f>ROUND(IF(G3&gt;1,IF(R3&lt;7,SUMPRODUCT((B93:B98=R3)*(C92:N92=G2)*(C93:N98)),SUMIF(C92:N92,G2,C100:N100)),IF(R3&lt;7,SUMPRODUCT((B102:B107=R3)*(C92:N92=G2)*(C102:N107)),SUMIF(C92:N92,G2,C109:N109))),4)</f>
        <v>0</v>
      </c>
      <c r="T3" s="2773" t="e">
        <f t="shared" ref="T3:T16" si="0">ROUND($C$5*$C$18*$C$19*$C$20*S3*$C$24,0)</f>
        <v>#DIV/0!</v>
      </c>
      <c r="U3" s="2762"/>
      <c r="V3" s="2773" t="e">
        <f t="shared" ref="V3:V16" si="1">ROUND(T3*U3/10000,0)</f>
        <v>#DIV/0!</v>
      </c>
      <c r="W3" s="2171"/>
      <c r="X3" s="2171"/>
      <c r="Y3" s="2171"/>
      <c r="Z3" s="2171"/>
      <c r="AA3" s="2171"/>
      <c r="AB3" s="2171"/>
      <c r="AC3" s="2172"/>
    </row>
    <row r="4" spans="1:39" ht="28.5">
      <c r="A4" s="1873" t="s">
        <v>2271</v>
      </c>
      <c r="B4" s="2414" t="e">
        <f>ROUND(B2*10000/F1,0)</f>
        <v>#DIV/0!</v>
      </c>
      <c r="C4" s="1876" t="s">
        <v>2246</v>
      </c>
      <c r="D4" s="1876" t="e">
        <f>ROUND(B2/(F1/666.67),0)</f>
        <v>#DIV/0!</v>
      </c>
      <c r="E4" s="1876" t="s">
        <v>2247</v>
      </c>
      <c r="F4" s="1874"/>
      <c r="G4" s="1874"/>
      <c r="H4" s="1874"/>
      <c r="I4" s="1874"/>
      <c r="J4" s="1875"/>
      <c r="K4" s="2997"/>
      <c r="L4" s="1867" t="s">
        <v>2233</v>
      </c>
      <c r="M4" s="1868">
        <f>SUMPRODUCT((区片价!B49:B75=I2)*(区片价!C3:F3=E2)*(区片价!C49:F75))</f>
        <v>0</v>
      </c>
      <c r="N4" s="1869">
        <f>SUMPRODUCT((因素修正幅度!B49:B75=I2)*(因素修正幅度!C3:F3=E2)*(因素修正幅度!C49:F75))</f>
        <v>0</v>
      </c>
      <c r="O4" s="2997"/>
      <c r="P4" s="1394"/>
      <c r="Q4" s="2171"/>
      <c r="R4" s="2773">
        <v>3</v>
      </c>
      <c r="S4" s="2773">
        <f>ROUND(IF(G3&gt;1,IF(R4&lt;7,SUMPRODUCT((B93:B98=R4)*(C92:N92=G2)*(C93:N98)),SUMIF(C92:N92,G2,C100:N100)),IF(R4&lt;7,SUMPRODUCT((B102:B107=R4)*(C92:N92=G2)*(C102:N107)),SUMIF(C92:N92,G2,C109:N109))),4)</f>
        <v>0</v>
      </c>
      <c r="T4" s="2773" t="e">
        <f t="shared" si="0"/>
        <v>#DIV/0!</v>
      </c>
      <c r="U4" s="2762"/>
      <c r="V4" s="2773" t="e">
        <f t="shared" si="1"/>
        <v>#DIV/0!</v>
      </c>
      <c r="W4" s="2171"/>
      <c r="X4" s="2171"/>
      <c r="Y4" s="2171"/>
      <c r="Z4" s="2171"/>
      <c r="AA4" s="2171"/>
      <c r="AB4" s="2171"/>
      <c r="AC4" s="2172"/>
    </row>
    <row r="5" spans="1:39" s="1414" customFormat="1" ht="15.75" thickBot="1">
      <c r="A5" s="1620" t="s">
        <v>1817</v>
      </c>
      <c r="B5" s="1408" t="s">
        <v>928</v>
      </c>
      <c r="C5" s="1039" t="e">
        <f>ROUND(IF(E2="商业",C6*C7+C16,(IF(E2="住宅",C6*C12+C16,C6+C16))),0)</f>
        <v>#DIV/0!</v>
      </c>
      <c r="D5" s="2939" t="e">
        <f>ROUND(C6+C16,0)</f>
        <v>#DIV/0!</v>
      </c>
      <c r="E5" s="2939"/>
      <c r="F5" s="1409"/>
      <c r="G5" s="1410"/>
      <c r="H5" s="1410"/>
      <c r="I5" s="1410"/>
      <c r="J5" s="1411"/>
      <c r="K5" s="2998"/>
      <c r="L5" s="1867" t="s">
        <v>2234</v>
      </c>
      <c r="M5" s="1868">
        <f>SUMPRODUCT((区片价!B76:B109=I2)*(区片价!C3:F3=E2)*(区片价!C76:F109))</f>
        <v>0</v>
      </c>
      <c r="N5" s="1869">
        <f>SUMPRODUCT((因素修正幅度!B76:B109=I2)*(因素修正幅度!C3:F3=E2)*(因素修正幅度!C76:F109))</f>
        <v>0</v>
      </c>
      <c r="O5" s="2998"/>
      <c r="P5" s="1577"/>
      <c r="Q5" s="2171"/>
      <c r="R5" s="2773">
        <v>4</v>
      </c>
      <c r="S5" s="2773">
        <f>ROUND(IF(G3&gt;1,IF(R5&lt;7,SUMPRODUCT((B93:B98=R5)*(C92:N92=G2)*(C93:N98)),SUMIF(C92:N92,G2,C100:N100)),IF(R5&lt;7,SUMPRODUCT((B102:B107=R5)*(C92:N92=G2)*(C102:N107)),SUMIF(C92:N92,G2,C109:N109))),4)</f>
        <v>0</v>
      </c>
      <c r="T5" s="2773" t="e">
        <f t="shared" si="0"/>
        <v>#DIV/0!</v>
      </c>
      <c r="U5" s="2762"/>
      <c r="V5" s="2773"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1864</v>
      </c>
      <c r="B6" s="1415" t="s">
        <v>928</v>
      </c>
      <c r="C6" s="1040">
        <f>SUMIF(L1:L12,基准地价!G2,M1:M12)</f>
        <v>0</v>
      </c>
      <c r="D6" s="1416" t="s">
        <v>1689</v>
      </c>
      <c r="E6" s="1417"/>
      <c r="F6" s="1417"/>
      <c r="G6" s="1418"/>
      <c r="H6" s="1418"/>
      <c r="I6" s="1418"/>
      <c r="J6" s="1419"/>
      <c r="K6" s="1449"/>
      <c r="L6" s="1867" t="s">
        <v>2235</v>
      </c>
      <c r="M6" s="1868">
        <f>SUMPRODUCT((区片价!B110:B157=I2)*(区片价!C3:F3=E2)*(区片价!C110:F157))</f>
        <v>0</v>
      </c>
      <c r="N6" s="1869">
        <f>SUMPRODUCT((因素修正幅度!B110:B157=I2)*(因素修正幅度!C3:F3=E2)*(因素修正幅度!C110:F157))</f>
        <v>0</v>
      </c>
      <c r="O6" s="1449"/>
      <c r="P6" s="1578"/>
      <c r="Q6" s="2171"/>
      <c r="R6" s="2773">
        <v>5</v>
      </c>
      <c r="S6" s="2773">
        <f>ROUND(IF(G3&gt;1,IF(R6&lt;7,SUMPRODUCT((B93:B98=R6)*(C92:N92=G2)*(C93:N98)),SUMIF(C92:N92,G2,C100:N100)),IF(R6&lt;7,SUMPRODUCT((B102:B107=R6)*(C92:N92=G2)*(C102:N107)),SUMIF(C92:N92,G2,C109:N109))),4)</f>
        <v>0</v>
      </c>
      <c r="T6" s="2773" t="e">
        <f t="shared" si="0"/>
        <v>#DIV/0!</v>
      </c>
      <c r="U6" s="2762"/>
      <c r="V6" s="2773" t="e">
        <f t="shared" si="1"/>
        <v>#DIV/0!</v>
      </c>
      <c r="W6" s="2171"/>
      <c r="X6" s="2171"/>
      <c r="Y6" s="2171"/>
      <c r="Z6" s="2171"/>
      <c r="AA6" s="2171"/>
      <c r="AB6" s="2171"/>
      <c r="AC6" s="2173"/>
      <c r="AD6" s="1412"/>
      <c r="AE6" s="1412"/>
      <c r="AF6" s="1412"/>
      <c r="AG6" s="1412"/>
      <c r="AH6" s="1412"/>
      <c r="AI6" s="1412"/>
      <c r="AJ6" s="1413"/>
    </row>
    <row r="7" spans="1:39" ht="24">
      <c r="A7" s="3563" t="str">
        <f>IF(E2="商业",IF(C8="不临58条商业街","",2),"")</f>
        <v/>
      </c>
      <c r="B7" s="1420" t="s">
        <v>929</v>
      </c>
      <c r="C7" s="1041" t="e">
        <f>IF(C8="不临58条商业街",1,ROUND(1+(1.6*E8+1.2*E9+0.8*E10+0.4*E11)*C9,4))</f>
        <v>#DIV/0!</v>
      </c>
      <c r="D7" s="1421" t="s">
        <v>930</v>
      </c>
      <c r="E7" s="1042"/>
      <c r="F7" s="1422"/>
      <c r="G7" s="1423"/>
      <c r="H7" s="1423"/>
      <c r="I7" s="1423"/>
      <c r="J7" s="1424"/>
      <c r="K7" s="1449"/>
      <c r="L7" s="1867" t="s">
        <v>2236</v>
      </c>
      <c r="M7" s="1868">
        <f>SUMPRODUCT((区片价!B158:B205=I2)*(区片价!C3:F3=E2)*(区片价!C158:F205))</f>
        <v>0</v>
      </c>
      <c r="N7" s="1869">
        <f>SUMPRODUCT((因素修正幅度!B158:B205=I2)*(因素修正幅度!C3:F3=E2)*(因素修正幅度!C158:F205))</f>
        <v>0</v>
      </c>
      <c r="O7" s="1449"/>
      <c r="P7" s="1578"/>
      <c r="Q7" s="2171"/>
      <c r="R7" s="2773">
        <v>6</v>
      </c>
      <c r="S7" s="2773">
        <f>ROUND(IF(G3&gt;1,IF(R7&lt;7,SUMPRODUCT((B93:B98=R7)*(C92:N92=G2)*(C93:N98)),SUMIF(C92:N92,G2,C100:N100)),IF(R7&lt;7,SUMPRODUCT((B102:B107=R7)*(C92:N92=G2)*(C102:N107)),SUMIF(C92:N92,G2,C109:N109))),4)</f>
        <v>0</v>
      </c>
      <c r="T7" s="2773" t="e">
        <f t="shared" si="0"/>
        <v>#DIV/0!</v>
      </c>
      <c r="U7" s="2762"/>
      <c r="V7" s="2773" t="e">
        <f t="shared" si="1"/>
        <v>#DIV/0!</v>
      </c>
      <c r="W7" s="2771" t="s">
        <v>2755</v>
      </c>
      <c r="X7" s="2763">
        <f>G2</f>
        <v>0</v>
      </c>
      <c r="Y7" s="2763" t="s">
        <v>2756</v>
      </c>
      <c r="Z7" s="2764">
        <f>G3</f>
        <v>1.8306718193906182</v>
      </c>
      <c r="AA7" s="2174"/>
      <c r="AB7" s="2174"/>
      <c r="AC7" s="2175"/>
      <c r="AD7" s="2765"/>
      <c r="AE7" s="2765"/>
      <c r="AF7" s="2765"/>
      <c r="AG7" s="2765"/>
      <c r="AH7" s="2765"/>
      <c r="AI7" s="2765"/>
      <c r="AJ7" s="2766"/>
    </row>
    <row r="8" spans="1:39" ht="15">
      <c r="A8" s="3564"/>
      <c r="B8" s="1407" t="s">
        <v>931</v>
      </c>
      <c r="C8" s="1513"/>
      <c r="D8" s="1043" t="s">
        <v>932</v>
      </c>
      <c r="E8" s="1044" t="e">
        <f>ROUND(C11/E7,4)</f>
        <v>#DIV/0!</v>
      </c>
      <c r="F8" s="1425" t="s">
        <v>933</v>
      </c>
      <c r="G8" s="1426"/>
      <c r="H8" s="1426"/>
      <c r="I8" s="1426"/>
      <c r="J8" s="1427"/>
      <c r="K8" s="1449"/>
      <c r="L8" s="1867" t="s">
        <v>2237</v>
      </c>
      <c r="M8" s="1868">
        <f>SUMPRODUCT((区片价!B206:B244=I2)*(区片价!C3:F3=E2)*(区片价!C206:F244))</f>
        <v>0</v>
      </c>
      <c r="N8" s="1869">
        <f>SUMPRODUCT((因素修正幅度!B206:B244=I2)*(因素修正幅度!C3:F3=E2)*(因素修正幅度!C206:F244))</f>
        <v>0</v>
      </c>
      <c r="O8" s="1449"/>
      <c r="P8" s="1394"/>
      <c r="Q8" s="2171"/>
      <c r="R8" s="2773">
        <v>7</v>
      </c>
      <c r="S8" s="2762"/>
      <c r="T8" s="2773" t="e">
        <f t="shared" si="0"/>
        <v>#DIV/0!</v>
      </c>
      <c r="U8" s="2762"/>
      <c r="V8" s="2773" t="e">
        <f t="shared" si="1"/>
        <v>#DIV/0!</v>
      </c>
      <c r="W8" s="3574" t="s">
        <v>2773</v>
      </c>
      <c r="X8" s="3575"/>
      <c r="Y8" s="1831" t="s">
        <v>2757</v>
      </c>
      <c r="Z8" s="1831" t="s">
        <v>2758</v>
      </c>
      <c r="AA8" s="1831" t="s">
        <v>2759</v>
      </c>
      <c r="AB8" s="1831" t="s">
        <v>2760</v>
      </c>
      <c r="AC8" s="1831" t="s">
        <v>2761</v>
      </c>
      <c r="AD8" s="1831" t="s">
        <v>2762</v>
      </c>
      <c r="AE8" s="1831" t="s">
        <v>2763</v>
      </c>
      <c r="AF8" s="1831" t="s">
        <v>2764</v>
      </c>
      <c r="AG8" s="1831" t="s">
        <v>2765</v>
      </c>
      <c r="AH8" s="1831" t="s">
        <v>2766</v>
      </c>
      <c r="AI8" s="1831" t="s">
        <v>2767</v>
      </c>
      <c r="AJ8" s="1831" t="s">
        <v>2768</v>
      </c>
    </row>
    <row r="9" spans="1:39" ht="15">
      <c r="A9" s="3564"/>
      <c r="B9" s="1407" t="s">
        <v>934</v>
      </c>
      <c r="C9" s="1045">
        <f>SUMIF(修正!C59:C119,C8,修正!E59:E119)</f>
        <v>0</v>
      </c>
      <c r="D9" s="1046" t="s">
        <v>935</v>
      </c>
      <c r="E9" s="1046" t="e">
        <f>ROUND(C11/E7,4)</f>
        <v>#DIV/0!</v>
      </c>
      <c r="F9" s="1425" t="s">
        <v>936</v>
      </c>
      <c r="G9" s="1426"/>
      <c r="H9" s="1426"/>
      <c r="I9" s="1426"/>
      <c r="J9" s="1427"/>
      <c r="K9" s="1449"/>
      <c r="L9" s="1867" t="s">
        <v>2238</v>
      </c>
      <c r="M9" s="1868">
        <f>SUMPRODUCT((区片价!B245:B289=I2)*(区片价!C3:F3=E2)*(区片价!C245:F289))</f>
        <v>0</v>
      </c>
      <c r="N9" s="1869">
        <f>SUMPRODUCT((因素修正幅度!B245:B289=I2)*(因素修正幅度!C3:F3=E2)*(因素修正幅度!C245:F289))</f>
        <v>0</v>
      </c>
      <c r="O9" s="1449"/>
      <c r="P9" s="1394"/>
      <c r="Q9" s="2171"/>
      <c r="R9" s="2773">
        <v>8</v>
      </c>
      <c r="S9" s="2762"/>
      <c r="T9" s="2773" t="e">
        <f t="shared" si="0"/>
        <v>#DIV/0!</v>
      </c>
      <c r="U9" s="2762"/>
      <c r="V9" s="2773" t="e">
        <f t="shared" si="1"/>
        <v>#DIV/0!</v>
      </c>
      <c r="W9" s="3573" t="s">
        <v>2769</v>
      </c>
      <c r="X9" s="2767" t="s">
        <v>2770</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564"/>
      <c r="B10" s="1407" t="s">
        <v>937</v>
      </c>
      <c r="C10" s="1046">
        <f>SUMIF(修正!C59:C119,C8,修正!F59:F119)</f>
        <v>0</v>
      </c>
      <c r="D10" s="1046" t="s">
        <v>938</v>
      </c>
      <c r="E10" s="1046" t="e">
        <f>ROUND(C11/E7,4)</f>
        <v>#DIV/0!</v>
      </c>
      <c r="F10" s="1425" t="s">
        <v>939</v>
      </c>
      <c r="G10" s="1426"/>
      <c r="H10" s="1426"/>
      <c r="I10" s="1426"/>
      <c r="J10" s="1427"/>
      <c r="K10" s="1449"/>
      <c r="L10" s="1867" t="s">
        <v>2239</v>
      </c>
      <c r="M10" s="1868">
        <f>SUMPRODUCT((区片价!B290:B316=I2)*(区片价!C3:F3=E2)*(区片价!C290:F316))</f>
        <v>0</v>
      </c>
      <c r="N10" s="1869">
        <f>SUMPRODUCT((因素修正幅度!B290:B316=I2)*(因素修正幅度!C3:F3=E2)*(因素修正幅度!C290:F316))</f>
        <v>0</v>
      </c>
      <c r="O10" s="1449"/>
      <c r="P10" s="1394"/>
      <c r="Q10" s="2171"/>
      <c r="R10" s="2773">
        <v>9</v>
      </c>
      <c r="S10" s="2762"/>
      <c r="T10" s="2773" t="e">
        <f t="shared" si="0"/>
        <v>#DIV/0!</v>
      </c>
      <c r="U10" s="2762"/>
      <c r="V10" s="2773" t="e">
        <f t="shared" si="1"/>
        <v>#DIV/0!</v>
      </c>
      <c r="W10" s="3573"/>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564"/>
      <c r="B11" s="1428" t="s">
        <v>940</v>
      </c>
      <c r="C11" s="1047">
        <f>C10/4</f>
        <v>0</v>
      </c>
      <c r="D11" s="1047" t="s">
        <v>941</v>
      </c>
      <c r="E11" s="1047" t="e">
        <f>ROUND(C11/E7,4)</f>
        <v>#DIV/0!</v>
      </c>
      <c r="F11" s="1429" t="s">
        <v>942</v>
      </c>
      <c r="G11" s="1430"/>
      <c r="H11" s="1430"/>
      <c r="I11" s="1430"/>
      <c r="J11" s="1431"/>
      <c r="K11" s="1449"/>
      <c r="L11" s="1867" t="s">
        <v>2240</v>
      </c>
      <c r="M11" s="1868">
        <f>SUMPRODUCT((区片价!B317:B337=I2)*(区片价!C3:F3=E2)*(区片价!C317:F337))</f>
        <v>0</v>
      </c>
      <c r="N11" s="1869">
        <f>SUMPRODUCT((因素修正幅度!B317:B337=I2)*(因素修正幅度!C3:F3=E2)*(因素修正幅度!C317:F337))</f>
        <v>0</v>
      </c>
      <c r="O11" s="1449"/>
      <c r="P11" s="1394"/>
      <c r="Q11" s="2171"/>
      <c r="R11" s="2773">
        <v>10</v>
      </c>
      <c r="S11" s="2762"/>
      <c r="T11" s="2773" t="e">
        <f t="shared" si="0"/>
        <v>#DIV/0!</v>
      </c>
      <c r="U11" s="2762"/>
      <c r="V11" s="2773" t="e">
        <f t="shared" si="1"/>
        <v>#DIV/0!</v>
      </c>
      <c r="W11" s="3573" t="s">
        <v>2771</v>
      </c>
      <c r="X11" s="1046" t="s">
        <v>2756</v>
      </c>
      <c r="Y11" s="1635">
        <f>$G$3</f>
        <v>1.8306718193906182</v>
      </c>
      <c r="Z11" s="1635">
        <f t="shared" ref="Z11:AJ11" si="3">$G$3</f>
        <v>1.8306718193906182</v>
      </c>
      <c r="AA11" s="1635">
        <f t="shared" si="3"/>
        <v>1.8306718193906182</v>
      </c>
      <c r="AB11" s="1635">
        <f t="shared" si="3"/>
        <v>1.8306718193906182</v>
      </c>
      <c r="AC11" s="1635">
        <f t="shared" si="3"/>
        <v>1.8306718193906182</v>
      </c>
      <c r="AD11" s="1635">
        <f t="shared" si="3"/>
        <v>1.8306718193906182</v>
      </c>
      <c r="AE11" s="1635">
        <f t="shared" si="3"/>
        <v>1.8306718193906182</v>
      </c>
      <c r="AF11" s="1635">
        <f t="shared" si="3"/>
        <v>1.8306718193906182</v>
      </c>
      <c r="AG11" s="1635">
        <f t="shared" si="3"/>
        <v>1.8306718193906182</v>
      </c>
      <c r="AH11" s="1635">
        <f t="shared" si="3"/>
        <v>1.8306718193906182</v>
      </c>
      <c r="AI11" s="1635">
        <f t="shared" si="3"/>
        <v>1.8306718193906182</v>
      </c>
      <c r="AJ11" s="1635">
        <f t="shared" si="3"/>
        <v>1.8306718193906182</v>
      </c>
    </row>
    <row r="12" spans="1:39" ht="25.5" thickBot="1">
      <c r="A12" s="3563" t="s">
        <v>1865</v>
      </c>
      <c r="B12" s="1432" t="s">
        <v>943</v>
      </c>
      <c r="C12" s="1041">
        <f>ROUND(C15*D15*E15*F15*G15*H15*I15*J15,4)</f>
        <v>1</v>
      </c>
      <c r="D12" s="1433" t="s">
        <v>944</v>
      </c>
      <c r="E12" s="1434"/>
      <c r="F12" s="1434"/>
      <c r="G12" s="1435"/>
      <c r="H12" s="1435"/>
      <c r="I12" s="1435"/>
      <c r="J12" s="1436"/>
      <c r="K12" s="1449"/>
      <c r="L12" s="1870" t="s">
        <v>2241</v>
      </c>
      <c r="M12" s="1871">
        <f>SUMPRODUCT((区片价!B338:B344=I2)*(区片价!C3:F3=E2)*(区片价!C338:F344))</f>
        <v>0</v>
      </c>
      <c r="N12" s="1872">
        <f>SUMPRODUCT((因素修正幅度!B338:B344=I2)*(因素修正幅度!C3:F3=E2)*(因素修正幅度!C338:F344))</f>
        <v>0</v>
      </c>
      <c r="O12" s="1449"/>
      <c r="P12" s="1394"/>
      <c r="Q12" s="2171"/>
      <c r="R12" s="2773">
        <v>11</v>
      </c>
      <c r="S12" s="2762"/>
      <c r="T12" s="2773" t="e">
        <f t="shared" si="0"/>
        <v>#DIV/0!</v>
      </c>
      <c r="U12" s="2762"/>
      <c r="V12" s="2773" t="e">
        <f t="shared" si="1"/>
        <v>#DIV/0!</v>
      </c>
      <c r="W12" s="3573"/>
      <c r="X12" s="2770" t="s">
        <v>2772</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565"/>
      <c r="B13" s="1437" t="s">
        <v>1690</v>
      </c>
      <c r="C13" s="1438" t="s">
        <v>1691</v>
      </c>
      <c r="D13" s="1083" t="s">
        <v>1692</v>
      </c>
      <c r="E13" s="1083" t="s">
        <v>1693</v>
      </c>
      <c r="F13" s="1439" t="s">
        <v>945</v>
      </c>
      <c r="G13" s="1440" t="s">
        <v>1639</v>
      </c>
      <c r="H13" s="1441" t="s">
        <v>1639</v>
      </c>
      <c r="I13" s="1442" t="s">
        <v>1639</v>
      </c>
      <c r="J13" s="1443" t="s">
        <v>1639</v>
      </c>
      <c r="K13" s="3013"/>
      <c r="L13" s="3013"/>
      <c r="M13" s="3013"/>
      <c r="N13" s="3013"/>
      <c r="O13" s="3013"/>
      <c r="P13" s="1394"/>
      <c r="Q13" s="2171"/>
      <c r="R13" s="2773">
        <v>12</v>
      </c>
      <c r="S13" s="2762"/>
      <c r="T13" s="2773" t="e">
        <f t="shared" si="0"/>
        <v>#DIV/0!</v>
      </c>
      <c r="U13" s="2762"/>
      <c r="V13" s="2773" t="e">
        <f t="shared" si="1"/>
        <v>#DIV/0!</v>
      </c>
      <c r="W13" s="3573"/>
      <c r="X13" s="2770"/>
      <c r="Y13" s="2769">
        <f>(-0.163*(Y12^2)-0.59*Y12+7617)*(10^(-4))/Y11</f>
        <v>0.41607676041768626</v>
      </c>
      <c r="Z13" s="2769">
        <f t="shared" ref="Z13:AJ13" si="5">(-0.163*(Z12^2)-0.59*Z12+7617)*(10^(-4))/Z11</f>
        <v>0.41607676041768626</v>
      </c>
      <c r="AA13" s="2769">
        <f t="shared" si="5"/>
        <v>0.41607676041768626</v>
      </c>
      <c r="AB13" s="2769">
        <f t="shared" si="5"/>
        <v>0.41607676041768626</v>
      </c>
      <c r="AC13" s="2769">
        <f t="shared" si="5"/>
        <v>0.41607676041768626</v>
      </c>
      <c r="AD13" s="2769">
        <f t="shared" si="5"/>
        <v>0.41607676041768626</v>
      </c>
      <c r="AE13" s="2769">
        <f t="shared" si="5"/>
        <v>0.41607676041768626</v>
      </c>
      <c r="AF13" s="2769">
        <f t="shared" si="5"/>
        <v>0.41607676041768626</v>
      </c>
      <c r="AG13" s="2769">
        <f t="shared" si="5"/>
        <v>0.41607676041768626</v>
      </c>
      <c r="AH13" s="2769">
        <f t="shared" si="5"/>
        <v>0.41607676041768626</v>
      </c>
      <c r="AI13" s="2769">
        <f t="shared" si="5"/>
        <v>0.41607676041768626</v>
      </c>
      <c r="AJ13" s="2769">
        <f t="shared" si="5"/>
        <v>0.41607676041768626</v>
      </c>
    </row>
    <row r="14" spans="1:39" ht="12.75" customHeight="1">
      <c r="A14" s="3565"/>
      <c r="B14" s="1444"/>
      <c r="C14" s="1445"/>
      <c r="D14" s="1446"/>
      <c r="E14" s="1446"/>
      <c r="F14" s="1447"/>
      <c r="G14" s="1448" t="s">
        <v>946</v>
      </c>
      <c r="H14" s="1449"/>
      <c r="I14" s="1450"/>
      <c r="J14" s="1451"/>
      <c r="K14" s="2999"/>
      <c r="L14" s="2999"/>
      <c r="M14" s="2999"/>
      <c r="N14" s="2999"/>
      <c r="O14" s="2999"/>
      <c r="P14" s="1394"/>
      <c r="Q14" s="2171"/>
      <c r="R14" s="2773">
        <v>13</v>
      </c>
      <c r="S14" s="2762"/>
      <c r="T14" s="2773" t="e">
        <f t="shared" si="0"/>
        <v>#DIV/0!</v>
      </c>
      <c r="U14" s="2762"/>
      <c r="V14" s="2773" t="e">
        <f t="shared" si="1"/>
        <v>#DIV/0!</v>
      </c>
      <c r="W14" s="2171"/>
      <c r="X14" s="2171"/>
      <c r="Y14" s="2171"/>
      <c r="Z14" s="2171"/>
      <c r="AA14" s="2171"/>
      <c r="AB14" s="2171"/>
      <c r="AC14" s="2172"/>
    </row>
    <row r="15" spans="1:39" ht="13.5" customHeight="1" thickBot="1">
      <c r="A15" s="3566"/>
      <c r="B15" s="3018" t="s">
        <v>1694</v>
      </c>
      <c r="C15" s="1047">
        <f>IF(C14="有",1.1,1)</f>
        <v>1</v>
      </c>
      <c r="D15" s="1047">
        <f>IF(D14="有",1.1,1)</f>
        <v>1</v>
      </c>
      <c r="E15" s="1047">
        <f>IF(E14="有",1.1,1)</f>
        <v>1</v>
      </c>
      <c r="F15" s="1047">
        <f>IF(F14="500米范围内",1.2,IF(F14="500-1000米",1.1,1))</f>
        <v>1</v>
      </c>
      <c r="G15" s="3010">
        <v>1</v>
      </c>
      <c r="H15" s="3010">
        <v>1</v>
      </c>
      <c r="I15" s="3010">
        <v>1</v>
      </c>
      <c r="J15" s="3011">
        <v>1</v>
      </c>
      <c r="K15" s="3014"/>
      <c r="L15" s="3014"/>
      <c r="M15" s="3014"/>
      <c r="N15" s="3014"/>
      <c r="O15" s="3014"/>
      <c r="P15" s="1394"/>
      <c r="Q15" s="2171"/>
      <c r="R15" s="2773">
        <v>14</v>
      </c>
      <c r="S15" s="2762"/>
      <c r="T15" s="2773" t="e">
        <f t="shared" si="0"/>
        <v>#DIV/0!</v>
      </c>
      <c r="U15" s="2762"/>
      <c r="V15" s="2773" t="e">
        <f t="shared" si="1"/>
        <v>#DIV/0!</v>
      </c>
      <c r="W15" s="2171"/>
      <c r="X15" s="2171"/>
      <c r="Y15" s="2171"/>
      <c r="Z15" s="2171"/>
      <c r="AA15" s="2171"/>
      <c r="AB15" s="2171"/>
      <c r="AC15" s="2172"/>
    </row>
    <row r="16" spans="1:39" ht="24.6" customHeight="1">
      <c r="A16" s="3563" t="s">
        <v>1832</v>
      </c>
      <c r="B16" s="1420" t="s">
        <v>947</v>
      </c>
      <c r="C16" s="1050" t="e">
        <f>ROUND(IF(F17="与级别开发程度一致",0,(G17-E17)/C17),0)</f>
        <v>#DIV/0!</v>
      </c>
      <c r="D16" s="3581" t="s">
        <v>951</v>
      </c>
      <c r="E16" s="3582"/>
      <c r="F16" s="3581" t="s">
        <v>948</v>
      </c>
      <c r="G16" s="3582"/>
      <c r="H16" s="1452"/>
      <c r="I16" s="1452"/>
      <c r="J16" s="1452"/>
      <c r="K16" s="1452"/>
      <c r="L16" s="1452"/>
      <c r="M16" s="1452"/>
      <c r="N16" s="1452"/>
      <c r="O16" s="3023"/>
      <c r="P16" s="1394"/>
      <c r="Q16" s="2174"/>
      <c r="R16" s="2773">
        <v>15</v>
      </c>
      <c r="S16" s="2762"/>
      <c r="T16" s="2773" t="e">
        <f t="shared" si="0"/>
        <v>#DIV/0!</v>
      </c>
      <c r="U16" s="2762"/>
      <c r="V16" s="2773" t="e">
        <f t="shared" si="1"/>
        <v>#DIV/0!</v>
      </c>
      <c r="W16" s="2174"/>
      <c r="X16" s="2174"/>
      <c r="Y16" s="2174"/>
      <c r="Z16" s="2174"/>
      <c r="AA16" s="2174"/>
      <c r="AB16" s="2174"/>
      <c r="AC16" s="2175"/>
    </row>
    <row r="17" spans="1:40" ht="13.5" thickBot="1">
      <c r="A17" s="3567"/>
      <c r="B17" s="3024" t="s">
        <v>950</v>
      </c>
      <c r="C17" s="3025">
        <f>SUMPRODUCT((修正!A2:A5=E2)*(修正!B1:M1=G2)*(修正!B2:M5))</f>
        <v>0</v>
      </c>
      <c r="D17" s="3026" t="str">
        <f>IF(OR(G2="八级",G2="九级",G2="十级",G2="十一级",G2="十二级"),"五通一平","七通一平")</f>
        <v>七通一平</v>
      </c>
      <c r="E17" s="3016">
        <f>SUMPRODUCT((修正!B1:M1=G2)*(修正!B15:M15))</f>
        <v>0</v>
      </c>
      <c r="F17" s="3017"/>
      <c r="G17" s="301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7">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616" t="s">
        <v>1823</v>
      </c>
      <c r="B18" s="3019" t="s">
        <v>952</v>
      </c>
      <c r="C18" s="3020">
        <f>SUMIF(修正!C18:C39,E3,修正!E18:E39)</f>
        <v>0</v>
      </c>
      <c r="D18" s="3021"/>
      <c r="E18" s="3022"/>
      <c r="F18" s="3004"/>
      <c r="G18" s="2998"/>
      <c r="H18" s="2998"/>
      <c r="I18" s="2998"/>
      <c r="J18" s="3012"/>
      <c r="K18" s="2998"/>
      <c r="L18" s="2998"/>
      <c r="M18" s="2998"/>
      <c r="N18" s="2998"/>
      <c r="O18" s="2998"/>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1829</v>
      </c>
      <c r="B19" s="1455" t="s">
        <v>953</v>
      </c>
      <c r="C19" s="1051">
        <f>ROUND(IF(H19="按公示增长率计算",SUMPRODUCT((地价!A3:A31=YEAR(G19)&amp;"-"&amp;ROUNDUP(MONTH(G19)/3,0))*(地价!X2:AB2=E2)*(地价!X3:AB31)),IF(H19="地价指数",M20/M19,(1+I19)^O19)),4)</f>
        <v>0</v>
      </c>
      <c r="D19" s="1459" t="s">
        <v>954</v>
      </c>
      <c r="E19" s="1052">
        <v>41640</v>
      </c>
      <c r="F19" s="1459" t="s">
        <v>955</v>
      </c>
      <c r="G19" s="1053">
        <f>'数据-取费表'!B2</f>
        <v>44050</v>
      </c>
      <c r="H19" s="1460" t="s">
        <v>2980</v>
      </c>
      <c r="I19" s="2622" t="str">
        <f>IF(H19="季度增幅（自定义）",SUMIF(N21:N24,E2,O21:O24),"")</f>
        <v/>
      </c>
      <c r="J19" s="1456"/>
      <c r="K19" s="2998"/>
      <c r="L19" s="2872" t="s">
        <v>2831</v>
      </c>
      <c r="M19" s="2873">
        <f>ROUND(SUMIF(地价!B2:F2,E2,地价!B31:F31),0)</f>
        <v>0</v>
      </c>
      <c r="N19" s="2624" t="s">
        <v>1673</v>
      </c>
      <c r="O19" s="2623">
        <f>ROUNDDOWN(DATEDIF(E19,G19,"M")/3,0)</f>
        <v>26</v>
      </c>
      <c r="P19" s="1579"/>
      <c r="Q19" s="2761"/>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616" t="s">
        <v>1830</v>
      </c>
      <c r="B20" s="2617" t="s">
        <v>968</v>
      </c>
      <c r="C20" s="2618" t="e">
        <f>ROUND(POWER(1+G20,J20-I20)*(POWER(1+G20,I20)-1)/(POWER(1+G20,J20)-1),4)</f>
        <v>#DIV/0!</v>
      </c>
      <c r="D20" s="2619" t="s">
        <v>969</v>
      </c>
      <c r="E20" s="2921">
        <f ca="1">存贷款利率!I4/100</f>
        <v>4.3499999999999997E-2</v>
      </c>
      <c r="F20" s="2619" t="s">
        <v>970</v>
      </c>
      <c r="G20" s="2620">
        <f>SUMIF(M26:P26,E2,M28:P28)</f>
        <v>0</v>
      </c>
      <c r="H20" s="2619" t="s">
        <v>971</v>
      </c>
      <c r="I20" s="2615" t="e">
        <f>SUMIF('数据-取费表'!C6:C15,E2,'数据-取费表'!F6:F15)/COUNTIF('数据-取费表'!C6:C15,E2)</f>
        <v>#DIV/0!</v>
      </c>
      <c r="J20" s="2621">
        <f>IF(E2="住宅",70,IF(E2="商业",40,50))</f>
        <v>50</v>
      </c>
      <c r="K20" s="3000"/>
      <c r="L20" s="2874" t="s">
        <v>2832</v>
      </c>
      <c r="M20" s="3007">
        <f>ROUND(SUMPRODUCT((地价!A4:A31=YEAR(G19)&amp;"-"&amp;ROUNDUP(MONTH(G19)/3,0))*(地价!B2:F2=E2)*(地价!B4:F31)),0)</f>
        <v>0</v>
      </c>
      <c r="N20" s="2627" t="s">
        <v>2635</v>
      </c>
      <c r="O20" s="2625" t="s">
        <v>2634</v>
      </c>
      <c r="P20" s="2626" t="s">
        <v>2640</v>
      </c>
      <c r="Q20" s="2761"/>
      <c r="R20" s="2177"/>
      <c r="S20" s="2177"/>
      <c r="T20" s="2177"/>
      <c r="U20" s="2177"/>
      <c r="V20" s="2177"/>
      <c r="W20" s="2177"/>
      <c r="X20" s="2177"/>
      <c r="Y20" s="1457"/>
      <c r="Z20" s="1457"/>
      <c r="AA20" s="1457"/>
      <c r="AB20" s="1457"/>
      <c r="AC20" s="1457"/>
      <c r="AD20" s="1457"/>
    </row>
    <row r="21" spans="1:40" s="1414" customFormat="1" ht="14.25">
      <c r="A21" s="1624" t="s">
        <v>1831</v>
      </c>
      <c r="B21" s="1465" t="s">
        <v>2751</v>
      </c>
      <c r="C21" s="1152">
        <f>IF(B21="容积率修正",IF(G3&lt;=10,D22,J22),C23)</f>
        <v>0</v>
      </c>
      <c r="D21" s="1466"/>
      <c r="E21" s="1466"/>
      <c r="F21" s="1466"/>
      <c r="G21" s="1466"/>
      <c r="H21" s="1466"/>
      <c r="I21" s="1466"/>
      <c r="J21" s="1467"/>
      <c r="K21" s="2998"/>
      <c r="L21" s="1466"/>
      <c r="M21" s="1466"/>
      <c r="N21" s="1463" t="s">
        <v>972</v>
      </c>
      <c r="O21" s="1526"/>
      <c r="P21" s="2614">
        <f>SUMPRODUCT((地价!A3:A31=YEAR(G19)&amp;"-"&amp;ROUNDUP(MONTH(G19)/3,0))*(地价!AD2:AH2=N21)*(地价!AD3:AH31))</f>
        <v>1.2E-2</v>
      </c>
      <c r="Q21" s="2761"/>
      <c r="R21" s="2177"/>
      <c r="S21" s="2177"/>
      <c r="T21" s="2177"/>
      <c r="U21" s="2177"/>
      <c r="V21" s="2177"/>
      <c r="W21" s="2177"/>
      <c r="X21" s="2177"/>
      <c r="Y21" s="1396"/>
      <c r="Z21" s="1396"/>
      <c r="AA21" s="1396"/>
      <c r="AB21" s="1396"/>
      <c r="AC21" s="1457"/>
      <c r="AD21" s="1457"/>
    </row>
    <row r="22" spans="1:40" s="1414" customFormat="1" ht="14.25">
      <c r="A22" s="1625" t="s">
        <v>1864</v>
      </c>
      <c r="B22" s="1468" t="s">
        <v>973</v>
      </c>
      <c r="C22" s="1054" t="s">
        <v>1696</v>
      </c>
      <c r="D22" s="1054">
        <f>IF(E22=G22,F22,IF(G3&lt;=10,ROUND(F22+(H22-F22)*(G3-E22)/(G22-E22),4),"——"))</f>
        <v>0</v>
      </c>
      <c r="E22" s="1037">
        <f>ROUNDDOWN(G3,1)</f>
        <v>1.8</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1"/>
      <c r="L22" s="1466"/>
      <c r="M22" s="1466"/>
      <c r="N22" s="1463" t="s">
        <v>975</v>
      </c>
      <c r="O22" s="1526"/>
      <c r="P22" s="2614">
        <f>SUMPRODUCT((地价!A3:A31=YEAR(G19)&amp;"-"&amp;ROUNDUP(MONTH(G19)/3,0))*(地价!AD2:AH2=N22)*(地价!AD3:AH31))</f>
        <v>1.2E-2</v>
      </c>
      <c r="Q22" s="2761"/>
      <c r="R22" s="2177"/>
      <c r="S22" s="2177"/>
      <c r="T22" s="2177"/>
      <c r="U22" s="2177"/>
      <c r="V22" s="2177"/>
      <c r="W22" s="2177"/>
      <c r="X22" s="2177"/>
      <c r="Y22" s="1457"/>
      <c r="Z22" s="1457"/>
      <c r="AA22" s="1457"/>
      <c r="AB22" s="1457"/>
      <c r="AC22" s="1457"/>
      <c r="AD22" s="1457"/>
    </row>
    <row r="23" spans="1:40" ht="15.7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002"/>
      <c r="L23" s="1394"/>
      <c r="M23" s="1394"/>
      <c r="N23" s="1463" t="s">
        <v>920</v>
      </c>
      <c r="O23" s="1526"/>
      <c r="P23" s="2614">
        <f>SUMPRODUCT((地价!A3:A31=YEAR(G19)&amp;"-"&amp;ROUNDUP(MONTH(G19)/3,0))*(地价!AD2:AH2=N23)*(地价!AD3:AH31))</f>
        <v>1.9699999999999999E-2</v>
      </c>
      <c r="Q23" s="2761"/>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1866</v>
      </c>
      <c r="B24" s="1408" t="s">
        <v>977</v>
      </c>
      <c r="C24" s="1056">
        <f>SUMIF(A44:A87,E2,B44:B87)</f>
        <v>0</v>
      </c>
      <c r="D24" s="1519"/>
      <c r="E24" s="1520"/>
      <c r="F24" s="1520"/>
      <c r="G24" s="1520"/>
      <c r="H24" s="1520"/>
      <c r="I24" s="1520"/>
      <c r="J24" s="1520"/>
      <c r="K24" s="3002"/>
      <c r="L24" s="1466"/>
      <c r="M24" s="1466"/>
      <c r="N24" s="1463" t="s">
        <v>978</v>
      </c>
      <c r="O24" s="3006"/>
      <c r="P24" s="2614">
        <f>SUMPRODUCT((地价!A3:A31=YEAR(G19)&amp;"-"&amp;ROUNDUP(MONTH(G19)/3,0))*(地价!AD2:AH2=N24)*(地价!AD3:AH31))</f>
        <v>1.2699999999999999E-2</v>
      </c>
      <c r="Q24" s="2761"/>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008" t="s">
        <v>2638</v>
      </c>
      <c r="O25" s="3009"/>
      <c r="P25" s="2408">
        <f>SUMPRODUCT((地价!A3:A31=YEAR(G19)&amp;"-"&amp;ROUNDUP(MONTH(G19)/3,0))*(地价!AD2:AH2=N25)*(地价!AD3:AH31))</f>
        <v>1.7899999999999999E-2</v>
      </c>
      <c r="Q25" s="2761"/>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761"/>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761"/>
      <c r="S27" s="2761"/>
      <c r="T27" s="2761"/>
      <c r="U27" s="2761"/>
      <c r="V27" s="2761"/>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761"/>
      <c r="S28" s="2761"/>
      <c r="T28" s="2761"/>
      <c r="U28" s="2761"/>
      <c r="V28" s="2761"/>
      <c r="W28" s="2177"/>
      <c r="X28" s="2177"/>
      <c r="Y28" s="2177"/>
      <c r="Z28" s="2177"/>
      <c r="AA28" s="2177"/>
      <c r="AB28" s="2177"/>
      <c r="AC28" s="2177"/>
      <c r="AD28" s="1457"/>
      <c r="AE28" s="1457"/>
      <c r="AF28" s="1457"/>
      <c r="AG28" s="1457"/>
    </row>
    <row r="29" spans="1:40" ht="14.25">
      <c r="A29" s="1486"/>
      <c r="B29" s="1487" t="s">
        <v>990</v>
      </c>
      <c r="C29" s="1057" t="e">
        <f>ROUND(C5*C18*C19*C20*C21*C24,0)</f>
        <v>#DIV/0!</v>
      </c>
      <c r="D29" s="1488"/>
      <c r="E29" s="1831" t="e">
        <f>ROUND(C29*D29/10000,0)</f>
        <v>#DIV/0!</v>
      </c>
      <c r="F29" s="1489" t="s">
        <v>1695</v>
      </c>
      <c r="G29" s="1490"/>
      <c r="H29" s="1490"/>
      <c r="I29" s="1490"/>
      <c r="J29" s="1491"/>
      <c r="K29" s="3003"/>
      <c r="L29" s="3003"/>
      <c r="M29" s="3003"/>
      <c r="N29" s="3003"/>
      <c r="O29" s="3003"/>
      <c r="P29" s="1394"/>
      <c r="Q29" s="2177"/>
      <c r="R29" s="2177"/>
      <c r="S29" s="2177"/>
      <c r="T29" s="2177"/>
      <c r="U29" s="2177"/>
      <c r="V29" s="2177"/>
      <c r="W29" s="2761"/>
      <c r="X29" s="2761"/>
      <c r="Y29" s="2761"/>
      <c r="Z29" s="2761"/>
      <c r="AA29" s="2761"/>
      <c r="AB29" s="2177"/>
      <c r="AC29" s="2177"/>
      <c r="AD29" s="2177"/>
      <c r="AE29" s="2177"/>
      <c r="AF29" s="2177"/>
      <c r="AG29" s="2177"/>
      <c r="AH29" s="2177"/>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004"/>
      <c r="L32" s="3004"/>
      <c r="M32" s="3004"/>
      <c r="N32" s="3004"/>
      <c r="O32" s="3004"/>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570" t="s">
        <v>2950</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005"/>
      <c r="L33" s="3005"/>
      <c r="M33" s="3005"/>
      <c r="N33" s="3005"/>
      <c r="O33" s="3005"/>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571"/>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005"/>
      <c r="L34" s="3005"/>
      <c r="M34" s="3005"/>
      <c r="N34" s="3005"/>
      <c r="O34" s="3005"/>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571"/>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005"/>
      <c r="L35" s="3005"/>
      <c r="M35" s="3005"/>
      <c r="N35" s="3005"/>
      <c r="O35" s="3005"/>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572"/>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005"/>
      <c r="L36" s="3005"/>
      <c r="M36" s="3005"/>
      <c r="N36" s="3005"/>
      <c r="O36" s="3005"/>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2996" t="s">
        <v>2974</v>
      </c>
      <c r="C41" s="838" t="e">
        <f>ROUND(POWER(1+E41,H41-G41)*(POWER(1+E41,G41)-1)/(POWER(1+E41,H41)-1),4)</f>
        <v>#DIV/0!</v>
      </c>
      <c r="D41" s="377" t="s">
        <v>2972</v>
      </c>
      <c r="E41" s="2995">
        <f>G20</f>
        <v>0</v>
      </c>
      <c r="F41" s="377" t="s">
        <v>2973</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2242</v>
      </c>
      <c r="G46" s="2392" t="s">
        <v>1011</v>
      </c>
      <c r="H46" s="2375" t="s">
        <v>2409</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1017</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1018</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1020</v>
      </c>
      <c r="B50" s="2923" t="s">
        <v>2927</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1022</v>
      </c>
      <c r="B52" s="2922" t="s">
        <v>2926</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1025</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2243</v>
      </c>
      <c r="G57" s="2392" t="s">
        <v>1011</v>
      </c>
      <c r="H57" s="2375" t="s">
        <v>2409</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1027</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1018</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1020</v>
      </c>
      <c r="B61" s="2923" t="s">
        <v>2928</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1022</v>
      </c>
      <c r="B63" s="2922" t="s">
        <v>2926</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1025</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2244</v>
      </c>
      <c r="G68" s="2392" t="s">
        <v>1011</v>
      </c>
      <c r="H68" s="2375" t="s">
        <v>2409</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1029</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1030</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1031</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1022</v>
      </c>
      <c r="B75" s="2922" t="s">
        <v>2926</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1025</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2245</v>
      </c>
      <c r="G79" s="2392" t="s">
        <v>1011</v>
      </c>
      <c r="H79" s="2375" t="s">
        <v>2409</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1022</v>
      </c>
      <c r="B86" s="2922" t="s">
        <v>2926</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68" t="s">
        <v>1630</v>
      </c>
      <c r="B90" s="3568"/>
      <c r="C90" s="3568"/>
      <c r="D90" s="3568"/>
      <c r="E90" s="3568"/>
      <c r="F90" s="3568"/>
      <c r="G90" s="3568"/>
      <c r="H90" s="3568"/>
      <c r="I90" s="3568"/>
      <c r="J90" s="3568"/>
      <c r="K90" s="2411"/>
      <c r="L90" s="2411"/>
      <c r="M90" s="2411"/>
      <c r="N90" s="2411"/>
    </row>
    <row r="91" spans="1:40">
      <c r="A91" s="3569" t="s">
        <v>1440</v>
      </c>
      <c r="B91" s="3569" t="s">
        <v>1631</v>
      </c>
      <c r="C91" s="1134" t="s">
        <v>1632</v>
      </c>
      <c r="D91" s="1135"/>
      <c r="E91" s="1135"/>
      <c r="F91" s="1135"/>
      <c r="G91" s="1135"/>
      <c r="H91" s="1135"/>
      <c r="I91" s="1135"/>
      <c r="J91" s="1136"/>
      <c r="K91" s="1128"/>
      <c r="L91" s="1128"/>
      <c r="M91" s="1128"/>
      <c r="N91" s="1128"/>
    </row>
    <row r="92" spans="1:40">
      <c r="A92" s="3569"/>
      <c r="B92" s="3569"/>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76" t="s">
        <v>2754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7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7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7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7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7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77"/>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7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76" t="s">
        <v>1634</v>
      </c>
      <c r="B101" s="1141" t="s">
        <v>903</v>
      </c>
      <c r="C101" s="1142">
        <f>$G$3</f>
        <v>1.8306718193906182</v>
      </c>
      <c r="D101" s="1142">
        <f t="shared" ref="D101:N101" si="31">$G$3</f>
        <v>1.8306718193906182</v>
      </c>
      <c r="E101" s="1142">
        <f t="shared" si="31"/>
        <v>1.8306718193906182</v>
      </c>
      <c r="F101" s="1142">
        <f t="shared" si="31"/>
        <v>1.8306718193906182</v>
      </c>
      <c r="G101" s="1142">
        <f t="shared" si="31"/>
        <v>1.8306718193906182</v>
      </c>
      <c r="H101" s="1142">
        <f t="shared" si="31"/>
        <v>1.8306718193906182</v>
      </c>
      <c r="I101" s="1142">
        <f t="shared" si="31"/>
        <v>1.8306718193906182</v>
      </c>
      <c r="J101" s="1142">
        <f t="shared" si="31"/>
        <v>1.8306718193906182</v>
      </c>
      <c r="K101" s="1142">
        <f t="shared" si="31"/>
        <v>1.8306718193906182</v>
      </c>
      <c r="L101" s="1142">
        <f t="shared" si="31"/>
        <v>1.8306718193906182</v>
      </c>
      <c r="M101" s="1142">
        <f t="shared" si="31"/>
        <v>1.8306718193906182</v>
      </c>
      <c r="N101" s="1142">
        <f t="shared" si="31"/>
        <v>1.8306718193906182</v>
      </c>
    </row>
    <row r="102" spans="1:14">
      <c r="A102" s="3577"/>
      <c r="B102" s="1137">
        <v>1</v>
      </c>
      <c r="C102" s="1138">
        <f>1.9362/C101</f>
        <v>1.0576445103331023</v>
      </c>
      <c r="D102" s="1138">
        <f>1.9362/D101</f>
        <v>1.0576445103331023</v>
      </c>
      <c r="E102" s="1138">
        <f>1.8629/E101</f>
        <v>1.0176045647657972</v>
      </c>
      <c r="F102" s="1138">
        <f>1.8629/F101</f>
        <v>1.0176045647657972</v>
      </c>
      <c r="G102" s="1138">
        <f>1.8629/G101</f>
        <v>1.0176045647657972</v>
      </c>
      <c r="H102" s="1138">
        <f>1.8629/H101</f>
        <v>1.0176045647657972</v>
      </c>
      <c r="I102" s="1138">
        <f>1.8629/I101</f>
        <v>1.0176045647657972</v>
      </c>
      <c r="J102" s="1138">
        <f>1.942/J101</f>
        <v>1.0608127461351538</v>
      </c>
      <c r="K102" s="1138">
        <f>1.942/K101</f>
        <v>1.0608127461351538</v>
      </c>
      <c r="L102" s="1138">
        <f>1.942/L101</f>
        <v>1.0608127461351538</v>
      </c>
      <c r="M102" s="1138">
        <f>1.942/M101</f>
        <v>1.0608127461351538</v>
      </c>
      <c r="N102" s="1138">
        <f>1.942/N101</f>
        <v>1.0608127461351538</v>
      </c>
    </row>
    <row r="103" spans="1:14">
      <c r="A103" s="3577"/>
      <c r="B103" s="1137">
        <v>2</v>
      </c>
      <c r="C103" s="1138">
        <f>1.4198/C101</f>
        <v>0.77556227444010883</v>
      </c>
      <c r="D103" s="1138">
        <f>1.4198/D101</f>
        <v>0.77556227444010883</v>
      </c>
      <c r="E103" s="1138">
        <f>1.3372/E101</f>
        <v>0.73044222663847969</v>
      </c>
      <c r="F103" s="1138">
        <f>1.3372/F101</f>
        <v>0.73044222663847969</v>
      </c>
      <c r="G103" s="1138">
        <f>1.3372/G101</f>
        <v>0.73044222663847969</v>
      </c>
      <c r="H103" s="1138">
        <f>1.3372/H101</f>
        <v>0.73044222663847969</v>
      </c>
      <c r="I103" s="1138">
        <f>1.3372/I101</f>
        <v>0.73044222663847969</v>
      </c>
      <c r="J103" s="1138">
        <f>1.2799/J101</f>
        <v>0.69914224190441987</v>
      </c>
      <c r="K103" s="1138">
        <f>1.2799/K101</f>
        <v>0.69914224190441987</v>
      </c>
      <c r="L103" s="1138">
        <f>1.2799/L101</f>
        <v>0.69914224190441987</v>
      </c>
      <c r="M103" s="1138">
        <f>1.2799/M101</f>
        <v>0.69914224190441987</v>
      </c>
      <c r="N103" s="1138">
        <f>1.2799/N101</f>
        <v>0.69914224190441987</v>
      </c>
    </row>
    <row r="104" spans="1:14">
      <c r="A104" s="3577"/>
      <c r="B104" s="1137">
        <v>3</v>
      </c>
      <c r="C104" s="1138">
        <f>1.1594/C101</f>
        <v>0.63331941187904084</v>
      </c>
      <c r="D104" s="1138">
        <f>1.1594/D101</f>
        <v>0.63331941187904084</v>
      </c>
      <c r="E104" s="1138">
        <f>1.0788/E101</f>
        <v>0.58929185918156746</v>
      </c>
      <c r="F104" s="1138">
        <f>1.0788/F101</f>
        <v>0.58929185918156746</v>
      </c>
      <c r="G104" s="1138">
        <f>1.0788/G101</f>
        <v>0.58929185918156746</v>
      </c>
      <c r="H104" s="1138">
        <f>1.0788/H101</f>
        <v>0.58929185918156746</v>
      </c>
      <c r="I104" s="1138">
        <f>1.0788/I101</f>
        <v>0.58929185918156746</v>
      </c>
      <c r="J104" s="1138">
        <f>1.0072/J101</f>
        <v>0.55018053445279458</v>
      </c>
      <c r="K104" s="1138">
        <f>1.0072/K101</f>
        <v>0.55018053445279458</v>
      </c>
      <c r="L104" s="1138">
        <f>1.0072/L101</f>
        <v>0.55018053445279458</v>
      </c>
      <c r="M104" s="1138">
        <f>1.0072/M101</f>
        <v>0.55018053445279458</v>
      </c>
      <c r="N104" s="1138">
        <f>1.0072/N101</f>
        <v>0.55018053445279458</v>
      </c>
    </row>
    <row r="105" spans="1:14">
      <c r="A105" s="3577"/>
      <c r="B105" s="1137">
        <v>4</v>
      </c>
      <c r="C105" s="1138">
        <f>0.9622/C101</f>
        <v>0.52559939460929195</v>
      </c>
      <c r="D105" s="1138">
        <f>0.9622/D101</f>
        <v>0.52559939460929195</v>
      </c>
      <c r="E105" s="1138">
        <f>0.8656/E101</f>
        <v>0.47283188107857321</v>
      </c>
      <c r="F105" s="1138">
        <f>0.8656/F101</f>
        <v>0.47283188107857321</v>
      </c>
      <c r="G105" s="1138">
        <f>0.8656/G101</f>
        <v>0.47283188107857321</v>
      </c>
      <c r="H105" s="1138">
        <f>0.8656/H101</f>
        <v>0.47283188107857321</v>
      </c>
      <c r="I105" s="1138">
        <f>0.8656/I101</f>
        <v>0.47283188107857321</v>
      </c>
      <c r="J105" s="1138">
        <f>0.7525/J101</f>
        <v>0.41105128293857013</v>
      </c>
      <c r="K105" s="1138">
        <f>0.7525/K101</f>
        <v>0.41105128293857013</v>
      </c>
      <c r="L105" s="1138">
        <f>0.7525/L101</f>
        <v>0.41105128293857013</v>
      </c>
      <c r="M105" s="1138">
        <f>0.7525/M101</f>
        <v>0.41105128293857013</v>
      </c>
      <c r="N105" s="1138">
        <f>0.7525/N101</f>
        <v>0.41105128293857013</v>
      </c>
    </row>
    <row r="106" spans="1:14">
      <c r="A106" s="3577"/>
      <c r="B106" s="1137">
        <v>5</v>
      </c>
      <c r="C106" s="1138">
        <f>0.8417/C101</f>
        <v>0.45977656458391297</v>
      </c>
      <c r="D106" s="1138">
        <f>0.8417/D101</f>
        <v>0.45977656458391297</v>
      </c>
      <c r="E106" s="1138">
        <f>0.7371/E101</f>
        <v>0.40263907063657151</v>
      </c>
      <c r="F106" s="1138">
        <f>0.7371/F101</f>
        <v>0.40263907063657151</v>
      </c>
      <c r="G106" s="1138">
        <f>0.7371/G101</f>
        <v>0.40263907063657151</v>
      </c>
      <c r="H106" s="1138">
        <f>0.7371/H101</f>
        <v>0.40263907063657151</v>
      </c>
      <c r="I106" s="1138">
        <f>0.7371/I101</f>
        <v>0.40263907063657151</v>
      </c>
      <c r="J106" s="1138">
        <f>0.5659/J101</f>
        <v>0.3091214897208463</v>
      </c>
      <c r="K106" s="1138">
        <f>0.5659/K101</f>
        <v>0.3091214897208463</v>
      </c>
      <c r="L106" s="1138">
        <f>0.5659/L101</f>
        <v>0.3091214897208463</v>
      </c>
      <c r="M106" s="1138">
        <f>0.5659/M101</f>
        <v>0.3091214897208463</v>
      </c>
      <c r="N106" s="1138">
        <f>0.5659/N101</f>
        <v>0.3091214897208463</v>
      </c>
    </row>
    <row r="107" spans="1:14">
      <c r="A107" s="3577"/>
      <c r="B107" s="1137">
        <v>6</v>
      </c>
      <c r="C107" s="1138">
        <f>0.7608/C101</f>
        <v>0.41558513762081623</v>
      </c>
      <c r="D107" s="1138">
        <f>0.7608/D101</f>
        <v>0.41558513762081623</v>
      </c>
      <c r="E107" s="1138">
        <f>0.6482/E101</f>
        <v>0.35407766325685208</v>
      </c>
      <c r="F107" s="1138">
        <f>0.6482/F101</f>
        <v>0.35407766325685208</v>
      </c>
      <c r="G107" s="1138">
        <f>0.6482/G101</f>
        <v>0.35407766325685208</v>
      </c>
      <c r="H107" s="1138">
        <f>0.6482/H101</f>
        <v>0.35407766325685208</v>
      </c>
      <c r="I107" s="1138">
        <f>0.6482/I101</f>
        <v>0.35407766325685208</v>
      </c>
      <c r="J107" s="1138">
        <f>0.4525/J101</f>
        <v>0.24717701731521993</v>
      </c>
      <c r="K107" s="1138">
        <f>0.4525/K101</f>
        <v>0.24717701731521993</v>
      </c>
      <c r="L107" s="1138">
        <f>0.4525/L101</f>
        <v>0.24717701731521993</v>
      </c>
      <c r="M107" s="1138">
        <f>0.4525/M101</f>
        <v>0.24717701731521993</v>
      </c>
      <c r="N107" s="1138">
        <f>0.4525/N101</f>
        <v>0.24717701731521993</v>
      </c>
    </row>
    <row r="108" spans="1:14">
      <c r="A108" s="3577"/>
      <c r="B108" s="3579"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78"/>
      <c r="B109" s="3580"/>
      <c r="C109" s="1140">
        <f>(-0.163*(C108^2)-0.59*C108+7617)*(10^(-4))/C101</f>
        <v>0.41524908612677791</v>
      </c>
      <c r="D109" s="1140">
        <f>(-0.163*(D108^2)-0.59*D108+7617)*(10^(-4))/D101</f>
        <v>0.41524908612677791</v>
      </c>
      <c r="E109" s="1140">
        <f>(-0.161*(E108^2)-7.509*E108+6533)*(10^(-4))/E101</f>
        <v>0.35301925399994605</v>
      </c>
      <c r="F109" s="1140">
        <f>(-0.161*(F108^2)-7.509*F108+6533)*(10^(-4))/F101</f>
        <v>0.35301925399994605</v>
      </c>
      <c r="G109" s="1140">
        <f>(-0.161*(G108^2)-7.509*G108+6533)*(10^(-4))/G101</f>
        <v>0.35301925399994605</v>
      </c>
      <c r="H109" s="1140">
        <f>(-0.161*(H108^2)-7.509*H108+6533)*(10^(-4))/H101</f>
        <v>0.35301925399994605</v>
      </c>
      <c r="I109" s="1140">
        <f>(-0.161*(I108^2)-7.509*I108+6533)*(10^(-4))/I101</f>
        <v>0.35301925399994605</v>
      </c>
      <c r="J109" s="1140">
        <f>(-0.214*(J108^2)-21.991*J108+4665)*(10^(-4))/J101</f>
        <v>0.24446631846278891</v>
      </c>
      <c r="K109" s="1140">
        <f>(-0.214*(K108^2)-21.991*K108+4665)*(10^(-4))/K101</f>
        <v>0.24446631846278891</v>
      </c>
      <c r="L109" s="1140">
        <f>(-0.214*(L108^2)-21.991*L108+4665)*(10^(-4))/L101</f>
        <v>0.24446631846278891</v>
      </c>
      <c r="M109" s="1140">
        <f>(-0.214*(M108^2)-21.991*M108+4665)*(10^(-4))/M101</f>
        <v>0.24446631846278891</v>
      </c>
      <c r="N109" s="1140">
        <f>(-0.214*(N108^2)-21.991*N108+4665)*(10^(-4))/N101</f>
        <v>0.24446631846278891</v>
      </c>
    </row>
    <row r="110" spans="1:14">
      <c r="A110" s="3562" t="s">
        <v>1636</v>
      </c>
      <c r="B110" s="3562"/>
      <c r="C110" s="3562"/>
      <c r="D110" s="3562"/>
      <c r="E110" s="3562"/>
      <c r="F110" s="3562"/>
      <c r="G110" s="3562"/>
      <c r="H110" s="3562"/>
      <c r="I110" s="3562"/>
      <c r="J110" s="3562"/>
      <c r="K110" s="2409"/>
      <c r="L110" s="2409"/>
      <c r="M110" s="2409"/>
      <c r="N110" s="2409"/>
    </row>
    <row r="112" spans="1:14" ht="12.75" thickBot="1"/>
    <row r="113" spans="1:13" ht="25.5" thickBot="1">
      <c r="A113" s="1014" t="s">
        <v>893</v>
      </c>
      <c r="B113" s="2412">
        <f>G3</f>
        <v>1.8306718193906182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0.9163</v>
      </c>
      <c r="C115" s="1028">
        <f>B115</f>
        <v>0.9163</v>
      </c>
      <c r="D115" s="1028">
        <f>ROUND(0.8331-0.0109*B113,4)</f>
        <v>0.81310000000000004</v>
      </c>
      <c r="E115" s="1028">
        <f>D115</f>
        <v>0.81310000000000004</v>
      </c>
      <c r="F115" s="1028">
        <f>E115</f>
        <v>0.81310000000000004</v>
      </c>
      <c r="G115" s="1028">
        <f>F115</f>
        <v>0.81310000000000004</v>
      </c>
      <c r="H115" s="1028">
        <f>G115</f>
        <v>0.81310000000000004</v>
      </c>
      <c r="I115" s="1028">
        <f>ROUND(0.689-0.0155*B113,4)</f>
        <v>0.66059999999999997</v>
      </c>
      <c r="J115" s="1028">
        <f t="shared" ref="J115:M118" si="33">I115</f>
        <v>0.66059999999999997</v>
      </c>
      <c r="K115" s="1028">
        <f t="shared" si="33"/>
        <v>0.66059999999999997</v>
      </c>
      <c r="L115" s="1028">
        <f t="shared" si="33"/>
        <v>0.66059999999999997</v>
      </c>
      <c r="M115" s="1029">
        <f t="shared" si="33"/>
        <v>0.66059999999999997</v>
      </c>
    </row>
    <row r="116" spans="1:13" ht="12.75">
      <c r="A116" s="1027" t="s">
        <v>898</v>
      </c>
      <c r="B116" s="1028">
        <f>ROUND(0.949-0.012*B113,4)</f>
        <v>0.92700000000000005</v>
      </c>
      <c r="C116" s="1028">
        <f>B116</f>
        <v>0.92700000000000005</v>
      </c>
      <c r="D116" s="1028">
        <f>ROUND(0.8567-0.013*B113,4)</f>
        <v>0.83289999999999997</v>
      </c>
      <c r="E116" s="1028">
        <f t="shared" ref="E116:H117" si="34">D116</f>
        <v>0.83289999999999997</v>
      </c>
      <c r="F116" s="1028">
        <f t="shared" si="34"/>
        <v>0.83289999999999997</v>
      </c>
      <c r="G116" s="1028">
        <f t="shared" si="34"/>
        <v>0.83289999999999997</v>
      </c>
      <c r="H116" s="1028">
        <f t="shared" si="34"/>
        <v>0.83289999999999997</v>
      </c>
      <c r="I116" s="1028">
        <f>ROUND(0.7694-0.014*B113,4)</f>
        <v>0.74380000000000002</v>
      </c>
      <c r="J116" s="1028">
        <f t="shared" si="33"/>
        <v>0.74380000000000002</v>
      </c>
      <c r="K116" s="1028">
        <f t="shared" si="33"/>
        <v>0.74380000000000002</v>
      </c>
      <c r="L116" s="1028">
        <f t="shared" si="33"/>
        <v>0.74380000000000002</v>
      </c>
      <c r="M116" s="1029">
        <f t="shared" si="33"/>
        <v>0.74380000000000002</v>
      </c>
    </row>
    <row r="117" spans="1:13" ht="12.75">
      <c r="A117" s="1030" t="s">
        <v>899</v>
      </c>
      <c r="B117" s="1028">
        <f>ROUND(0.8808-0.006*B113,4)</f>
        <v>0.86980000000000002</v>
      </c>
      <c r="C117" s="1028">
        <f>B117</f>
        <v>0.86980000000000002</v>
      </c>
      <c r="D117" s="1028">
        <f>ROUND(0.8748-0.008*B113,4)</f>
        <v>0.86019999999999996</v>
      </c>
      <c r="E117" s="1028">
        <f t="shared" si="34"/>
        <v>0.86019999999999996</v>
      </c>
      <c r="F117" s="1028">
        <f t="shared" si="34"/>
        <v>0.86019999999999996</v>
      </c>
      <c r="G117" s="1028">
        <f t="shared" si="34"/>
        <v>0.86019999999999996</v>
      </c>
      <c r="H117" s="1028">
        <f t="shared" si="34"/>
        <v>0.86019999999999996</v>
      </c>
      <c r="I117" s="1028">
        <f>ROUND(0.7412-0.0095*B113,4)</f>
        <v>0.7238</v>
      </c>
      <c r="J117" s="1028">
        <f t="shared" si="33"/>
        <v>0.7238</v>
      </c>
      <c r="K117" s="1028">
        <f t="shared" si="33"/>
        <v>0.7238</v>
      </c>
      <c r="L117" s="1028">
        <f t="shared" si="33"/>
        <v>0.7238</v>
      </c>
      <c r="M117" s="1029">
        <f t="shared" si="33"/>
        <v>0.7238</v>
      </c>
    </row>
    <row r="118" spans="1:13" ht="13.5" thickBot="1">
      <c r="A118" s="1031" t="s">
        <v>900</v>
      </c>
      <c r="B118" s="1032">
        <f>ROUND(0.7275-0.01*B113,4)</f>
        <v>0.70920000000000005</v>
      </c>
      <c r="C118" s="1032">
        <f>B118</f>
        <v>0.70920000000000005</v>
      </c>
      <c r="D118" s="1032">
        <f>ROUND(0.7043-0.012*B113,4)</f>
        <v>0.68230000000000002</v>
      </c>
      <c r="E118" s="1032">
        <f>D118</f>
        <v>0.68230000000000002</v>
      </c>
      <c r="F118" s="1032">
        <f>E118</f>
        <v>0.68230000000000002</v>
      </c>
      <c r="G118" s="1032">
        <f>ROUND(0.6299-0.0122*B113,4)</f>
        <v>0.60760000000000003</v>
      </c>
      <c r="H118" s="1032">
        <f>G118</f>
        <v>0.60760000000000003</v>
      </c>
      <c r="I118" s="1032">
        <f>ROUND(0.5667-0.0136*B113,4)</f>
        <v>0.54179999999999995</v>
      </c>
      <c r="J118" s="1032">
        <f t="shared" si="33"/>
        <v>0.54179999999999995</v>
      </c>
      <c r="K118" s="1032">
        <f t="shared" si="33"/>
        <v>0.54179999999999995</v>
      </c>
      <c r="L118" s="1032">
        <f t="shared" si="33"/>
        <v>0.54179999999999995</v>
      </c>
      <c r="M118" s="1033">
        <f t="shared" si="33"/>
        <v>0.54179999999999995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5" t="s">
        <v>2977</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 t="shared" ref="J15:M15" si="1">SUM(J6:J10,J13)</f>
        <v>155</v>
      </c>
      <c r="K15" s="2937">
        <f t="shared" si="1"/>
        <v>155</v>
      </c>
      <c r="L15" s="2937">
        <f t="shared" si="1"/>
        <v>155</v>
      </c>
      <c r="M15" s="2937">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69" t="s">
        <v>1004</v>
      </c>
      <c r="B18" s="1148" t="s">
        <v>1443</v>
      </c>
      <c r="C18" s="1125" t="s">
        <v>1444</v>
      </c>
      <c r="D18" s="1126"/>
      <c r="E18" s="1148">
        <v>1</v>
      </c>
      <c r="F18" s="1127" t="s">
        <v>1445</v>
      </c>
      <c r="G18" s="1128"/>
      <c r="H18" s="1099"/>
      <c r="I18" s="1099"/>
    </row>
    <row r="19" spans="1:9" s="1581" customFormat="1" ht="19.5" customHeight="1">
      <c r="A19" s="3569"/>
      <c r="B19" s="3569" t="s">
        <v>1446</v>
      </c>
      <c r="C19" s="1125" t="s">
        <v>1447</v>
      </c>
      <c r="D19" s="1126"/>
      <c r="E19" s="1148">
        <v>0.9</v>
      </c>
      <c r="F19" s="1127" t="s">
        <v>1448</v>
      </c>
      <c r="G19" s="1128"/>
      <c r="H19" s="1099"/>
      <c r="I19" s="1099"/>
    </row>
    <row r="20" spans="1:9" s="1581" customFormat="1" ht="19.5" customHeight="1">
      <c r="A20" s="3569"/>
      <c r="B20" s="3569"/>
      <c r="C20" s="1125" t="s">
        <v>1449</v>
      </c>
      <c r="D20" s="1126"/>
      <c r="E20" s="1148">
        <v>1.1000000000000001</v>
      </c>
      <c r="F20" s="1127" t="s">
        <v>1450</v>
      </c>
      <c r="G20" s="1128"/>
      <c r="H20" s="1099"/>
      <c r="I20" s="1099"/>
    </row>
    <row r="21" spans="1:9" s="1581" customFormat="1" ht="19.5" customHeight="1">
      <c r="A21" s="3569"/>
      <c r="B21" s="3569"/>
      <c r="C21" s="1125" t="s">
        <v>1451</v>
      </c>
      <c r="D21" s="1126"/>
      <c r="E21" s="1148">
        <v>0.8</v>
      </c>
      <c r="F21" s="1127" t="s">
        <v>1452</v>
      </c>
      <c r="G21" s="1128"/>
      <c r="H21" s="1099"/>
      <c r="I21" s="1099"/>
    </row>
    <row r="22" spans="1:9" s="1581" customFormat="1" ht="19.5" customHeight="1">
      <c r="A22" s="3569"/>
      <c r="B22" s="3569"/>
      <c r="C22" s="1125" t="s">
        <v>1453</v>
      </c>
      <c r="D22" s="1126"/>
      <c r="E22" s="1148">
        <v>0.5</v>
      </c>
      <c r="F22" s="1127"/>
      <c r="G22" s="1128"/>
      <c r="H22" s="1099"/>
      <c r="I22" s="1099"/>
    </row>
    <row r="23" spans="1:9" s="1581" customFormat="1" ht="19.5" customHeight="1">
      <c r="A23" s="3569" t="s">
        <v>1026</v>
      </c>
      <c r="B23" s="1148" t="s">
        <v>1443</v>
      </c>
      <c r="C23" s="1125" t="s">
        <v>1454</v>
      </c>
      <c r="D23" s="1126"/>
      <c r="E23" s="1148">
        <v>1</v>
      </c>
      <c r="F23" s="1127" t="s">
        <v>1455</v>
      </c>
      <c r="G23" s="1128"/>
      <c r="H23" s="1099"/>
      <c r="I23" s="1099"/>
    </row>
    <row r="24" spans="1:9" s="1581" customFormat="1" ht="19.5" customHeight="1">
      <c r="A24" s="3569"/>
      <c r="B24" s="3569" t="s">
        <v>1446</v>
      </c>
      <c r="C24" s="1125" t="s">
        <v>1456</v>
      </c>
      <c r="D24" s="1126"/>
      <c r="E24" s="1148">
        <v>0.5</v>
      </c>
      <c r="F24" s="1127"/>
      <c r="G24" s="1128"/>
      <c r="H24" s="1099"/>
      <c r="I24" s="1099"/>
    </row>
    <row r="25" spans="1:9" s="1581" customFormat="1" ht="19.5" customHeight="1">
      <c r="A25" s="3569"/>
      <c r="B25" s="3569"/>
      <c r="C25" s="1125" t="s">
        <v>1457</v>
      </c>
      <c r="D25" s="1126"/>
      <c r="E25" s="1148">
        <v>1.1000000000000001</v>
      </c>
      <c r="F25" s="1127"/>
      <c r="G25" s="1128"/>
      <c r="H25" s="1099"/>
      <c r="I25" s="1099"/>
    </row>
    <row r="26" spans="1:9" s="1581" customFormat="1" ht="19.5" customHeight="1">
      <c r="A26" s="3569"/>
      <c r="B26" s="3569"/>
      <c r="C26" s="1125" t="s">
        <v>1458</v>
      </c>
      <c r="D26" s="1126"/>
      <c r="E26" s="1148">
        <v>1.1000000000000001</v>
      </c>
      <c r="F26" s="1127"/>
      <c r="G26" s="1128"/>
      <c r="H26" s="1099"/>
      <c r="I26" s="1099"/>
    </row>
    <row r="27" spans="1:9" s="1581" customFormat="1" ht="19.5" customHeight="1">
      <c r="A27" s="3569"/>
      <c r="B27" s="3569"/>
      <c r="C27" s="1125" t="s">
        <v>1459</v>
      </c>
      <c r="D27" s="1126"/>
      <c r="E27" s="1148">
        <v>0.9</v>
      </c>
      <c r="F27" s="1127" t="s">
        <v>1460</v>
      </c>
      <c r="G27" s="1128"/>
      <c r="H27" s="1099"/>
      <c r="I27" s="1099"/>
    </row>
    <row r="28" spans="1:9" s="1581" customFormat="1" ht="19.5" customHeight="1">
      <c r="A28" s="3569"/>
      <c r="B28" s="3569"/>
      <c r="C28" s="1125" t="s">
        <v>1461</v>
      </c>
      <c r="D28" s="1126"/>
      <c r="E28" s="1148">
        <v>0.9</v>
      </c>
      <c r="F28" s="1127" t="s">
        <v>1462</v>
      </c>
      <c r="G28" s="1128"/>
      <c r="H28" s="1099"/>
      <c r="I28" s="1099"/>
    </row>
    <row r="29" spans="1:9" s="1581" customFormat="1" ht="19.5" customHeight="1">
      <c r="A29" s="3569"/>
      <c r="B29" s="3569"/>
      <c r="C29" s="1125" t="s">
        <v>1463</v>
      </c>
      <c r="D29" s="1126"/>
      <c r="E29" s="1148">
        <v>0.9</v>
      </c>
      <c r="F29" s="1127" t="s">
        <v>1464</v>
      </c>
      <c r="G29" s="1128"/>
      <c r="H29" s="1099"/>
      <c r="I29" s="1099"/>
    </row>
    <row r="30" spans="1:9" s="1581" customFormat="1" ht="19.5" customHeight="1">
      <c r="A30" s="3569"/>
      <c r="B30" s="3569"/>
      <c r="C30" s="1125" t="s">
        <v>1465</v>
      </c>
      <c r="D30" s="1126"/>
      <c r="E30" s="1148">
        <v>0.9</v>
      </c>
      <c r="F30" s="1127" t="s">
        <v>1466</v>
      </c>
      <c r="G30" s="1128"/>
      <c r="H30" s="1099"/>
      <c r="I30" s="1099"/>
    </row>
    <row r="31" spans="1:9" s="1581" customFormat="1" ht="19.5" customHeight="1">
      <c r="A31" s="3569"/>
      <c r="B31" s="3569"/>
      <c r="C31" s="1125" t="s">
        <v>1467</v>
      </c>
      <c r="D31" s="1126"/>
      <c r="E31" s="1148">
        <v>0.8</v>
      </c>
      <c r="F31" s="1127" t="s">
        <v>1468</v>
      </c>
      <c r="G31" s="1128"/>
      <c r="H31" s="1099"/>
      <c r="I31" s="1099"/>
    </row>
    <row r="32" spans="1:9" s="1581" customFormat="1" ht="19.5" customHeight="1">
      <c r="A32" s="3569"/>
      <c r="B32" s="3569"/>
      <c r="C32" s="1125" t="s">
        <v>1469</v>
      </c>
      <c r="D32" s="1126"/>
      <c r="E32" s="1148">
        <v>0.8</v>
      </c>
      <c r="F32" s="1127" t="s">
        <v>1470</v>
      </c>
      <c r="G32" s="1128"/>
      <c r="H32" s="1099"/>
      <c r="I32" s="1099"/>
    </row>
    <row r="33" spans="1:9" s="1581" customFormat="1" ht="19.5" customHeight="1">
      <c r="A33" s="3569" t="s">
        <v>1471</v>
      </c>
      <c r="B33" s="1148" t="s">
        <v>1443</v>
      </c>
      <c r="C33" s="1125" t="s">
        <v>1472</v>
      </c>
      <c r="D33" s="1126"/>
      <c r="E33" s="1148">
        <v>1</v>
      </c>
      <c r="F33" s="1127" t="s">
        <v>1473</v>
      </c>
      <c r="G33" s="1128"/>
      <c r="H33" s="1099"/>
      <c r="I33" s="1099"/>
    </row>
    <row r="34" spans="1:9" s="1581" customFormat="1" ht="19.5" customHeight="1">
      <c r="A34" s="3569"/>
      <c r="B34" s="1148" t="s">
        <v>1446</v>
      </c>
      <c r="C34" s="1125" t="s">
        <v>1474</v>
      </c>
      <c r="D34" s="1126"/>
      <c r="E34" s="1148">
        <v>1.5</v>
      </c>
      <c r="F34" s="1127" t="s">
        <v>1475</v>
      </c>
      <c r="G34" s="1128"/>
      <c r="H34" s="1099"/>
      <c r="I34" s="1099"/>
    </row>
    <row r="35" spans="1:9" s="1581" customFormat="1" ht="19.5" customHeight="1">
      <c r="A35" s="3569" t="s">
        <v>1429</v>
      </c>
      <c r="B35" s="1148" t="s">
        <v>1443</v>
      </c>
      <c r="C35" s="1125" t="s">
        <v>1476</v>
      </c>
      <c r="D35" s="1126"/>
      <c r="E35" s="1148">
        <v>1</v>
      </c>
      <c r="F35" s="1127" t="s">
        <v>1477</v>
      </c>
      <c r="G35" s="1128"/>
      <c r="H35" s="1099"/>
      <c r="I35" s="1099"/>
    </row>
    <row r="36" spans="1:9" s="1581" customFormat="1" ht="19.5" customHeight="1">
      <c r="A36" s="3569"/>
      <c r="B36" s="3569" t="s">
        <v>1446</v>
      </c>
      <c r="C36" s="1125" t="s">
        <v>1478</v>
      </c>
      <c r="D36" s="1126"/>
      <c r="E36" s="1148">
        <v>1</v>
      </c>
      <c r="F36" s="1127" t="s">
        <v>1479</v>
      </c>
      <c r="G36" s="1128"/>
      <c r="H36" s="1099"/>
      <c r="I36" s="1099"/>
    </row>
    <row r="37" spans="1:9" s="1581" customFormat="1" ht="19.5" customHeight="1">
      <c r="A37" s="3569"/>
      <c r="B37" s="3569"/>
      <c r="C37" s="1125" t="s">
        <v>1480</v>
      </c>
      <c r="D37" s="1126"/>
      <c r="E37" s="1148">
        <v>1.5</v>
      </c>
      <c r="F37" s="1127" t="s">
        <v>1481</v>
      </c>
      <c r="G37" s="1128"/>
      <c r="H37" s="1099"/>
      <c r="I37" s="1099"/>
    </row>
    <row r="38" spans="1:9" s="1581" customFormat="1" ht="19.5" customHeight="1">
      <c r="A38" s="3569"/>
      <c r="B38" s="3569"/>
      <c r="C38" s="1125" t="s">
        <v>1482</v>
      </c>
      <c r="D38" s="1126"/>
      <c r="E38" s="1148">
        <v>1</v>
      </c>
      <c r="F38" s="1127" t="s">
        <v>1483</v>
      </c>
      <c r="G38" s="1128"/>
      <c r="H38" s="1099"/>
      <c r="I38" s="1099"/>
    </row>
    <row r="39" spans="1:9" s="1581" customFormat="1" ht="19.5" customHeight="1">
      <c r="A39" s="3569"/>
      <c r="B39" s="3569"/>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569" t="s">
        <v>1498</v>
      </c>
      <c r="C61" s="1062" t="s">
        <v>1499</v>
      </c>
      <c r="D61" s="1062" t="s">
        <v>1500</v>
      </c>
      <c r="E61" s="1133">
        <v>0.5</v>
      </c>
      <c r="F61" s="1148">
        <v>80</v>
      </c>
      <c r="H61" s="1099">
        <f>SUMIF(C59:C119,基准地价!C8,E59:E119)</f>
        <v>0</v>
      </c>
    </row>
    <row r="62" spans="1:8" s="1099" customFormat="1" ht="24">
      <c r="A62" s="1148">
        <v>2</v>
      </c>
      <c r="B62" s="3569"/>
      <c r="C62" s="1062" t="s">
        <v>1501</v>
      </c>
      <c r="D62" s="1062" t="s">
        <v>1502</v>
      </c>
      <c r="E62" s="1133">
        <v>0.5</v>
      </c>
      <c r="F62" s="1148">
        <v>80</v>
      </c>
    </row>
    <row r="63" spans="1:8" s="1099" customFormat="1" ht="36">
      <c r="A63" s="1148">
        <v>3</v>
      </c>
      <c r="B63" s="3569"/>
      <c r="C63" s="1062" t="s">
        <v>1503</v>
      </c>
      <c r="D63" s="1062" t="s">
        <v>1504</v>
      </c>
      <c r="E63" s="1133">
        <v>0.5</v>
      </c>
      <c r="F63" s="1148">
        <v>80</v>
      </c>
    </row>
    <row r="64" spans="1:8" s="1099" customFormat="1" ht="36">
      <c r="A64" s="1148">
        <v>4</v>
      </c>
      <c r="B64" s="3569"/>
      <c r="C64" s="1062" t="s">
        <v>1505</v>
      </c>
      <c r="D64" s="1062" t="s">
        <v>1506</v>
      </c>
      <c r="E64" s="1133">
        <v>0.4</v>
      </c>
      <c r="F64" s="1148">
        <v>60</v>
      </c>
    </row>
    <row r="65" spans="1:6" s="1099" customFormat="1" ht="36">
      <c r="A65" s="1148">
        <v>5</v>
      </c>
      <c r="B65" s="3569"/>
      <c r="C65" s="1062" t="s">
        <v>1507</v>
      </c>
      <c r="D65" s="1062" t="s">
        <v>1508</v>
      </c>
      <c r="E65" s="1133">
        <v>0.2</v>
      </c>
      <c r="F65" s="1148">
        <v>30</v>
      </c>
    </row>
    <row r="66" spans="1:6" s="1099" customFormat="1" ht="36">
      <c r="A66" s="1148">
        <v>6</v>
      </c>
      <c r="B66" s="3569"/>
      <c r="C66" s="1062" t="s">
        <v>1509</v>
      </c>
      <c r="D66" s="1062" t="s">
        <v>1510</v>
      </c>
      <c r="E66" s="1133">
        <v>0.3</v>
      </c>
      <c r="F66" s="1148">
        <v>50</v>
      </c>
    </row>
    <row r="67" spans="1:6" s="1099" customFormat="1" ht="36">
      <c r="A67" s="1148">
        <v>7</v>
      </c>
      <c r="B67" s="3569"/>
      <c r="C67" s="1062" t="s">
        <v>1511</v>
      </c>
      <c r="D67" s="1062" t="s">
        <v>1512</v>
      </c>
      <c r="E67" s="1133">
        <v>0.2</v>
      </c>
      <c r="F67" s="1148">
        <v>30</v>
      </c>
    </row>
    <row r="68" spans="1:6" s="1099" customFormat="1" ht="36">
      <c r="A68" s="1148">
        <v>8</v>
      </c>
      <c r="B68" s="3569"/>
      <c r="C68" s="1062" t="s">
        <v>1513</v>
      </c>
      <c r="D68" s="1062" t="s">
        <v>1514</v>
      </c>
      <c r="E68" s="1133">
        <v>0.2</v>
      </c>
      <c r="F68" s="1148">
        <v>30</v>
      </c>
    </row>
    <row r="69" spans="1:6" s="1099" customFormat="1" ht="36">
      <c r="A69" s="1148">
        <v>9</v>
      </c>
      <c r="B69" s="3569"/>
      <c r="C69" s="1062" t="s">
        <v>1515</v>
      </c>
      <c r="D69" s="1062" t="s">
        <v>1516</v>
      </c>
      <c r="E69" s="1133">
        <v>0.2</v>
      </c>
      <c r="F69" s="1148">
        <v>30</v>
      </c>
    </row>
    <row r="70" spans="1:6" s="1099" customFormat="1" ht="48">
      <c r="A70" s="1148">
        <v>10</v>
      </c>
      <c r="B70" s="3569"/>
      <c r="C70" s="1062" t="s">
        <v>1517</v>
      </c>
      <c r="D70" s="1062" t="s">
        <v>1518</v>
      </c>
      <c r="E70" s="1133">
        <v>0.2</v>
      </c>
      <c r="F70" s="1148">
        <v>30</v>
      </c>
    </row>
    <row r="71" spans="1:6" s="1099" customFormat="1" ht="48">
      <c r="A71" s="1148">
        <v>11</v>
      </c>
      <c r="B71" s="3569"/>
      <c r="C71" s="1062" t="s">
        <v>1519</v>
      </c>
      <c r="D71" s="1062" t="s">
        <v>1520</v>
      </c>
      <c r="E71" s="1133">
        <v>0.2</v>
      </c>
      <c r="F71" s="1148">
        <v>30</v>
      </c>
    </row>
    <row r="72" spans="1:6" s="1099" customFormat="1" ht="36">
      <c r="A72" s="1148">
        <v>12</v>
      </c>
      <c r="B72" s="3569"/>
      <c r="C72" s="1062" t="s">
        <v>1521</v>
      </c>
      <c r="D72" s="1062" t="s">
        <v>1522</v>
      </c>
      <c r="E72" s="1133">
        <v>0.5</v>
      </c>
      <c r="F72" s="1148">
        <v>80</v>
      </c>
    </row>
    <row r="73" spans="1:6" s="1099" customFormat="1" ht="24">
      <c r="A73" s="1148">
        <v>13</v>
      </c>
      <c r="B73" s="3569"/>
      <c r="C73" s="1062" t="s">
        <v>1523</v>
      </c>
      <c r="D73" s="1062" t="s">
        <v>1524</v>
      </c>
      <c r="E73" s="1133">
        <v>0.4</v>
      </c>
      <c r="F73" s="1148">
        <v>60</v>
      </c>
    </row>
    <row r="74" spans="1:6" s="1099" customFormat="1" ht="24">
      <c r="A74" s="1148">
        <v>14</v>
      </c>
      <c r="B74" s="3569"/>
      <c r="C74" s="1062" t="s">
        <v>1525</v>
      </c>
      <c r="D74" s="1062" t="s">
        <v>1526</v>
      </c>
      <c r="E74" s="1133">
        <v>0.2</v>
      </c>
      <c r="F74" s="1148">
        <v>30</v>
      </c>
    </row>
    <row r="75" spans="1:6" s="1099" customFormat="1" ht="24">
      <c r="A75" s="1148">
        <v>15</v>
      </c>
      <c r="B75" s="3569"/>
      <c r="C75" s="1062" t="s">
        <v>1527</v>
      </c>
      <c r="D75" s="1062" t="s">
        <v>1528</v>
      </c>
      <c r="E75" s="1133">
        <v>0.2</v>
      </c>
      <c r="F75" s="1148">
        <v>30</v>
      </c>
    </row>
    <row r="76" spans="1:6" s="1099" customFormat="1" ht="24">
      <c r="A76" s="1148">
        <v>16</v>
      </c>
      <c r="B76" s="3569" t="s">
        <v>1529</v>
      </c>
      <c r="C76" s="1062" t="s">
        <v>1530</v>
      </c>
      <c r="D76" s="1062" t="s">
        <v>1531</v>
      </c>
      <c r="E76" s="1133">
        <v>0.5</v>
      </c>
      <c r="F76" s="1148">
        <v>80</v>
      </c>
    </row>
    <row r="77" spans="1:6" s="1099" customFormat="1" ht="24">
      <c r="A77" s="1148">
        <v>17</v>
      </c>
      <c r="B77" s="3569"/>
      <c r="C77" s="1062" t="s">
        <v>1532</v>
      </c>
      <c r="D77" s="1062" t="s">
        <v>1533</v>
      </c>
      <c r="E77" s="1133">
        <v>0.5</v>
      </c>
      <c r="F77" s="1148">
        <v>80</v>
      </c>
    </row>
    <row r="78" spans="1:6" s="1099" customFormat="1" ht="24">
      <c r="A78" s="1148">
        <v>18</v>
      </c>
      <c r="B78" s="3569"/>
      <c r="C78" s="1062" t="s">
        <v>1534</v>
      </c>
      <c r="D78" s="1062" t="s">
        <v>1535</v>
      </c>
      <c r="E78" s="1133">
        <v>0.2</v>
      </c>
      <c r="F78" s="1148">
        <v>30</v>
      </c>
    </row>
    <row r="79" spans="1:6" s="1099" customFormat="1" ht="24">
      <c r="A79" s="1148">
        <v>19</v>
      </c>
      <c r="B79" s="3569"/>
      <c r="C79" s="1062" t="s">
        <v>1536</v>
      </c>
      <c r="D79" s="1062" t="s">
        <v>1537</v>
      </c>
      <c r="E79" s="1133">
        <v>0.5</v>
      </c>
      <c r="F79" s="1148">
        <v>80</v>
      </c>
    </row>
    <row r="80" spans="1:6" s="1099" customFormat="1" ht="36">
      <c r="A80" s="1148">
        <v>20</v>
      </c>
      <c r="B80" s="3569"/>
      <c r="C80" s="1062" t="s">
        <v>1538</v>
      </c>
      <c r="D80" s="1062" t="s">
        <v>1539</v>
      </c>
      <c r="E80" s="1133">
        <v>0.2</v>
      </c>
      <c r="F80" s="1148">
        <v>30</v>
      </c>
    </row>
    <row r="81" spans="1:6" s="1099" customFormat="1" ht="36">
      <c r="A81" s="1148">
        <v>21</v>
      </c>
      <c r="B81" s="3569"/>
      <c r="C81" s="1062" t="s">
        <v>1540</v>
      </c>
      <c r="D81" s="1062" t="s">
        <v>1541</v>
      </c>
      <c r="E81" s="1133">
        <v>0.2</v>
      </c>
      <c r="F81" s="1148">
        <v>30</v>
      </c>
    </row>
    <row r="82" spans="1:6" s="1099" customFormat="1" ht="48">
      <c r="A82" s="1148">
        <v>22</v>
      </c>
      <c r="B82" s="3569"/>
      <c r="C82" s="1062" t="s">
        <v>1542</v>
      </c>
      <c r="D82" s="1062" t="s">
        <v>1543</v>
      </c>
      <c r="E82" s="1133">
        <v>0.2</v>
      </c>
      <c r="F82" s="1148">
        <v>30</v>
      </c>
    </row>
    <row r="83" spans="1:6" s="1099" customFormat="1" ht="48">
      <c r="A83" s="1148">
        <v>23</v>
      </c>
      <c r="B83" s="3569"/>
      <c r="C83" s="1062" t="s">
        <v>1544</v>
      </c>
      <c r="D83" s="1062" t="s">
        <v>1545</v>
      </c>
      <c r="E83" s="1133">
        <v>0.2</v>
      </c>
      <c r="F83" s="1148">
        <v>30</v>
      </c>
    </row>
    <row r="84" spans="1:6" s="1099" customFormat="1" ht="36">
      <c r="A84" s="1148">
        <v>24</v>
      </c>
      <c r="B84" s="3569"/>
      <c r="C84" s="1062" t="s">
        <v>1546</v>
      </c>
      <c r="D84" s="1062" t="s">
        <v>1547</v>
      </c>
      <c r="E84" s="1133">
        <v>0.2</v>
      </c>
      <c r="F84" s="1148">
        <v>30</v>
      </c>
    </row>
    <row r="85" spans="1:6" s="1099" customFormat="1" ht="36">
      <c r="A85" s="1148">
        <v>25</v>
      </c>
      <c r="B85" s="3569"/>
      <c r="C85" s="1062" t="s">
        <v>1548</v>
      </c>
      <c r="D85" s="1062" t="s">
        <v>1549</v>
      </c>
      <c r="E85" s="1133">
        <v>0.5</v>
      </c>
      <c r="F85" s="1148">
        <v>80</v>
      </c>
    </row>
    <row r="86" spans="1:6" s="1099" customFormat="1" ht="36">
      <c r="A86" s="1148">
        <v>26</v>
      </c>
      <c r="B86" s="3569"/>
      <c r="C86" s="1062" t="s">
        <v>1550</v>
      </c>
      <c r="D86" s="1062" t="s">
        <v>1551</v>
      </c>
      <c r="E86" s="1133">
        <v>0.2</v>
      </c>
      <c r="F86" s="1148">
        <v>30</v>
      </c>
    </row>
    <row r="87" spans="1:6" s="1099" customFormat="1" ht="36">
      <c r="A87" s="1148">
        <v>27</v>
      </c>
      <c r="B87" s="3569"/>
      <c r="C87" s="1062" t="s">
        <v>1552</v>
      </c>
      <c r="D87" s="1062" t="s">
        <v>1553</v>
      </c>
      <c r="E87" s="1133">
        <v>0.2</v>
      </c>
      <c r="F87" s="1148">
        <v>30</v>
      </c>
    </row>
    <row r="88" spans="1:6" s="1099" customFormat="1" ht="36">
      <c r="A88" s="1148">
        <v>28</v>
      </c>
      <c r="B88" s="3569"/>
      <c r="C88" s="1062" t="s">
        <v>1554</v>
      </c>
      <c r="D88" s="1062" t="s">
        <v>1555</v>
      </c>
      <c r="E88" s="1133">
        <v>0.2</v>
      </c>
      <c r="F88" s="1148">
        <v>30</v>
      </c>
    </row>
    <row r="89" spans="1:6" s="1099" customFormat="1" ht="24">
      <c r="A89" s="1148">
        <v>29</v>
      </c>
      <c r="B89" s="3569"/>
      <c r="C89" s="1062" t="s">
        <v>1556</v>
      </c>
      <c r="D89" s="1062" t="s">
        <v>1557</v>
      </c>
      <c r="E89" s="1133">
        <v>0.2</v>
      </c>
      <c r="F89" s="1148">
        <v>30</v>
      </c>
    </row>
    <row r="90" spans="1:6" s="1099" customFormat="1" ht="24">
      <c r="A90" s="1148">
        <v>30</v>
      </c>
      <c r="B90" s="3569"/>
      <c r="C90" s="1062" t="s">
        <v>1558</v>
      </c>
      <c r="D90" s="1062" t="s">
        <v>1559</v>
      </c>
      <c r="E90" s="1133">
        <v>0.2</v>
      </c>
      <c r="F90" s="1148">
        <v>30</v>
      </c>
    </row>
    <row r="91" spans="1:6" s="1099" customFormat="1" ht="36">
      <c r="A91" s="1148">
        <v>31</v>
      </c>
      <c r="B91" s="3569"/>
      <c r="C91" s="1062" t="s">
        <v>1560</v>
      </c>
      <c r="D91" s="1062" t="s">
        <v>1561</v>
      </c>
      <c r="E91" s="1133">
        <v>0.2</v>
      </c>
      <c r="F91" s="1148">
        <v>30</v>
      </c>
    </row>
    <row r="92" spans="1:6" s="1099" customFormat="1" ht="24">
      <c r="A92" s="1148">
        <v>32</v>
      </c>
      <c r="B92" s="3569" t="s">
        <v>1562</v>
      </c>
      <c r="C92" s="1148" t="s">
        <v>1563</v>
      </c>
      <c r="D92" s="1062" t="s">
        <v>1564</v>
      </c>
      <c r="E92" s="1133">
        <v>0.2</v>
      </c>
      <c r="F92" s="1148">
        <v>30</v>
      </c>
    </row>
    <row r="93" spans="1:6" s="1099" customFormat="1" ht="36">
      <c r="A93" s="1148">
        <v>33</v>
      </c>
      <c r="B93" s="3569"/>
      <c r="C93" s="1148" t="s">
        <v>1565</v>
      </c>
      <c r="D93" s="1062" t="s">
        <v>1566</v>
      </c>
      <c r="E93" s="1133">
        <v>0.2</v>
      </c>
      <c r="F93" s="1148">
        <v>30</v>
      </c>
    </row>
    <row r="94" spans="1:6" s="1099" customFormat="1" ht="48">
      <c r="A94" s="1148">
        <v>34</v>
      </c>
      <c r="B94" s="3569"/>
      <c r="C94" s="1148" t="s">
        <v>1567</v>
      </c>
      <c r="D94" s="1062" t="s">
        <v>1568</v>
      </c>
      <c r="E94" s="1133">
        <v>0.2</v>
      </c>
      <c r="F94" s="1148">
        <v>30</v>
      </c>
    </row>
    <row r="95" spans="1:6" s="1099" customFormat="1" ht="36">
      <c r="A95" s="1148">
        <v>35</v>
      </c>
      <c r="B95" s="3569"/>
      <c r="C95" s="1148" t="s">
        <v>1569</v>
      </c>
      <c r="D95" s="1062" t="s">
        <v>1570</v>
      </c>
      <c r="E95" s="1133">
        <v>0.2</v>
      </c>
      <c r="F95" s="1148">
        <v>30</v>
      </c>
    </row>
    <row r="96" spans="1:6" s="1099" customFormat="1" ht="48">
      <c r="A96" s="1148">
        <v>36</v>
      </c>
      <c r="B96" s="3569"/>
      <c r="C96" s="1062" t="s">
        <v>1571</v>
      </c>
      <c r="D96" s="1062" t="s">
        <v>1572</v>
      </c>
      <c r="E96" s="1133">
        <v>0.2</v>
      </c>
      <c r="F96" s="1148">
        <v>30</v>
      </c>
    </row>
    <row r="97" spans="1:6" s="1099" customFormat="1" ht="36">
      <c r="A97" s="1148">
        <v>37</v>
      </c>
      <c r="B97" s="3569"/>
      <c r="C97" s="1148" t="s">
        <v>1573</v>
      </c>
      <c r="D97" s="1062" t="s">
        <v>1574</v>
      </c>
      <c r="E97" s="1133">
        <v>0.2</v>
      </c>
      <c r="F97" s="1148">
        <v>30</v>
      </c>
    </row>
    <row r="98" spans="1:6" s="1099" customFormat="1" ht="36">
      <c r="A98" s="1148">
        <v>38</v>
      </c>
      <c r="B98" s="3569"/>
      <c r="C98" s="1148" t="s">
        <v>1575</v>
      </c>
      <c r="D98" s="1062" t="s">
        <v>1576</v>
      </c>
      <c r="E98" s="1133">
        <v>0.2</v>
      </c>
      <c r="F98" s="1148">
        <v>30</v>
      </c>
    </row>
    <row r="99" spans="1:6" s="1099" customFormat="1" ht="36">
      <c r="A99" s="1148">
        <v>39</v>
      </c>
      <c r="B99" s="3569" t="s">
        <v>1577</v>
      </c>
      <c r="C99" s="1148" t="s">
        <v>1578</v>
      </c>
      <c r="D99" s="1062" t="s">
        <v>1579</v>
      </c>
      <c r="E99" s="1133">
        <v>0.3</v>
      </c>
      <c r="F99" s="1148">
        <v>50</v>
      </c>
    </row>
    <row r="100" spans="1:6" s="1099" customFormat="1" ht="24">
      <c r="A100" s="1148">
        <v>40</v>
      </c>
      <c r="B100" s="3569"/>
      <c r="C100" s="1148" t="s">
        <v>1580</v>
      </c>
      <c r="D100" s="1062" t="s">
        <v>1581</v>
      </c>
      <c r="E100" s="1133">
        <v>0.2</v>
      </c>
      <c r="F100" s="1148">
        <v>30</v>
      </c>
    </row>
    <row r="101" spans="1:6" s="1099" customFormat="1" ht="36">
      <c r="A101" s="1148">
        <v>41</v>
      </c>
      <c r="B101" s="3569"/>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569" t="s">
        <v>1592</v>
      </c>
      <c r="C105" s="1148" t="s">
        <v>1593</v>
      </c>
      <c r="D105" s="1062" t="s">
        <v>1594</v>
      </c>
      <c r="E105" s="1133">
        <v>0.2</v>
      </c>
      <c r="F105" s="1148">
        <v>30</v>
      </c>
    </row>
    <row r="106" spans="1:6" s="1099" customFormat="1" ht="36">
      <c r="A106" s="1148">
        <v>46</v>
      </c>
      <c r="B106" s="3569"/>
      <c r="C106" s="1148" t="s">
        <v>1595</v>
      </c>
      <c r="D106" s="1062" t="s">
        <v>1596</v>
      </c>
      <c r="E106" s="1133">
        <v>0.2</v>
      </c>
      <c r="F106" s="1148">
        <v>30</v>
      </c>
    </row>
    <row r="107" spans="1:6" s="1099" customFormat="1" ht="36">
      <c r="A107" s="1148">
        <v>47</v>
      </c>
      <c r="B107" s="3569" t="s">
        <v>1597</v>
      </c>
      <c r="C107" s="1148" t="s">
        <v>1598</v>
      </c>
      <c r="D107" s="1062" t="s">
        <v>1599</v>
      </c>
      <c r="E107" s="1133">
        <v>0.3</v>
      </c>
      <c r="F107" s="1148">
        <v>50</v>
      </c>
    </row>
    <row r="108" spans="1:6" s="1099" customFormat="1" ht="36">
      <c r="A108" s="1148">
        <v>48</v>
      </c>
      <c r="B108" s="3569"/>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569" t="s">
        <v>1608</v>
      </c>
      <c r="C111" s="1148" t="s">
        <v>1609</v>
      </c>
      <c r="D111" s="1062" t="s">
        <v>1610</v>
      </c>
      <c r="E111" s="1133">
        <v>0.2</v>
      </c>
      <c r="F111" s="1148">
        <v>30</v>
      </c>
    </row>
    <row r="112" spans="1:6" s="1099" customFormat="1" ht="24">
      <c r="A112" s="1148">
        <v>52</v>
      </c>
      <c r="B112" s="3569"/>
      <c r="C112" s="1148" t="s">
        <v>1611</v>
      </c>
      <c r="D112" s="1062" t="s">
        <v>1612</v>
      </c>
      <c r="E112" s="1133">
        <v>0.2</v>
      </c>
      <c r="F112" s="1148">
        <v>30</v>
      </c>
    </row>
    <row r="113" spans="1:14" s="1099" customFormat="1" ht="24">
      <c r="A113" s="1148">
        <v>53</v>
      </c>
      <c r="B113" s="3569"/>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569" t="s">
        <v>1621</v>
      </c>
      <c r="C116" s="1148" t="s">
        <v>1622</v>
      </c>
      <c r="D116" s="1062" t="s">
        <v>1623</v>
      </c>
      <c r="E116" s="1133">
        <v>0.2</v>
      </c>
      <c r="F116" s="1148">
        <v>30</v>
      </c>
    </row>
    <row r="117" spans="1:14" ht="36">
      <c r="A117" s="1148">
        <v>57</v>
      </c>
      <c r="B117" s="3569"/>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568" t="s">
        <v>1630</v>
      </c>
      <c r="B121" s="3568"/>
      <c r="C121" s="3568"/>
      <c r="D121" s="3568"/>
      <c r="E121" s="3568"/>
      <c r="F121" s="3568"/>
      <c r="G121" s="3568"/>
      <c r="H121" s="3568"/>
      <c r="I121" s="3568"/>
      <c r="J121" s="356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83" t="s">
        <v>1036</v>
      </c>
      <c r="B1" s="3583"/>
      <c r="C1" s="3583"/>
      <c r="D1" s="3583"/>
      <c r="E1" s="3583"/>
      <c r="F1" s="3583"/>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584" t="s">
        <v>1049</v>
      </c>
      <c r="B2" s="3584"/>
      <c r="C2" s="3584"/>
      <c r="D2" s="3584"/>
      <c r="E2" s="3584"/>
      <c r="F2" s="3584"/>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85"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86"/>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2413</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2414</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87" t="s">
        <v>2071</v>
      </c>
      <c r="B1" s="3587"/>
    </row>
    <row r="2" spans="1:6" ht="14.25" thickBot="1">
      <c r="A2" s="1833"/>
      <c r="B2" s="1833"/>
    </row>
    <row r="3" spans="1:6" ht="14.25" thickBot="1">
      <c r="A3" s="1833"/>
      <c r="B3" s="1833"/>
      <c r="C3" s="1834" t="s">
        <v>2072</v>
      </c>
      <c r="D3" s="1834" t="s">
        <v>2073</v>
      </c>
      <c r="E3" s="1834" t="s">
        <v>2074</v>
      </c>
      <c r="F3" s="1834" t="s">
        <v>2075</v>
      </c>
    </row>
    <row r="4" spans="1:6" ht="14.25" thickBot="1">
      <c r="A4" s="1835" t="s">
        <v>2076</v>
      </c>
      <c r="B4" s="1836" t="s">
        <v>2077</v>
      </c>
      <c r="C4" s="1834"/>
      <c r="D4" s="1834"/>
      <c r="E4" s="1834"/>
      <c r="F4" s="1834"/>
    </row>
    <row r="5" spans="1:6" ht="14.25" thickBot="1">
      <c r="A5" s="1837" t="s">
        <v>2078</v>
      </c>
      <c r="B5" s="1838" t="s">
        <v>2079</v>
      </c>
      <c r="C5" s="1839">
        <v>8.8999999999999996E-2</v>
      </c>
      <c r="D5" s="1839">
        <v>7.3999999999999996E-2</v>
      </c>
      <c r="E5" s="1839">
        <v>7.4999999999999997E-2</v>
      </c>
      <c r="F5" s="1840">
        <v>0.1</v>
      </c>
    </row>
    <row r="6" spans="1:6" ht="14.25" thickBot="1">
      <c r="A6" s="1837" t="s">
        <v>1093</v>
      </c>
      <c r="B6" s="1841" t="s">
        <v>2080</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2081</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2082</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2083</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2084</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2085</v>
      </c>
      <c r="C72" s="1851"/>
      <c r="D72" s="1851"/>
      <c r="E72" s="1851"/>
      <c r="F72" s="1843">
        <v>0.05</v>
      </c>
    </row>
    <row r="73" spans="1:6" ht="14.25" thickBot="1">
      <c r="A73" s="1837" t="s">
        <v>922</v>
      </c>
      <c r="B73" s="1841" t="s">
        <v>2086</v>
      </c>
      <c r="C73" s="1851"/>
      <c r="D73" s="1851"/>
      <c r="E73" s="1851"/>
      <c r="F73" s="1843">
        <v>0.05</v>
      </c>
    </row>
    <row r="74" spans="1:6" ht="14.25" thickBot="1">
      <c r="A74" s="1837" t="s">
        <v>922</v>
      </c>
      <c r="B74" s="1841" t="s">
        <v>2087</v>
      </c>
      <c r="C74" s="1851"/>
      <c r="D74" s="1851"/>
      <c r="E74" s="1851"/>
      <c r="F74" s="1843">
        <v>0.05</v>
      </c>
    </row>
    <row r="75" spans="1:6" ht="14.25" thickBot="1">
      <c r="A75" s="1845" t="s">
        <v>922</v>
      </c>
      <c r="B75" s="1852" t="s">
        <v>2088</v>
      </c>
      <c r="C75" s="1848"/>
      <c r="D75" s="1848"/>
      <c r="E75" s="1848"/>
      <c r="F75" s="1853">
        <v>0.05</v>
      </c>
    </row>
    <row r="76" spans="1:6" ht="14.25" thickBot="1">
      <c r="A76" s="1837" t="s">
        <v>1404</v>
      </c>
      <c r="B76" s="1838" t="s">
        <v>2089</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2090</v>
      </c>
      <c r="C102" s="1851"/>
      <c r="D102" s="1851"/>
      <c r="E102" s="1851"/>
      <c r="F102" s="1843">
        <v>0.05</v>
      </c>
    </row>
    <row r="103" spans="1:6" ht="24.75" thickBot="1">
      <c r="A103" s="1837" t="s">
        <v>1404</v>
      </c>
      <c r="B103" s="1841" t="s">
        <v>2091</v>
      </c>
      <c r="C103" s="1851"/>
      <c r="D103" s="1851"/>
      <c r="E103" s="1851"/>
      <c r="F103" s="1843">
        <v>0.05</v>
      </c>
    </row>
    <row r="104" spans="1:6" ht="14.25" thickBot="1">
      <c r="A104" s="1837" t="s">
        <v>1404</v>
      </c>
      <c r="B104" s="1841" t="s">
        <v>2092</v>
      </c>
      <c r="C104" s="1851"/>
      <c r="D104" s="1851"/>
      <c r="E104" s="1851"/>
      <c r="F104" s="1843">
        <v>0.05</v>
      </c>
    </row>
    <row r="105" spans="1:6" ht="14.25" thickBot="1">
      <c r="A105" s="1837" t="s">
        <v>1404</v>
      </c>
      <c r="B105" s="1841" t="s">
        <v>2093</v>
      </c>
      <c r="C105" s="1851"/>
      <c r="D105" s="1851"/>
      <c r="E105" s="1851"/>
      <c r="F105" s="1843">
        <v>0.05</v>
      </c>
    </row>
    <row r="106" spans="1:6" ht="14.25" thickBot="1">
      <c r="A106" s="1837" t="s">
        <v>1404</v>
      </c>
      <c r="B106" s="1841" t="s">
        <v>2094</v>
      </c>
      <c r="C106" s="1851"/>
      <c r="D106" s="1851"/>
      <c r="E106" s="1851"/>
      <c r="F106" s="1843">
        <v>0.05</v>
      </c>
    </row>
    <row r="107" spans="1:6" ht="24.75" thickBot="1">
      <c r="A107" s="1837" t="s">
        <v>1404</v>
      </c>
      <c r="B107" s="1841" t="s">
        <v>2095</v>
      </c>
      <c r="C107" s="1851"/>
      <c r="D107" s="1851"/>
      <c r="E107" s="1851"/>
      <c r="F107" s="1843">
        <v>0.05</v>
      </c>
    </row>
    <row r="108" spans="1:6" ht="24.75" thickBot="1">
      <c r="A108" s="1837" t="s">
        <v>1404</v>
      </c>
      <c r="B108" s="1841" t="s">
        <v>2096</v>
      </c>
      <c r="C108" s="1851"/>
      <c r="D108" s="1851"/>
      <c r="E108" s="1851"/>
      <c r="F108" s="1843">
        <v>0.05</v>
      </c>
    </row>
    <row r="109" spans="1:6" ht="24.75" thickBot="1">
      <c r="A109" s="1845" t="s">
        <v>1404</v>
      </c>
      <c r="B109" s="1852" t="s">
        <v>2097</v>
      </c>
      <c r="C109" s="1848"/>
      <c r="D109" s="1848"/>
      <c r="E109" s="1848"/>
      <c r="F109" s="1853">
        <v>0.05</v>
      </c>
    </row>
    <row r="110" spans="1:6" ht="14.25" thickBot="1">
      <c r="A110" s="1837" t="s">
        <v>1406</v>
      </c>
      <c r="B110" s="1838" t="s">
        <v>2098</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2099</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2100</v>
      </c>
      <c r="C138" s="1842">
        <v>0.105</v>
      </c>
      <c r="D138" s="1842">
        <v>0.125</v>
      </c>
      <c r="E138" s="1842">
        <v>0.112</v>
      </c>
      <c r="F138" s="1850"/>
    </row>
    <row r="139" spans="1:6" ht="14.25" thickBot="1">
      <c r="A139" s="1837" t="s">
        <v>1406</v>
      </c>
      <c r="B139" s="1841" t="s">
        <v>2101</v>
      </c>
      <c r="C139" s="1842">
        <v>0.127</v>
      </c>
      <c r="D139" s="1842">
        <v>0.127</v>
      </c>
      <c r="E139" s="1842">
        <v>0.122</v>
      </c>
      <c r="F139" s="1843">
        <v>0.13</v>
      </c>
    </row>
    <row r="140" spans="1:6" ht="14.25" thickBot="1">
      <c r="A140" s="1837" t="s">
        <v>1406</v>
      </c>
      <c r="B140" s="1841" t="s">
        <v>2102</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2103</v>
      </c>
      <c r="C144" s="1855">
        <v>0.126</v>
      </c>
      <c r="D144" s="1855">
        <v>0.126</v>
      </c>
      <c r="E144" s="1855">
        <v>0.121</v>
      </c>
      <c r="F144" s="1850"/>
    </row>
    <row r="145" spans="1:6" ht="14.25" thickBot="1">
      <c r="A145" s="1845" t="s">
        <v>1406</v>
      </c>
      <c r="B145" s="1856" t="s">
        <v>2104</v>
      </c>
      <c r="C145" s="1857"/>
      <c r="D145" s="1857"/>
      <c r="E145" s="1857"/>
      <c r="F145" s="1858">
        <v>0.05</v>
      </c>
    </row>
    <row r="146" spans="1:6" ht="24.75" thickBot="1">
      <c r="A146" s="1859" t="s">
        <v>1406</v>
      </c>
      <c r="B146" s="1844" t="s">
        <v>2105</v>
      </c>
      <c r="C146" s="1851"/>
      <c r="D146" s="1851"/>
      <c r="E146" s="1851"/>
      <c r="F146" s="1860">
        <v>0.05</v>
      </c>
    </row>
    <row r="147" spans="1:6" ht="24.75" thickBot="1">
      <c r="A147" s="1837" t="s">
        <v>1406</v>
      </c>
      <c r="B147" s="1841" t="s">
        <v>2106</v>
      </c>
      <c r="C147" s="1851"/>
      <c r="D147" s="1851"/>
      <c r="E147" s="1851"/>
      <c r="F147" s="1843">
        <v>0.05</v>
      </c>
    </row>
    <row r="148" spans="1:6" ht="24.75" thickBot="1">
      <c r="A148" s="1837" t="s">
        <v>1406</v>
      </c>
      <c r="B148" s="1841" t="s">
        <v>2107</v>
      </c>
      <c r="C148" s="1851"/>
      <c r="D148" s="1851"/>
      <c r="E148" s="1851"/>
      <c r="F148" s="1843">
        <v>0.05</v>
      </c>
    </row>
    <row r="149" spans="1:6" ht="24.75" thickBot="1">
      <c r="A149" s="1837" t="s">
        <v>1406</v>
      </c>
      <c r="B149" s="1841" t="s">
        <v>2108</v>
      </c>
      <c r="C149" s="1851"/>
      <c r="D149" s="1851"/>
      <c r="E149" s="1851"/>
      <c r="F149" s="1843">
        <v>0.05</v>
      </c>
    </row>
    <row r="150" spans="1:6" ht="24.75" thickBot="1">
      <c r="A150" s="1837" t="s">
        <v>1406</v>
      </c>
      <c r="B150" s="1841" t="s">
        <v>2109</v>
      </c>
      <c r="C150" s="1851"/>
      <c r="D150" s="1851"/>
      <c r="E150" s="1851"/>
      <c r="F150" s="1843">
        <v>0.05</v>
      </c>
    </row>
    <row r="151" spans="1:6" ht="24.75" thickBot="1">
      <c r="A151" s="1837" t="s">
        <v>1406</v>
      </c>
      <c r="B151" s="1841" t="s">
        <v>2110</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2111</v>
      </c>
      <c r="C153" s="1851"/>
      <c r="D153" s="1851"/>
      <c r="E153" s="1851"/>
      <c r="F153" s="1843">
        <v>0.05</v>
      </c>
    </row>
    <row r="154" spans="1:6" ht="14.25" thickBot="1">
      <c r="A154" s="1837" t="s">
        <v>1406</v>
      </c>
      <c r="B154" s="1841" t="s">
        <v>2112</v>
      </c>
      <c r="C154" s="1851"/>
      <c r="D154" s="1851"/>
      <c r="E154" s="1851"/>
      <c r="F154" s="1843">
        <v>0.05</v>
      </c>
    </row>
    <row r="155" spans="1:6" ht="24.75" thickBot="1">
      <c r="A155" s="1837" t="s">
        <v>1406</v>
      </c>
      <c r="B155" s="1841" t="s">
        <v>2113</v>
      </c>
      <c r="C155" s="1851"/>
      <c r="D155" s="1851"/>
      <c r="E155" s="1851"/>
      <c r="F155" s="1843">
        <v>0.05</v>
      </c>
    </row>
    <row r="156" spans="1:6" ht="24.75" thickBot="1">
      <c r="A156" s="1837" t="s">
        <v>1406</v>
      </c>
      <c r="B156" s="1841" t="s">
        <v>2114</v>
      </c>
      <c r="C156" s="1851"/>
      <c r="D156" s="1851"/>
      <c r="E156" s="1851"/>
      <c r="F156" s="1843">
        <v>0.05</v>
      </c>
    </row>
    <row r="157" spans="1:6" ht="14.25" thickBot="1">
      <c r="A157" s="1845" t="s">
        <v>1406</v>
      </c>
      <c r="B157" s="1852" t="s">
        <v>2115</v>
      </c>
      <c r="C157" s="1848"/>
      <c r="D157" s="1848"/>
      <c r="E157" s="1848"/>
      <c r="F157" s="1853">
        <v>0.05</v>
      </c>
    </row>
    <row r="158" spans="1:6" ht="14.25" thickBot="1">
      <c r="A158" s="1837" t="s">
        <v>1408</v>
      </c>
      <c r="B158" s="1838" t="s">
        <v>2116</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2117</v>
      </c>
      <c r="C171" s="1842">
        <v>0.127</v>
      </c>
      <c r="D171" s="1842">
        <v>0.126</v>
      </c>
      <c r="E171" s="1842">
        <v>0.126</v>
      </c>
      <c r="F171" s="1843">
        <v>0.11799999999999999</v>
      </c>
    </row>
    <row r="172" spans="1:6" ht="14.25" thickBot="1">
      <c r="A172" s="1837" t="s">
        <v>1408</v>
      </c>
      <c r="B172" s="1841" t="s">
        <v>2118</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2119</v>
      </c>
      <c r="C174" s="1842">
        <v>0.13</v>
      </c>
      <c r="D174" s="1842">
        <v>0.13</v>
      </c>
      <c r="E174" s="1842">
        <v>0.13</v>
      </c>
      <c r="F174" s="1843">
        <v>0.13</v>
      </c>
    </row>
    <row r="175" spans="1:6" ht="14.25" thickBot="1">
      <c r="A175" s="1837" t="s">
        <v>1408</v>
      </c>
      <c r="B175" s="1841" t="s">
        <v>2120</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2121</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2122</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2123</v>
      </c>
      <c r="C185" s="1842">
        <v>0.127</v>
      </c>
      <c r="D185" s="1842">
        <v>0.127</v>
      </c>
      <c r="E185" s="1842">
        <v>0.128</v>
      </c>
      <c r="F185" s="1843">
        <v>0.13</v>
      </c>
    </row>
    <row r="186" spans="1:6" ht="24.75" thickBot="1">
      <c r="A186" s="1837" t="s">
        <v>1408</v>
      </c>
      <c r="B186" s="1841" t="s">
        <v>2124</v>
      </c>
      <c r="C186" s="1851"/>
      <c r="D186" s="1851"/>
      <c r="E186" s="1851"/>
      <c r="F186" s="1843">
        <v>0.05</v>
      </c>
    </row>
    <row r="187" spans="1:6" ht="14.25" thickBot="1">
      <c r="A187" s="1837" t="s">
        <v>1408</v>
      </c>
      <c r="B187" s="1841" t="s">
        <v>2125</v>
      </c>
      <c r="C187" s="1851"/>
      <c r="D187" s="1851"/>
      <c r="E187" s="1851"/>
      <c r="F187" s="1843">
        <v>0.05</v>
      </c>
    </row>
    <row r="188" spans="1:6" ht="14.25" thickBot="1">
      <c r="A188" s="1837" t="s">
        <v>1408</v>
      </c>
      <c r="B188" s="1841" t="s">
        <v>2126</v>
      </c>
      <c r="C188" s="1851"/>
      <c r="D188" s="1851"/>
      <c r="E188" s="1851"/>
      <c r="F188" s="1843">
        <v>0.05</v>
      </c>
    </row>
    <row r="189" spans="1:6" ht="24.75" thickBot="1">
      <c r="A189" s="1837" t="s">
        <v>1408</v>
      </c>
      <c r="B189" s="1841" t="s">
        <v>2127</v>
      </c>
      <c r="C189" s="1851"/>
      <c r="D189" s="1851"/>
      <c r="E189" s="1851"/>
      <c r="F189" s="1843">
        <v>0.05</v>
      </c>
    </row>
    <row r="190" spans="1:6" ht="24.75" thickBot="1">
      <c r="A190" s="1837" t="s">
        <v>1408</v>
      </c>
      <c r="B190" s="1841" t="s">
        <v>2128</v>
      </c>
      <c r="C190" s="1851"/>
      <c r="D190" s="1851"/>
      <c r="E190" s="1851"/>
      <c r="F190" s="1843">
        <v>0.05</v>
      </c>
    </row>
    <row r="191" spans="1:6" ht="24.75" thickBot="1">
      <c r="A191" s="1837" t="s">
        <v>1408</v>
      </c>
      <c r="B191" s="1841" t="s">
        <v>2129</v>
      </c>
      <c r="C191" s="1851"/>
      <c r="D191" s="1851"/>
      <c r="E191" s="1851"/>
      <c r="F191" s="1843">
        <v>0.05</v>
      </c>
    </row>
    <row r="192" spans="1:6" ht="24.75" thickBot="1">
      <c r="A192" s="1837" t="s">
        <v>1408</v>
      </c>
      <c r="B192" s="1841" t="s">
        <v>2130</v>
      </c>
      <c r="C192" s="1851"/>
      <c r="D192" s="1851"/>
      <c r="E192" s="1851"/>
      <c r="F192" s="1843">
        <v>0.05</v>
      </c>
    </row>
    <row r="193" spans="1:6" ht="24.75" thickBot="1">
      <c r="A193" s="1837" t="s">
        <v>1408</v>
      </c>
      <c r="B193" s="1841" t="s">
        <v>2131</v>
      </c>
      <c r="C193" s="1851"/>
      <c r="D193" s="1851"/>
      <c r="E193" s="1851"/>
      <c r="F193" s="1843">
        <v>0.05</v>
      </c>
    </row>
    <row r="194" spans="1:6" ht="24.75" thickBot="1">
      <c r="A194" s="1837" t="s">
        <v>1408</v>
      </c>
      <c r="B194" s="1841" t="s">
        <v>2132</v>
      </c>
      <c r="C194" s="1851"/>
      <c r="D194" s="1851"/>
      <c r="E194" s="1851"/>
      <c r="F194" s="1843">
        <v>0.05</v>
      </c>
    </row>
    <row r="195" spans="1:6" ht="14.25" thickBot="1">
      <c r="A195" s="1837" t="s">
        <v>1408</v>
      </c>
      <c r="B195" s="1841" t="s">
        <v>2133</v>
      </c>
      <c r="C195" s="1851"/>
      <c r="D195" s="1851"/>
      <c r="E195" s="1851"/>
      <c r="F195" s="1843">
        <v>0.05</v>
      </c>
    </row>
    <row r="196" spans="1:6" ht="24.75" thickBot="1">
      <c r="A196" s="1837" t="s">
        <v>1408</v>
      </c>
      <c r="B196" s="1841" t="s">
        <v>2134</v>
      </c>
      <c r="C196" s="1851"/>
      <c r="D196" s="1851"/>
      <c r="E196" s="1851"/>
      <c r="F196" s="1843">
        <v>0.05</v>
      </c>
    </row>
    <row r="197" spans="1:6" ht="24.75" thickBot="1">
      <c r="A197" s="1837" t="s">
        <v>1408</v>
      </c>
      <c r="B197" s="1841" t="s">
        <v>2135</v>
      </c>
      <c r="C197" s="1851"/>
      <c r="D197" s="1851"/>
      <c r="E197" s="1851"/>
      <c r="F197" s="1843">
        <v>0.05</v>
      </c>
    </row>
    <row r="198" spans="1:6" ht="24.75" thickBot="1">
      <c r="A198" s="1837" t="s">
        <v>1408</v>
      </c>
      <c r="B198" s="1841" t="s">
        <v>2136</v>
      </c>
      <c r="C198" s="1851"/>
      <c r="D198" s="1851"/>
      <c r="E198" s="1851"/>
      <c r="F198" s="1843">
        <v>0.05</v>
      </c>
    </row>
    <row r="199" spans="1:6" ht="24.75" thickBot="1">
      <c r="A199" s="1837" t="s">
        <v>1408</v>
      </c>
      <c r="B199" s="1841" t="s">
        <v>2137</v>
      </c>
      <c r="C199" s="1851"/>
      <c r="D199" s="1851"/>
      <c r="E199" s="1851"/>
      <c r="F199" s="1843">
        <v>0.05</v>
      </c>
    </row>
    <row r="200" spans="1:6" ht="24.75" thickBot="1">
      <c r="A200" s="1837" t="s">
        <v>1408</v>
      </c>
      <c r="B200" s="1841" t="s">
        <v>2138</v>
      </c>
      <c r="C200" s="1851"/>
      <c r="D200" s="1851"/>
      <c r="E200" s="1851"/>
      <c r="F200" s="1843">
        <v>0.05</v>
      </c>
    </row>
    <row r="201" spans="1:6" ht="24.75" thickBot="1">
      <c r="A201" s="1837" t="s">
        <v>1408</v>
      </c>
      <c r="B201" s="1841" t="s">
        <v>2139</v>
      </c>
      <c r="C201" s="1851"/>
      <c r="D201" s="1851"/>
      <c r="E201" s="1851"/>
      <c r="F201" s="1843">
        <v>0.05</v>
      </c>
    </row>
    <row r="202" spans="1:6" ht="24.75" thickBot="1">
      <c r="A202" s="1837" t="s">
        <v>1408</v>
      </c>
      <c r="B202" s="1841" t="s">
        <v>2140</v>
      </c>
      <c r="C202" s="1851"/>
      <c r="D202" s="1851"/>
      <c r="E202" s="1851"/>
      <c r="F202" s="1843">
        <v>0.05</v>
      </c>
    </row>
    <row r="203" spans="1:6" ht="24.75" thickBot="1">
      <c r="A203" s="1837" t="s">
        <v>1408</v>
      </c>
      <c r="B203" s="1841" t="s">
        <v>2141</v>
      </c>
      <c r="C203" s="1851"/>
      <c r="D203" s="1851"/>
      <c r="E203" s="1851"/>
      <c r="F203" s="1843">
        <v>0.05</v>
      </c>
    </row>
    <row r="204" spans="1:6" ht="14.25" thickBot="1">
      <c r="A204" s="1837" t="s">
        <v>1408</v>
      </c>
      <c r="B204" s="1841" t="s">
        <v>2142</v>
      </c>
      <c r="C204" s="1851"/>
      <c r="D204" s="1851"/>
      <c r="E204" s="1851"/>
      <c r="F204" s="1843">
        <v>0.05</v>
      </c>
    </row>
    <row r="205" spans="1:6" ht="14.25" thickBot="1">
      <c r="A205" s="1845" t="s">
        <v>1408</v>
      </c>
      <c r="B205" s="1852" t="s">
        <v>2143</v>
      </c>
      <c r="C205" s="1848"/>
      <c r="D205" s="1848"/>
      <c r="E205" s="1848"/>
      <c r="F205" s="1853">
        <v>0.05</v>
      </c>
    </row>
    <row r="206" spans="1:6" ht="14.25" thickBot="1">
      <c r="A206" s="1837" t="s">
        <v>1410</v>
      </c>
      <c r="B206" s="1838" t="s">
        <v>2144</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2145</v>
      </c>
      <c r="C210" s="1842">
        <v>0.15</v>
      </c>
      <c r="D210" s="1842">
        <v>0.15</v>
      </c>
      <c r="E210" s="1842">
        <v>0.15</v>
      </c>
      <c r="F210" s="1843">
        <v>0.13800000000000001</v>
      </c>
    </row>
    <row r="211" spans="1:6" ht="14.25" thickBot="1">
      <c r="A211" s="1837" t="s">
        <v>1410</v>
      </c>
      <c r="B211" s="1841" t="s">
        <v>2146</v>
      </c>
      <c r="C211" s="1842">
        <v>0.13700000000000001</v>
      </c>
      <c r="D211" s="1842">
        <v>0.13500000000000001</v>
      </c>
      <c r="E211" s="1842">
        <v>0.13600000000000001</v>
      </c>
      <c r="F211" s="1843">
        <v>0.1</v>
      </c>
    </row>
    <row r="212" spans="1:6" ht="14.25" thickBot="1">
      <c r="A212" s="1837" t="s">
        <v>1410</v>
      </c>
      <c r="B212" s="1841" t="s">
        <v>2147</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2148</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2149</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2150</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2151</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2152</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2153</v>
      </c>
      <c r="C231" s="1842">
        <v>0.128</v>
      </c>
      <c r="D231" s="1842">
        <v>0.125</v>
      </c>
      <c r="E231" s="1842">
        <v>0.13200000000000001</v>
      </c>
      <c r="F231" s="1850"/>
    </row>
    <row r="232" spans="1:6" ht="14.25" thickBot="1">
      <c r="A232" s="1837" t="s">
        <v>1410</v>
      </c>
      <c r="B232" s="1841" t="s">
        <v>2154</v>
      </c>
      <c r="C232" s="1842">
        <v>0.14499999999999999</v>
      </c>
      <c r="D232" s="1842">
        <v>0.14399999999999999</v>
      </c>
      <c r="E232" s="1842">
        <v>0.14599999999999999</v>
      </c>
      <c r="F232" s="1843">
        <v>0.13800000000000001</v>
      </c>
    </row>
    <row r="233" spans="1:6" ht="14.25" thickBot="1">
      <c r="A233" s="1837" t="s">
        <v>1410</v>
      </c>
      <c r="B233" s="1841" t="s">
        <v>2155</v>
      </c>
      <c r="C233" s="1842">
        <v>0.14499999999999999</v>
      </c>
      <c r="D233" s="1842">
        <v>0.14299999999999999</v>
      </c>
      <c r="E233" s="1842">
        <v>0.14199999999999999</v>
      </c>
      <c r="F233" s="1850"/>
    </row>
    <row r="234" spans="1:6" ht="14.25" thickBot="1">
      <c r="A234" s="1837" t="s">
        <v>1410</v>
      </c>
      <c r="B234" s="1841" t="s">
        <v>2156</v>
      </c>
      <c r="C234" s="1842">
        <v>0.14000000000000001</v>
      </c>
      <c r="D234" s="1842">
        <v>0.14000000000000001</v>
      </c>
      <c r="E234" s="1842">
        <v>0.14399999999999999</v>
      </c>
      <c r="F234" s="1850"/>
    </row>
    <row r="235" spans="1:6" ht="14.25" thickBot="1">
      <c r="A235" s="1837" t="s">
        <v>1410</v>
      </c>
      <c r="B235" s="1841" t="s">
        <v>2157</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2158</v>
      </c>
      <c r="C237" s="1851"/>
      <c r="D237" s="1851"/>
      <c r="E237" s="1851"/>
      <c r="F237" s="1843">
        <v>0.05</v>
      </c>
    </row>
    <row r="238" spans="1:6" ht="24.75" thickBot="1">
      <c r="A238" s="1837" t="s">
        <v>1410</v>
      </c>
      <c r="B238" s="1841" t="s">
        <v>2159</v>
      </c>
      <c r="C238" s="1851"/>
      <c r="D238" s="1851"/>
      <c r="E238" s="1851"/>
      <c r="F238" s="1843">
        <v>0.05</v>
      </c>
    </row>
    <row r="239" spans="1:6" ht="24.75" thickBot="1">
      <c r="A239" s="1837" t="s">
        <v>1410</v>
      </c>
      <c r="B239" s="1841" t="s">
        <v>2160</v>
      </c>
      <c r="C239" s="1851"/>
      <c r="D239" s="1851"/>
      <c r="E239" s="1851"/>
      <c r="F239" s="1843">
        <v>0.05</v>
      </c>
    </row>
    <row r="240" spans="1:6" ht="24.75" thickBot="1">
      <c r="A240" s="1837" t="s">
        <v>1410</v>
      </c>
      <c r="B240" s="1841" t="s">
        <v>2161</v>
      </c>
      <c r="C240" s="1851"/>
      <c r="D240" s="1851"/>
      <c r="E240" s="1851"/>
      <c r="F240" s="1843">
        <v>0.05</v>
      </c>
    </row>
    <row r="241" spans="1:6" ht="24.75" thickBot="1">
      <c r="A241" s="1837" t="s">
        <v>1410</v>
      </c>
      <c r="B241" s="1841" t="s">
        <v>2162</v>
      </c>
      <c r="C241" s="1851"/>
      <c r="D241" s="1851"/>
      <c r="E241" s="1851"/>
      <c r="F241" s="1843">
        <v>0.05</v>
      </c>
    </row>
    <row r="242" spans="1:6" ht="24.75" thickBot="1">
      <c r="A242" s="1837" t="s">
        <v>1410</v>
      </c>
      <c r="B242" s="1841" t="s">
        <v>2163</v>
      </c>
      <c r="C242" s="1851"/>
      <c r="D242" s="1851"/>
      <c r="E242" s="1851"/>
      <c r="F242" s="1843">
        <v>0.05</v>
      </c>
    </row>
    <row r="243" spans="1:6" ht="24.75" thickBot="1">
      <c r="A243" s="1837" t="s">
        <v>1410</v>
      </c>
      <c r="B243" s="1841" t="s">
        <v>2164</v>
      </c>
      <c r="C243" s="1851"/>
      <c r="D243" s="1851"/>
      <c r="E243" s="1851"/>
      <c r="F243" s="1843">
        <v>0.05</v>
      </c>
    </row>
    <row r="244" spans="1:6" ht="24.75" thickBot="1">
      <c r="A244" s="1845" t="s">
        <v>1410</v>
      </c>
      <c r="B244" s="1852" t="s">
        <v>2165</v>
      </c>
      <c r="C244" s="1848"/>
      <c r="D244" s="1848"/>
      <c r="E244" s="1848"/>
      <c r="F244" s="1853">
        <v>0.05</v>
      </c>
    </row>
    <row r="245" spans="1:6" ht="14.25" thickBot="1">
      <c r="A245" s="1837" t="s">
        <v>1412</v>
      </c>
      <c r="B245" s="1838" t="s">
        <v>2166</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2167</v>
      </c>
      <c r="C247" s="1842">
        <v>0.15</v>
      </c>
      <c r="D247" s="1842">
        <v>0.15</v>
      </c>
      <c r="E247" s="1842">
        <v>0.15</v>
      </c>
      <c r="F247" s="1843">
        <v>0.15</v>
      </c>
    </row>
    <row r="248" spans="1:6" ht="14.25" thickBot="1">
      <c r="A248" s="1837" t="s">
        <v>1412</v>
      </c>
      <c r="B248" s="1841" t="s">
        <v>2168</v>
      </c>
      <c r="C248" s="1842">
        <v>0.15</v>
      </c>
      <c r="D248" s="1842">
        <v>0.15</v>
      </c>
      <c r="E248" s="1842">
        <v>0.15</v>
      </c>
      <c r="F248" s="1843">
        <v>0.14000000000000001</v>
      </c>
    </row>
    <row r="249" spans="1:6" ht="14.25" thickBot="1">
      <c r="A249" s="1837" t="s">
        <v>1412</v>
      </c>
      <c r="B249" s="1841" t="s">
        <v>2169</v>
      </c>
      <c r="C249" s="1842">
        <v>0.15</v>
      </c>
      <c r="D249" s="1842">
        <v>0.14899999999999999</v>
      </c>
      <c r="E249" s="1842">
        <v>0.15</v>
      </c>
      <c r="F249" s="1843">
        <v>0.1</v>
      </c>
    </row>
    <row r="250" spans="1:6" ht="14.25" thickBot="1">
      <c r="A250" s="1837" t="s">
        <v>1412</v>
      </c>
      <c r="B250" s="1841" t="s">
        <v>2170</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2171</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2172</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2173</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2174</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2175</v>
      </c>
      <c r="C273" s="1842">
        <v>0.14199999999999999</v>
      </c>
      <c r="D273" s="1842">
        <v>0.14299999999999999</v>
      </c>
      <c r="E273" s="1842">
        <v>0.15</v>
      </c>
      <c r="F273" s="1843">
        <v>0.1</v>
      </c>
    </row>
    <row r="274" spans="1:6" ht="14.25" thickBot="1">
      <c r="A274" s="1837" t="s">
        <v>1412</v>
      </c>
      <c r="B274" s="1841" t="s">
        <v>2176</v>
      </c>
      <c r="C274" s="1842">
        <v>0.14799999999999999</v>
      </c>
      <c r="D274" s="1842">
        <v>0.14799999999999999</v>
      </c>
      <c r="E274" s="1842">
        <v>0.15</v>
      </c>
      <c r="F274" s="1843">
        <v>6.7000000000000004E-2</v>
      </c>
    </row>
    <row r="275" spans="1:6" ht="14.25" thickBot="1">
      <c r="A275" s="1837" t="s">
        <v>1412</v>
      </c>
      <c r="B275" s="1841" t="s">
        <v>2177</v>
      </c>
      <c r="C275" s="1842">
        <v>0.15</v>
      </c>
      <c r="D275" s="1842">
        <v>0.15</v>
      </c>
      <c r="E275" s="1842">
        <v>0.15</v>
      </c>
      <c r="F275" s="1843">
        <v>0.15</v>
      </c>
    </row>
    <row r="276" spans="1:6" ht="14.25" thickBot="1">
      <c r="A276" s="1837" t="s">
        <v>1412</v>
      </c>
      <c r="B276" s="1841" t="s">
        <v>2178</v>
      </c>
      <c r="C276" s="1842">
        <v>0.14499999999999999</v>
      </c>
      <c r="D276" s="1842">
        <v>0.14299999999999999</v>
      </c>
      <c r="E276" s="1842">
        <v>0.15</v>
      </c>
      <c r="F276" s="1843">
        <v>5.8999999999999997E-2</v>
      </c>
    </row>
    <row r="277" spans="1:6" ht="14.25" thickBot="1">
      <c r="A277" s="1837" t="s">
        <v>1412</v>
      </c>
      <c r="B277" s="1841" t="s">
        <v>2179</v>
      </c>
      <c r="C277" s="1842">
        <v>0.15</v>
      </c>
      <c r="D277" s="1842">
        <v>0.15</v>
      </c>
      <c r="E277" s="1842">
        <v>0.15</v>
      </c>
      <c r="F277" s="1843">
        <v>0.121</v>
      </c>
    </row>
    <row r="278" spans="1:6" ht="14.25" thickBot="1">
      <c r="A278" s="1837" t="s">
        <v>1412</v>
      </c>
      <c r="B278" s="1841" t="s">
        <v>2180</v>
      </c>
      <c r="C278" s="1842">
        <v>0.15</v>
      </c>
      <c r="D278" s="1842">
        <v>0.15</v>
      </c>
      <c r="E278" s="1842">
        <v>0.15</v>
      </c>
      <c r="F278" s="1843">
        <v>0.13800000000000001</v>
      </c>
    </row>
    <row r="279" spans="1:6" ht="24.75" thickBot="1">
      <c r="A279" s="1837" t="s">
        <v>1412</v>
      </c>
      <c r="B279" s="1841" t="s">
        <v>2181</v>
      </c>
      <c r="C279" s="1851"/>
      <c r="D279" s="1851"/>
      <c r="E279" s="1851"/>
      <c r="F279" s="1843">
        <v>0.05</v>
      </c>
    </row>
    <row r="280" spans="1:6" ht="24.75" thickBot="1">
      <c r="A280" s="1837" t="s">
        <v>1412</v>
      </c>
      <c r="B280" s="1841" t="s">
        <v>2182</v>
      </c>
      <c r="C280" s="1851"/>
      <c r="D280" s="1851"/>
      <c r="E280" s="1851"/>
      <c r="F280" s="1843">
        <v>0.05</v>
      </c>
    </row>
    <row r="281" spans="1:6" ht="24.75" thickBot="1">
      <c r="A281" s="1837" t="s">
        <v>1412</v>
      </c>
      <c r="B281" s="1841" t="s">
        <v>2183</v>
      </c>
      <c r="C281" s="1851"/>
      <c r="D281" s="1851"/>
      <c r="E281" s="1851"/>
      <c r="F281" s="1843">
        <v>0.05</v>
      </c>
    </row>
    <row r="282" spans="1:6" ht="24.75" thickBot="1">
      <c r="A282" s="1837" t="s">
        <v>1412</v>
      </c>
      <c r="B282" s="1841" t="s">
        <v>2184</v>
      </c>
      <c r="C282" s="1851"/>
      <c r="D282" s="1851"/>
      <c r="E282" s="1851"/>
      <c r="F282" s="1843">
        <v>0.05</v>
      </c>
    </row>
    <row r="283" spans="1:6" ht="24.75" thickBot="1">
      <c r="A283" s="1837" t="s">
        <v>1412</v>
      </c>
      <c r="B283" s="1841" t="s">
        <v>2185</v>
      </c>
      <c r="C283" s="1851"/>
      <c r="D283" s="1851"/>
      <c r="E283" s="1851"/>
      <c r="F283" s="1843">
        <v>0.05</v>
      </c>
    </row>
    <row r="284" spans="1:6" ht="24.75" thickBot="1">
      <c r="A284" s="1837" t="s">
        <v>1412</v>
      </c>
      <c r="B284" s="1841" t="s">
        <v>2186</v>
      </c>
      <c r="C284" s="1851"/>
      <c r="D284" s="1851"/>
      <c r="E284" s="1851"/>
      <c r="F284" s="1843">
        <v>0.05</v>
      </c>
    </row>
    <row r="285" spans="1:6" ht="24.75" thickBot="1">
      <c r="A285" s="1837" t="s">
        <v>1412</v>
      </c>
      <c r="B285" s="1841" t="s">
        <v>2187</v>
      </c>
      <c r="C285" s="1851"/>
      <c r="D285" s="1851"/>
      <c r="E285" s="1851"/>
      <c r="F285" s="1843">
        <v>0.05</v>
      </c>
    </row>
    <row r="286" spans="1:6" ht="24.75" thickBot="1">
      <c r="A286" s="1837" t="s">
        <v>1412</v>
      </c>
      <c r="B286" s="1841" t="s">
        <v>2188</v>
      </c>
      <c r="C286" s="1851"/>
      <c r="D286" s="1851"/>
      <c r="E286" s="1851"/>
      <c r="F286" s="1843">
        <v>0.05</v>
      </c>
    </row>
    <row r="287" spans="1:6" ht="24.75" thickBot="1">
      <c r="A287" s="1837" t="s">
        <v>1412</v>
      </c>
      <c r="B287" s="1841" t="s">
        <v>2189</v>
      </c>
      <c r="C287" s="1851"/>
      <c r="D287" s="1851"/>
      <c r="E287" s="1851"/>
      <c r="F287" s="1843">
        <v>0.05</v>
      </c>
    </row>
    <row r="288" spans="1:6" ht="24.75" thickBot="1">
      <c r="A288" s="1837" t="s">
        <v>1412</v>
      </c>
      <c r="B288" s="1841" t="s">
        <v>2190</v>
      </c>
      <c r="C288" s="1851"/>
      <c r="D288" s="1851"/>
      <c r="E288" s="1851"/>
      <c r="F288" s="1843">
        <v>0.05</v>
      </c>
    </row>
    <row r="289" spans="1:6" ht="24.75" thickBot="1">
      <c r="A289" s="1845" t="s">
        <v>1412</v>
      </c>
      <c r="B289" s="1852" t="s">
        <v>2191</v>
      </c>
      <c r="C289" s="1848"/>
      <c r="D289" s="1848"/>
      <c r="E289" s="1848"/>
      <c r="F289" s="1853">
        <v>0.05</v>
      </c>
    </row>
    <row r="290" spans="1:6" ht="14.25" thickBot="1">
      <c r="A290" s="1837" t="s">
        <v>1416</v>
      </c>
      <c r="B290" s="1838" t="s">
        <v>2192</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2193</v>
      </c>
      <c r="C292" s="1842">
        <v>0.15</v>
      </c>
      <c r="D292" s="1842">
        <v>0.15</v>
      </c>
      <c r="E292" s="1842">
        <v>0.15</v>
      </c>
      <c r="F292" s="1843">
        <v>0.14699999999999999</v>
      </c>
    </row>
    <row r="293" spans="1:6" ht="14.25" thickBot="1">
      <c r="A293" s="1837" t="s">
        <v>1416</v>
      </c>
      <c r="B293" s="1841" t="s">
        <v>2194</v>
      </c>
      <c r="C293" s="1851"/>
      <c r="D293" s="1851"/>
      <c r="E293" s="1851"/>
      <c r="F293" s="1843">
        <v>0.1</v>
      </c>
    </row>
    <row r="294" spans="1:6" ht="14.25" thickBot="1">
      <c r="A294" s="1837" t="s">
        <v>1416</v>
      </c>
      <c r="B294" s="1841" t="s">
        <v>2195</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2196</v>
      </c>
      <c r="C296" s="1842">
        <v>0.15</v>
      </c>
      <c r="D296" s="1842">
        <v>0.15</v>
      </c>
      <c r="E296" s="1842">
        <v>0.15</v>
      </c>
      <c r="F296" s="1843">
        <v>0.15</v>
      </c>
    </row>
    <row r="297" spans="1:6" ht="14.25" thickBot="1">
      <c r="A297" s="1837" t="s">
        <v>1416</v>
      </c>
      <c r="B297" s="1841" t="s">
        <v>2197</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2198</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2199</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2200</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2201</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2202</v>
      </c>
      <c r="C310" s="1842">
        <v>0.15</v>
      </c>
      <c r="D310" s="1842">
        <v>0.15</v>
      </c>
      <c r="E310" s="1842">
        <v>0.15</v>
      </c>
      <c r="F310" s="1843">
        <v>0.13700000000000001</v>
      </c>
    </row>
    <row r="311" spans="1:6" ht="14.25" thickBot="1">
      <c r="A311" s="1837" t="s">
        <v>1416</v>
      </c>
      <c r="B311" s="1841" t="s">
        <v>2203</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2204</v>
      </c>
      <c r="C313" s="1842">
        <v>0.15</v>
      </c>
      <c r="D313" s="1842">
        <v>0.15</v>
      </c>
      <c r="E313" s="1842">
        <v>0.15</v>
      </c>
      <c r="F313" s="1843">
        <v>0.15</v>
      </c>
    </row>
    <row r="314" spans="1:6" ht="24.75" thickBot="1">
      <c r="A314" s="1837" t="s">
        <v>1416</v>
      </c>
      <c r="B314" s="1841" t="s">
        <v>2205</v>
      </c>
      <c r="C314" s="1851"/>
      <c r="D314" s="1851"/>
      <c r="E314" s="1851"/>
      <c r="F314" s="1843">
        <v>0.05</v>
      </c>
    </row>
    <row r="315" spans="1:6" ht="24.75" thickBot="1">
      <c r="A315" s="1837" t="s">
        <v>1416</v>
      </c>
      <c r="B315" s="1841" t="s">
        <v>2206</v>
      </c>
      <c r="C315" s="1851"/>
      <c r="D315" s="1851"/>
      <c r="E315" s="1851"/>
      <c r="F315" s="1843">
        <v>0.05</v>
      </c>
    </row>
    <row r="316" spans="1:6" ht="24.75" thickBot="1">
      <c r="A316" s="1845" t="s">
        <v>1416</v>
      </c>
      <c r="B316" s="1852" t="s">
        <v>2207</v>
      </c>
      <c r="C316" s="1848"/>
      <c r="D316" s="1848"/>
      <c r="E316" s="1848"/>
      <c r="F316" s="1853">
        <v>0.05</v>
      </c>
    </row>
    <row r="317" spans="1:6" ht="14.25" thickBot="1">
      <c r="A317" s="1837" t="s">
        <v>2208</v>
      </c>
      <c r="B317" s="1838" t="s">
        <v>2209</v>
      </c>
      <c r="C317" s="1839">
        <v>0.15</v>
      </c>
      <c r="D317" s="1839">
        <v>0.15</v>
      </c>
      <c r="E317" s="1839">
        <v>0.15</v>
      </c>
      <c r="F317" s="1840">
        <v>0.15</v>
      </c>
    </row>
    <row r="318" spans="1:6" ht="14.25" thickBot="1">
      <c r="A318" s="1837" t="s">
        <v>2208</v>
      </c>
      <c r="B318" s="1841" t="s">
        <v>2210</v>
      </c>
      <c r="C318" s="1842">
        <v>0.107</v>
      </c>
      <c r="D318" s="1842">
        <v>0.11</v>
      </c>
      <c r="E318" s="1842">
        <v>0.112</v>
      </c>
      <c r="F318" s="1850"/>
    </row>
    <row r="319" spans="1:6" ht="14.25" thickBot="1">
      <c r="A319" s="1837" t="s">
        <v>2208</v>
      </c>
      <c r="B319" s="1841" t="s">
        <v>2211</v>
      </c>
      <c r="C319" s="1842">
        <v>0.15</v>
      </c>
      <c r="D319" s="1842">
        <v>0.15</v>
      </c>
      <c r="E319" s="1842">
        <v>0.15</v>
      </c>
      <c r="F319" s="1843">
        <v>0.15</v>
      </c>
    </row>
    <row r="320" spans="1:6" ht="14.25" thickBot="1">
      <c r="A320" s="1837" t="s">
        <v>2208</v>
      </c>
      <c r="B320" s="1841" t="s">
        <v>1104</v>
      </c>
      <c r="C320" s="1842">
        <v>0.15</v>
      </c>
      <c r="D320" s="1842">
        <v>0.15</v>
      </c>
      <c r="E320" s="1842">
        <v>0.15</v>
      </c>
      <c r="F320" s="1850"/>
    </row>
    <row r="321" spans="1:6" ht="14.25" thickBot="1">
      <c r="A321" s="1837" t="s">
        <v>2208</v>
      </c>
      <c r="B321" s="1841" t="s">
        <v>2212</v>
      </c>
      <c r="C321" s="1842">
        <v>0.15</v>
      </c>
      <c r="D321" s="1842">
        <v>0.15</v>
      </c>
      <c r="E321" s="1842">
        <v>0.15</v>
      </c>
      <c r="F321" s="1850"/>
    </row>
    <row r="322" spans="1:6" ht="14.25" thickBot="1">
      <c r="A322" s="1837" t="s">
        <v>2208</v>
      </c>
      <c r="B322" s="1841" t="s">
        <v>2213</v>
      </c>
      <c r="C322" s="1842">
        <v>0.15</v>
      </c>
      <c r="D322" s="1842">
        <v>0.15</v>
      </c>
      <c r="E322" s="1842">
        <v>0.15</v>
      </c>
      <c r="F322" s="1843">
        <v>0.15</v>
      </c>
    </row>
    <row r="323" spans="1:6" ht="14.25" thickBot="1">
      <c r="A323" s="1837" t="s">
        <v>2208</v>
      </c>
      <c r="B323" s="1841" t="s">
        <v>2214</v>
      </c>
      <c r="C323" s="1842">
        <v>0.15</v>
      </c>
      <c r="D323" s="1842">
        <v>0.15</v>
      </c>
      <c r="E323" s="1842">
        <v>0.15</v>
      </c>
      <c r="F323" s="1850"/>
    </row>
    <row r="324" spans="1:6" ht="14.25" thickBot="1">
      <c r="A324" s="1837" t="s">
        <v>2208</v>
      </c>
      <c r="B324" s="1841" t="s">
        <v>2215</v>
      </c>
      <c r="C324" s="1842">
        <v>0.15</v>
      </c>
      <c r="D324" s="1842">
        <v>0.15</v>
      </c>
      <c r="E324" s="1842">
        <v>0.15</v>
      </c>
      <c r="F324" s="1850"/>
    </row>
    <row r="325" spans="1:6" ht="14.25" thickBot="1">
      <c r="A325" s="1837" t="s">
        <v>2208</v>
      </c>
      <c r="B325" s="1841" t="s">
        <v>2216</v>
      </c>
      <c r="C325" s="1842">
        <v>0.15</v>
      </c>
      <c r="D325" s="1842">
        <v>0.15</v>
      </c>
      <c r="E325" s="1842">
        <v>0.15</v>
      </c>
      <c r="F325" s="1843">
        <v>0.14699999999999999</v>
      </c>
    </row>
    <row r="326" spans="1:6" ht="14.25" thickBot="1">
      <c r="A326" s="1837" t="s">
        <v>2208</v>
      </c>
      <c r="B326" s="1841" t="s">
        <v>1173</v>
      </c>
      <c r="C326" s="1842">
        <v>0.15</v>
      </c>
      <c r="D326" s="1842">
        <v>0.15</v>
      </c>
      <c r="E326" s="1842">
        <v>0.15</v>
      </c>
      <c r="F326" s="1850"/>
    </row>
    <row r="327" spans="1:6" ht="14.25" thickBot="1">
      <c r="A327" s="1837" t="s">
        <v>2208</v>
      </c>
      <c r="B327" s="1841" t="s">
        <v>2217</v>
      </c>
      <c r="C327" s="1842">
        <v>0.15</v>
      </c>
      <c r="D327" s="1842">
        <v>0.15</v>
      </c>
      <c r="E327" s="1842">
        <v>0.15</v>
      </c>
      <c r="F327" s="1843">
        <v>0.15</v>
      </c>
    </row>
    <row r="328" spans="1:6" ht="14.25" thickBot="1">
      <c r="A328" s="1837" t="s">
        <v>2208</v>
      </c>
      <c r="B328" s="1841" t="s">
        <v>1193</v>
      </c>
      <c r="C328" s="1842">
        <v>0.15</v>
      </c>
      <c r="D328" s="1842">
        <v>0.15</v>
      </c>
      <c r="E328" s="1842">
        <v>0.15</v>
      </c>
      <c r="F328" s="1843">
        <v>0.14099999999999999</v>
      </c>
    </row>
    <row r="329" spans="1:6" ht="14.25" thickBot="1">
      <c r="A329" s="1837" t="s">
        <v>2208</v>
      </c>
      <c r="B329" s="1841" t="s">
        <v>1203</v>
      </c>
      <c r="C329" s="1842">
        <v>0.15</v>
      </c>
      <c r="D329" s="1842">
        <v>0.15</v>
      </c>
      <c r="E329" s="1842">
        <v>0.15</v>
      </c>
      <c r="F329" s="1843">
        <v>0.15</v>
      </c>
    </row>
    <row r="330" spans="1:6" ht="14.25" thickBot="1">
      <c r="A330" s="1837" t="s">
        <v>2208</v>
      </c>
      <c r="B330" s="1841" t="s">
        <v>1213</v>
      </c>
      <c r="C330" s="1842">
        <v>0.15</v>
      </c>
      <c r="D330" s="1842">
        <v>0.15</v>
      </c>
      <c r="E330" s="1842">
        <v>0.15</v>
      </c>
      <c r="F330" s="1850"/>
    </row>
    <row r="331" spans="1:6" ht="14.25" thickBot="1">
      <c r="A331" s="1837" t="s">
        <v>2208</v>
      </c>
      <c r="B331" s="1841" t="s">
        <v>2218</v>
      </c>
      <c r="C331" s="1842">
        <v>0.15</v>
      </c>
      <c r="D331" s="1842">
        <v>0.15</v>
      </c>
      <c r="E331" s="1842">
        <v>0.15</v>
      </c>
      <c r="F331" s="1843">
        <v>0.15</v>
      </c>
    </row>
    <row r="332" spans="1:6" ht="14.25" thickBot="1">
      <c r="A332" s="1837" t="s">
        <v>2208</v>
      </c>
      <c r="B332" s="1841" t="s">
        <v>1233</v>
      </c>
      <c r="C332" s="1842">
        <v>0.15</v>
      </c>
      <c r="D332" s="1842">
        <v>0.15</v>
      </c>
      <c r="E332" s="1842">
        <v>0.15</v>
      </c>
      <c r="F332" s="1843">
        <v>0.15</v>
      </c>
    </row>
    <row r="333" spans="1:6" ht="14.25" thickBot="1">
      <c r="A333" s="1837" t="s">
        <v>2208</v>
      </c>
      <c r="B333" s="1841" t="s">
        <v>2219</v>
      </c>
      <c r="C333" s="1842">
        <v>0.15</v>
      </c>
      <c r="D333" s="1842">
        <v>0.15</v>
      </c>
      <c r="E333" s="1842">
        <v>0.15</v>
      </c>
      <c r="F333" s="1843">
        <v>0.14099999999999999</v>
      </c>
    </row>
    <row r="334" spans="1:6" ht="14.25" thickBot="1">
      <c r="A334" s="1837" t="s">
        <v>2208</v>
      </c>
      <c r="B334" s="1841" t="s">
        <v>1253</v>
      </c>
      <c r="C334" s="1842">
        <v>0.15</v>
      </c>
      <c r="D334" s="1842">
        <v>0.15</v>
      </c>
      <c r="E334" s="1842">
        <v>0.15</v>
      </c>
      <c r="F334" s="1843">
        <v>0.15</v>
      </c>
    </row>
    <row r="335" spans="1:6" ht="14.25" thickBot="1">
      <c r="A335" s="1837" t="s">
        <v>2208</v>
      </c>
      <c r="B335" s="1841" t="s">
        <v>1263</v>
      </c>
      <c r="C335" s="1842">
        <v>0.15</v>
      </c>
      <c r="D335" s="1842">
        <v>0.15</v>
      </c>
      <c r="E335" s="1842">
        <v>0.15</v>
      </c>
      <c r="F335" s="1850"/>
    </row>
    <row r="336" spans="1:6" ht="14.25" thickBot="1">
      <c r="A336" s="1837" t="s">
        <v>2208</v>
      </c>
      <c r="B336" s="1841" t="s">
        <v>2220</v>
      </c>
      <c r="C336" s="1842">
        <v>0.15</v>
      </c>
      <c r="D336" s="1842">
        <v>0.15</v>
      </c>
      <c r="E336" s="1842">
        <v>0.15</v>
      </c>
      <c r="F336" s="1843">
        <v>0.11799999999999999</v>
      </c>
    </row>
    <row r="337" spans="1:6" ht="14.25" thickBot="1">
      <c r="A337" s="1845" t="s">
        <v>2208</v>
      </c>
      <c r="B337" s="1852" t="s">
        <v>1281</v>
      </c>
      <c r="C337" s="1848"/>
      <c r="D337" s="1848"/>
      <c r="E337" s="1848"/>
      <c r="F337" s="1853">
        <v>0.14299999999999999</v>
      </c>
    </row>
    <row r="338" spans="1:6" ht="14.25" thickBot="1">
      <c r="A338" s="1837" t="s">
        <v>2221</v>
      </c>
      <c r="B338" s="1838" t="s">
        <v>2222</v>
      </c>
      <c r="C338" s="1839">
        <v>0.15</v>
      </c>
      <c r="D338" s="1839">
        <v>0.15</v>
      </c>
      <c r="E338" s="1839">
        <v>0.15</v>
      </c>
      <c r="F338" s="1861"/>
    </row>
    <row r="339" spans="1:6" ht="14.25" thickBot="1">
      <c r="A339" s="1837" t="s">
        <v>2221</v>
      </c>
      <c r="B339" s="1841" t="s">
        <v>2223</v>
      </c>
      <c r="C339" s="1842">
        <v>0.15</v>
      </c>
      <c r="D339" s="1842">
        <v>0.15</v>
      </c>
      <c r="E339" s="1842">
        <v>0.15</v>
      </c>
      <c r="F339" s="1850"/>
    </row>
    <row r="340" spans="1:6" ht="14.25" thickBot="1">
      <c r="A340" s="1837" t="s">
        <v>2221</v>
      </c>
      <c r="B340" s="1841" t="s">
        <v>2224</v>
      </c>
      <c r="C340" s="1842">
        <v>0.15</v>
      </c>
      <c r="D340" s="1842">
        <v>0.15</v>
      </c>
      <c r="E340" s="1842">
        <v>0.15</v>
      </c>
      <c r="F340" s="1850"/>
    </row>
    <row r="341" spans="1:6" ht="14.25" thickBot="1">
      <c r="A341" s="1837" t="s">
        <v>2225</v>
      </c>
      <c r="B341" s="1841" t="s">
        <v>2226</v>
      </c>
      <c r="C341" s="1842">
        <v>0.15</v>
      </c>
      <c r="D341" s="1842">
        <v>0.15</v>
      </c>
      <c r="E341" s="1842">
        <v>0.15</v>
      </c>
      <c r="F341" s="1843">
        <v>0.15</v>
      </c>
    </row>
    <row r="342" spans="1:6" ht="14.25" thickBot="1">
      <c r="A342" s="1837" t="s">
        <v>2221</v>
      </c>
      <c r="B342" s="1841" t="s">
        <v>2227</v>
      </c>
      <c r="C342" s="1842">
        <v>0.15</v>
      </c>
      <c r="D342" s="1842">
        <v>0.15</v>
      </c>
      <c r="E342" s="1842">
        <v>0.15</v>
      </c>
      <c r="F342" s="1843">
        <v>0.15</v>
      </c>
    </row>
    <row r="343" spans="1:6" ht="14.25" thickBot="1">
      <c r="A343" s="1837" t="s">
        <v>2221</v>
      </c>
      <c r="B343" s="1841" t="s">
        <v>2228</v>
      </c>
      <c r="C343" s="1842">
        <v>0.15</v>
      </c>
      <c r="D343" s="1842">
        <v>0.15</v>
      </c>
      <c r="E343" s="1842">
        <v>0.15</v>
      </c>
      <c r="F343" s="1843">
        <v>0.15</v>
      </c>
    </row>
    <row r="344" spans="1:6" ht="14.25" thickBot="1">
      <c r="A344" s="1845" t="s">
        <v>2221</v>
      </c>
      <c r="B344" s="1852" t="s">
        <v>2229</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064"/>
    <col min="2" max="6" width="9" style="3064" customWidth="1"/>
    <col min="7" max="7" width="9" style="3102" customWidth="1"/>
    <col min="8" max="12" width="9" style="3064" customWidth="1"/>
    <col min="13" max="13" width="2.25" style="3064" customWidth="1"/>
    <col min="14" max="14" width="9" style="3102" customWidth="1"/>
    <col min="15" max="17" width="9" style="3064" customWidth="1"/>
    <col min="18" max="18" width="2.375" style="3064" customWidth="1"/>
    <col min="19" max="19" width="7.125" style="3102"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590" t="s">
        <v>2566</v>
      </c>
      <c r="C1" s="3590"/>
      <c r="D1" s="3590"/>
      <c r="E1" s="3590"/>
      <c r="F1" s="3590"/>
      <c r="G1" s="3589" t="s">
        <v>2567</v>
      </c>
      <c r="H1" s="3589"/>
      <c r="I1" s="3589"/>
      <c r="J1" s="3589"/>
      <c r="K1" s="3589"/>
      <c r="L1" s="3589"/>
      <c r="N1" s="3589" t="s">
        <v>2568</v>
      </c>
      <c r="O1" s="3589"/>
      <c r="P1" s="3589"/>
      <c r="Q1" s="3589"/>
      <c r="S1" s="3589" t="s">
        <v>2569</v>
      </c>
      <c r="T1" s="3589"/>
      <c r="U1" s="3589"/>
      <c r="V1" s="3589"/>
      <c r="X1" s="3588" t="s">
        <v>2629</v>
      </c>
      <c r="Y1" s="3589"/>
      <c r="Z1" s="3589"/>
      <c r="AA1" s="3589"/>
      <c r="AB1" s="3589"/>
      <c r="AD1" s="3588" t="s">
        <v>2633</v>
      </c>
      <c r="AE1" s="3589"/>
      <c r="AF1" s="3589"/>
      <c r="AG1" s="3589"/>
      <c r="AH1" s="3589"/>
    </row>
    <row r="2" spans="1:34" s="3043" customFormat="1" ht="14.25" thickBot="1">
      <c r="B2" s="3044" t="s">
        <v>2570</v>
      </c>
      <c r="C2" s="3044" t="s">
        <v>2631</v>
      </c>
      <c r="D2" s="3045" t="s">
        <v>1641</v>
      </c>
      <c r="E2" s="3045" t="s">
        <v>1941</v>
      </c>
      <c r="F2" s="3044" t="s">
        <v>2632</v>
      </c>
      <c r="G2" s="3046"/>
      <c r="I2" s="3044" t="s">
        <v>2945</v>
      </c>
      <c r="J2" s="3045" t="s">
        <v>2947</v>
      </c>
      <c r="K2" s="3045" t="s">
        <v>2948</v>
      </c>
      <c r="L2" s="3044" t="s">
        <v>2949</v>
      </c>
      <c r="N2" s="3044" t="s">
        <v>2570</v>
      </c>
      <c r="O2" s="3045" t="s">
        <v>2946</v>
      </c>
      <c r="P2" s="3045" t="s">
        <v>1941</v>
      </c>
      <c r="Q2" s="3044" t="s">
        <v>2632</v>
      </c>
      <c r="S2" s="3044" t="s">
        <v>2570</v>
      </c>
      <c r="T2" s="3045" t="s">
        <v>2946</v>
      </c>
      <c r="U2" s="3045" t="s">
        <v>1941</v>
      </c>
      <c r="V2" s="3044" t="s">
        <v>2632</v>
      </c>
      <c r="X2" s="3044" t="s">
        <v>2570</v>
      </c>
      <c r="Y2" s="3044" t="s">
        <v>2631</v>
      </c>
      <c r="Z2" s="3045" t="s">
        <v>1641</v>
      </c>
      <c r="AA2" s="3045" t="s">
        <v>1941</v>
      </c>
      <c r="AB2" s="3044" t="s">
        <v>2632</v>
      </c>
      <c r="AD2" s="3044" t="s">
        <v>2570</v>
      </c>
      <c r="AE2" s="3044" t="s">
        <v>2631</v>
      </c>
      <c r="AF2" s="3045" t="s">
        <v>1641</v>
      </c>
      <c r="AG2" s="3045" t="s">
        <v>1941</v>
      </c>
      <c r="AH2" s="3044" t="s">
        <v>2632</v>
      </c>
    </row>
    <row r="3" spans="1:34" s="3053" customFormat="1" ht="14.25">
      <c r="A3" s="3047" t="s">
        <v>2958</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 t="shared" ref="Z3:Z28" si="0">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1">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2992</v>
      </c>
      <c r="B5" s="3067">
        <f t="shared" ref="B5" si="2">B6*(1+N5)</f>
        <v>481.4103506697644</v>
      </c>
      <c r="C5" s="3067">
        <f t="shared" ref="C5" si="3">C6*(1+O5)</f>
        <v>347.29066026648707</v>
      </c>
      <c r="D5" s="3067">
        <f t="shared" ref="D5" si="4">C5</f>
        <v>347.29066026648707</v>
      </c>
      <c r="E5" s="3067">
        <f t="shared" ref="E5" si="5">E6*(1+P5)</f>
        <v>690.85977273901995</v>
      </c>
      <c r="F5" s="3067">
        <f t="shared" ref="F5" si="6">F6*(1+Q5)</f>
        <v>319.13136737000184</v>
      </c>
      <c r="G5" s="3060">
        <v>2020</v>
      </c>
      <c r="H5" s="3068">
        <v>3</v>
      </c>
      <c r="I5" s="3069">
        <v>0</v>
      </c>
      <c r="J5" s="3069">
        <v>0</v>
      </c>
      <c r="K5" s="3069">
        <v>0</v>
      </c>
      <c r="L5" s="3069">
        <v>0</v>
      </c>
      <c r="N5" s="3071">
        <f t="shared" ref="N5" si="7">I5/100</f>
        <v>0</v>
      </c>
      <c r="O5" s="3071">
        <f t="shared" ref="O5" si="8">J5/100</f>
        <v>0</v>
      </c>
      <c r="P5" s="3071">
        <f t="shared" ref="P5" si="9">K5/100</f>
        <v>0</v>
      </c>
      <c r="Q5" s="3071">
        <f t="shared" ref="Q5" si="10">L5/100</f>
        <v>0</v>
      </c>
      <c r="S5" s="3072"/>
      <c r="W5" s="3073" t="s">
        <v>2959</v>
      </c>
      <c r="X5" s="3074">
        <f>ROUND(IF(项目基本情况!B7="出让",SUMPRODUCT(PRODUCT(1+N5:N$31)),SUMPRODUCT(PRODUCT(1+N5:N$30))),4)</f>
        <v>1.5652999999999999</v>
      </c>
      <c r="Y5" s="3074">
        <f>ROUND(IF(项目基本情况!B7="出让",SUMPRODUCT(PRODUCT(1+O5:O$31)),SUMPRODUCT(PRODUCT(1+O5:O$30))),4)</f>
        <v>1.3472</v>
      </c>
      <c r="Z5" s="3074">
        <f t="shared" ref="Z5" si="11">Y5</f>
        <v>1.3472</v>
      </c>
      <c r="AA5" s="3074">
        <f>ROUND(IF(项目基本情况!B7="出让",SUMPRODUCT(PRODUCT(1+P5:P$31)),SUMPRODUCT(PRODUCT(1+P5:P$30))),4)</f>
        <v>1.6335999999999999</v>
      </c>
      <c r="AB5" s="3074">
        <f>ROUND(IF(项目基本情况!B7="出让",SUMPRODUCT(PRODUCT(1+Q5:Q$31)),SUMPRODUCT(PRODUCT(1+Q5:Q$30))),4)</f>
        <v>1.3880999999999999</v>
      </c>
      <c r="AD5" s="3075">
        <f>ROUND(AVERAGE(I5:I$31)/100,4)</f>
        <v>1.7899999999999999E-2</v>
      </c>
      <c r="AE5" s="3075">
        <f>ROUND(AVERAGE(J5:J$31)/100,4)</f>
        <v>1.2E-2</v>
      </c>
      <c r="AF5" s="3075">
        <f t="shared" ref="AF5" si="12">AE5</f>
        <v>1.2E-2</v>
      </c>
      <c r="AG5" s="3075">
        <f>ROUND(AVERAGE(K5:K$31)/100,4)</f>
        <v>1.9699999999999999E-2</v>
      </c>
      <c r="AH5" s="3075">
        <f>ROUND(AVERAGE(L5:L$31)/100,4)</f>
        <v>1.2699999999999999E-2</v>
      </c>
    </row>
    <row r="6" spans="1:34" s="3083" customFormat="1">
      <c r="A6" s="3076" t="s">
        <v>2991</v>
      </c>
      <c r="B6" s="3077">
        <f t="shared" ref="B6" si="13">B7*(1+N6)</f>
        <v>481.4103506697644</v>
      </c>
      <c r="C6" s="3077">
        <f t="shared" ref="C6" si="14">C7*(1+O6)</f>
        <v>347.29066026648707</v>
      </c>
      <c r="D6" s="3077">
        <f t="shared" ref="D6" si="15">C6</f>
        <v>347.29066026648707</v>
      </c>
      <c r="E6" s="3077">
        <f t="shared" ref="E6" si="16">E7*(1+P6)</f>
        <v>690.85977273901995</v>
      </c>
      <c r="F6" s="3077">
        <f t="shared" ref="F6" si="17">F7*(1+Q6)</f>
        <v>319.13136737000184</v>
      </c>
      <c r="G6" s="3060">
        <v>2020</v>
      </c>
      <c r="H6" s="3078">
        <v>2</v>
      </c>
      <c r="I6" s="3040">
        <v>0.31</v>
      </c>
      <c r="J6" s="3040">
        <v>-0.78</v>
      </c>
      <c r="K6" s="3040">
        <v>0.5</v>
      </c>
      <c r="L6" s="3041">
        <v>0.47</v>
      </c>
      <c r="M6" s="3064"/>
      <c r="N6" s="3079">
        <f t="shared" ref="N6" si="18">I6/100</f>
        <v>3.0999999999999999E-3</v>
      </c>
      <c r="O6" s="3065">
        <f t="shared" ref="O6" si="19">J6/100</f>
        <v>-7.8000000000000005E-3</v>
      </c>
      <c r="P6" s="3065">
        <f t="shared" ref="P6" si="20">K6/100</f>
        <v>5.0000000000000001E-3</v>
      </c>
      <c r="Q6" s="3065">
        <f t="shared" ref="Q6" si="21">L6/100</f>
        <v>4.6999999999999993E-3</v>
      </c>
      <c r="R6" s="3080"/>
      <c r="S6" s="3081"/>
      <c r="T6" s="3082"/>
      <c r="U6" s="3082"/>
      <c r="V6" s="3082"/>
      <c r="W6" s="3064"/>
      <c r="X6" s="3064">
        <f>ROUND(IF(项目基本情况!B8="出让",SUMPRODUCT(PRODUCT(1+N6:N$31)),SUMPRODUCT(PRODUCT(1+N6:N$30))),4)</f>
        <v>1.5652999999999999</v>
      </c>
      <c r="Y6" s="3064">
        <f>ROUND(IF(项目基本情况!B8="出让",SUMPRODUCT(PRODUCT(1+O6:O$31)),SUMPRODUCT(PRODUCT(1+O6:O$30))),4)</f>
        <v>1.3472</v>
      </c>
      <c r="Z6" s="3064">
        <f t="shared" ref="Z6" si="22">Y6</f>
        <v>1.3472</v>
      </c>
      <c r="AA6" s="3064">
        <f>ROUND(IF(项目基本情况!B8="出让",SUMPRODUCT(PRODUCT(1+P6:P$31)),SUMPRODUCT(PRODUCT(1+P6:P$30))),4)</f>
        <v>1.6335999999999999</v>
      </c>
      <c r="AB6" s="3064">
        <f>ROUND(IF(项目基本情况!B8="出让",SUMPRODUCT(PRODUCT(1+Q6:Q$31)),SUMPRODUCT(PRODUCT(1+Q6:Q$30))),4)</f>
        <v>1.3880999999999999</v>
      </c>
      <c r="AC6" s="3064"/>
      <c r="AD6" s="3065">
        <f>ROUND(AVERAGE(I6:I$31)/100,4)</f>
        <v>1.8599999999999998E-2</v>
      </c>
      <c r="AE6" s="3065">
        <f>ROUND(AVERAGE(J6:J$31)/100,4)</f>
        <v>1.2500000000000001E-2</v>
      </c>
      <c r="AF6" s="3065">
        <f t="shared" ref="AF6" si="23">AE6</f>
        <v>1.2500000000000001E-2</v>
      </c>
      <c r="AG6" s="3065">
        <f>ROUND(AVERAGE(K6:K$31)/100,4)</f>
        <v>2.0400000000000001E-2</v>
      </c>
      <c r="AH6" s="3065">
        <f>ROUND(AVERAGE(L6:L$31)/100,4)</f>
        <v>1.32E-2</v>
      </c>
    </row>
    <row r="7" spans="1:34" s="3083" customFormat="1">
      <c r="A7" s="3076" t="s">
        <v>2987</v>
      </c>
      <c r="B7" s="3077">
        <f t="shared" ref="B7" si="24">B8*(1+N7)</f>
        <v>479.92259063878413</v>
      </c>
      <c r="C7" s="3077">
        <f t="shared" ref="C7" si="25">C8*(1+O7)</f>
        <v>350.02082268341775</v>
      </c>
      <c r="D7" s="3077">
        <f t="shared" ref="D7" si="26">C7</f>
        <v>350.02082268341775</v>
      </c>
      <c r="E7" s="3077">
        <f t="shared" ref="E7" si="27">E8*(1+P7)</f>
        <v>687.42265944181099</v>
      </c>
      <c r="F7" s="3077">
        <f t="shared" ref="F7" si="28">F8*(1+Q7)</f>
        <v>317.63846657708956</v>
      </c>
      <c r="G7" s="3060">
        <v>2020</v>
      </c>
      <c r="H7" s="3078">
        <v>1</v>
      </c>
      <c r="I7" s="3040">
        <v>0.12</v>
      </c>
      <c r="J7" s="3040">
        <v>-0.4</v>
      </c>
      <c r="K7" s="3040">
        <v>0.21</v>
      </c>
      <c r="L7" s="3041">
        <v>0.27</v>
      </c>
      <c r="M7" s="3064"/>
      <c r="N7" s="3079">
        <f t="shared" ref="N7" si="29">I7/100</f>
        <v>1.1999999999999999E-3</v>
      </c>
      <c r="O7" s="3065">
        <f t="shared" ref="O7" si="30">J7/100</f>
        <v>-4.0000000000000001E-3</v>
      </c>
      <c r="P7" s="3065">
        <f t="shared" ref="P7" si="31">K7/100</f>
        <v>2.0999999999999999E-3</v>
      </c>
      <c r="Q7" s="3065">
        <f t="shared" ref="Q7" si="32">L7/100</f>
        <v>2.7000000000000001E-3</v>
      </c>
      <c r="R7" s="3080"/>
      <c r="S7" s="3081">
        <f>B7/B8-1</f>
        <v>1.2000000000000899E-3</v>
      </c>
      <c r="T7" s="3082">
        <f>C7/C8-1</f>
        <v>-4.0000000000000036E-3</v>
      </c>
      <c r="U7" s="3082">
        <f>E7/E8-1</f>
        <v>2.0999999999999908E-3</v>
      </c>
      <c r="V7" s="3082">
        <f>F7/F8-1</f>
        <v>2.6999999999999247E-3</v>
      </c>
      <c r="W7" s="3064"/>
      <c r="X7" s="3064">
        <f>ROUND(IF(项目基本情况!B8="出让",SUMPRODUCT(PRODUCT(1+N7:N$31)),SUMPRODUCT(PRODUCT(1+N7:N$30))),4)</f>
        <v>1.5605</v>
      </c>
      <c r="Y7" s="3064">
        <f>ROUND(IF(项目基本情况!B8="出让",SUMPRODUCT(PRODUCT(1+O7:O$31)),SUMPRODUCT(PRODUCT(1+O7:O$30))),4)</f>
        <v>1.3577999999999999</v>
      </c>
      <c r="Z7" s="3064">
        <f t="shared" ref="Z7" si="33">Y7</f>
        <v>1.3577999999999999</v>
      </c>
      <c r="AA7" s="3064">
        <f>ROUND(IF(项目基本情况!B8="出让",SUMPRODUCT(PRODUCT(1+P7:P$31)),SUMPRODUCT(PRODUCT(1+P7:P$30))),4)</f>
        <v>1.6254999999999999</v>
      </c>
      <c r="AB7" s="3064">
        <f>ROUND(IF(项目基本情况!B8="出让",SUMPRODUCT(PRODUCT(1+Q7:Q$31)),SUMPRODUCT(PRODUCT(1+Q7:Q$30))),4)</f>
        <v>1.3815999999999999</v>
      </c>
      <c r="AC7" s="3064"/>
      <c r="AD7" s="3065">
        <f>ROUND(AVERAGE(I7:I$31)/100,4)</f>
        <v>1.9199999999999998E-2</v>
      </c>
      <c r="AE7" s="3065">
        <f>ROUND(AVERAGE(J7:J$31)/100,4)</f>
        <v>1.3299999999999999E-2</v>
      </c>
      <c r="AF7" s="3065">
        <f t="shared" ref="AF7" si="34">AE7</f>
        <v>1.3299999999999999E-2</v>
      </c>
      <c r="AG7" s="3065">
        <f>ROUND(AVERAGE(K7:K$31)/100,4)</f>
        <v>2.1100000000000001E-2</v>
      </c>
      <c r="AH7" s="3065">
        <f>ROUND(AVERAGE(L7:L$31)/100,4)</f>
        <v>1.3599999999999999E-2</v>
      </c>
    </row>
    <row r="8" spans="1:34" s="3083" customFormat="1">
      <c r="A8" s="3076" t="s">
        <v>2983</v>
      </c>
      <c r="B8" s="3077">
        <f t="shared" ref="B8" si="35">B9*(1+N8)</f>
        <v>479.34737379023579</v>
      </c>
      <c r="C8" s="3077">
        <f t="shared" ref="C8" si="36">C9*(1+O8)</f>
        <v>351.4265287986122</v>
      </c>
      <c r="D8" s="3077">
        <f t="shared" ref="D8" si="37">C8</f>
        <v>351.4265287986122</v>
      </c>
      <c r="E8" s="3077">
        <f t="shared" ref="E8" si="38">E9*(1+P8)</f>
        <v>685.98209703803116</v>
      </c>
      <c r="F8" s="3077">
        <f t="shared" ref="F8" si="39">F9*(1+Q8)</f>
        <v>316.78315206651001</v>
      </c>
      <c r="G8" s="3060">
        <v>2019</v>
      </c>
      <c r="H8" s="3078">
        <v>4</v>
      </c>
      <c r="I8" s="3078">
        <v>0.45</v>
      </c>
      <c r="J8" s="3078">
        <v>-0.12</v>
      </c>
      <c r="K8" s="3078">
        <v>0.54</v>
      </c>
      <c r="L8" s="3084">
        <v>0.48</v>
      </c>
      <c r="M8" s="3064"/>
      <c r="N8" s="3079">
        <f t="shared" ref="N8" si="40">I8/100</f>
        <v>4.5000000000000005E-3</v>
      </c>
      <c r="O8" s="3065">
        <f t="shared" ref="O8" si="41">J8/100</f>
        <v>-1.1999999999999999E-3</v>
      </c>
      <c r="P8" s="3065">
        <f t="shared" ref="P8" si="42">K8/100</f>
        <v>5.4000000000000003E-3</v>
      </c>
      <c r="Q8" s="3065">
        <f t="shared" ref="Q8" si="43">L8/100</f>
        <v>4.7999999999999996E-3</v>
      </c>
      <c r="R8" s="3080"/>
      <c r="S8" s="3081"/>
      <c r="T8" s="3082"/>
      <c r="U8" s="3082"/>
      <c r="V8" s="3082"/>
      <c r="W8" s="3064"/>
      <c r="X8" s="3064">
        <f>ROUND(IF(项目基本情况!B8="出让",SUMPRODUCT(PRODUCT(1+N8:N$31)),SUMPRODUCT(PRODUCT(1+N8:N$30))),4)</f>
        <v>1.5586</v>
      </c>
      <c r="Y8" s="3064">
        <f>ROUND(IF(项目基本情况!B8="出让",SUMPRODUCT(PRODUCT(1+O8:O$31)),SUMPRODUCT(PRODUCT(1+O8:O$30))),4)</f>
        <v>1.3633</v>
      </c>
      <c r="Z8" s="3064">
        <f t="shared" ref="Z8" si="44">Y8</f>
        <v>1.3633</v>
      </c>
      <c r="AA8" s="3064">
        <f>ROUND(IF(项目基本情况!B8="出让",SUMPRODUCT(PRODUCT(1+P8:P$31)),SUMPRODUCT(PRODUCT(1+P8:P$30))),4)</f>
        <v>1.6221000000000001</v>
      </c>
      <c r="AB8" s="3064">
        <f>ROUND(IF(项目基本情况!B8="出让",SUMPRODUCT(PRODUCT(1+Q8:Q$31)),SUMPRODUCT(PRODUCT(1+Q8:Q$30))),4)</f>
        <v>1.3777999999999999</v>
      </c>
      <c r="AC8" s="3064"/>
      <c r="AD8" s="3065">
        <f>ROUND(AVERAGE(I8:I$31)/100,4)</f>
        <v>0.02</v>
      </c>
      <c r="AE8" s="3065">
        <f>ROUND(AVERAGE(J8:J$31)/100,4)</f>
        <v>1.4E-2</v>
      </c>
      <c r="AF8" s="3065">
        <f t="shared" ref="AF8" si="45">AE8</f>
        <v>1.4E-2</v>
      </c>
      <c r="AG8" s="3065">
        <f>ROUND(AVERAGE(K8:K$31)/100,4)</f>
        <v>2.1899999999999999E-2</v>
      </c>
      <c r="AH8" s="3065">
        <f>ROUND(AVERAGE(L8:L$31)/100,4)</f>
        <v>1.4E-2</v>
      </c>
    </row>
    <row r="9" spans="1:34" s="3083" customFormat="1" ht="13.5" thickBot="1">
      <c r="A9" s="3076" t="s">
        <v>2982</v>
      </c>
      <c r="B9" s="3077">
        <f t="shared" ref="B9" si="46">B10*(1+N9)</f>
        <v>477.19997390765138</v>
      </c>
      <c r="C9" s="3077">
        <f t="shared" ref="C9" si="47">C10*(1+O9)</f>
        <v>351.84874729536665</v>
      </c>
      <c r="D9" s="3077">
        <f t="shared" ref="D9" si="48">C9</f>
        <v>351.84874729536665</v>
      </c>
      <c r="E9" s="3077">
        <f t="shared" ref="E9" si="49">E10*(1+P9)</f>
        <v>682.29768951465201</v>
      </c>
      <c r="F9" s="3077">
        <f t="shared" ref="F9" si="50">F10*(1+Q9)</f>
        <v>315.26985675409043</v>
      </c>
      <c r="G9" s="3060">
        <v>2019</v>
      </c>
      <c r="H9" s="3078">
        <v>3</v>
      </c>
      <c r="I9" s="3078">
        <v>0.61</v>
      </c>
      <c r="J9" s="3078">
        <v>0.67</v>
      </c>
      <c r="K9" s="3078">
        <v>0.6</v>
      </c>
      <c r="L9" s="3084">
        <v>1.03</v>
      </c>
      <c r="M9" s="3064"/>
      <c r="N9" s="3079">
        <f t="shared" ref="N9" si="51">I9/100</f>
        <v>6.0999999999999995E-3</v>
      </c>
      <c r="O9" s="3065">
        <f t="shared" ref="O9" si="52">J9/100</f>
        <v>6.7000000000000002E-3</v>
      </c>
      <c r="P9" s="3065">
        <f t="shared" ref="P9" si="53">K9/100</f>
        <v>6.0000000000000001E-3</v>
      </c>
      <c r="Q9" s="3065">
        <f t="shared" ref="Q9" si="54">L9/100</f>
        <v>1.03E-2</v>
      </c>
      <c r="R9" s="3080"/>
      <c r="S9" s="3081"/>
      <c r="T9" s="3082"/>
      <c r="U9" s="3082"/>
      <c r="V9" s="3082"/>
      <c r="W9" s="3064"/>
      <c r="X9" s="3064">
        <f>ROUND(IF(项目基本情况!B8="出让",SUMPRODUCT(PRODUCT(1+N9:N$31)),SUMPRODUCT(PRODUCT(1+N9:N$30))),4)</f>
        <v>1.5516000000000001</v>
      </c>
      <c r="Y9" s="3064">
        <f>ROUND(IF(项目基本情况!B8="出让",SUMPRODUCT(PRODUCT(1+O9:O$31)),SUMPRODUCT(PRODUCT(1+O9:O$30))),4)</f>
        <v>1.3649</v>
      </c>
      <c r="Z9" s="3064">
        <f t="shared" ref="Z9" si="55">Y9</f>
        <v>1.3649</v>
      </c>
      <c r="AA9" s="3064">
        <f>ROUND(IF(项目基本情况!B8="出让",SUMPRODUCT(PRODUCT(1+P9:P$31)),SUMPRODUCT(PRODUCT(1+P9:P$30))),4)</f>
        <v>1.6133999999999999</v>
      </c>
      <c r="AB9" s="3064">
        <f>ROUND(IF(项目基本情况!B8="出让",SUMPRODUCT(PRODUCT(1+Q9:Q$31)),SUMPRODUCT(PRODUCT(1+Q9:Q$30))),4)</f>
        <v>1.3713</v>
      </c>
      <c r="AC9" s="3064"/>
      <c r="AD9" s="3065">
        <f>ROUND(AVERAGE(I9:I$31)/100,4)</f>
        <v>2.07E-2</v>
      </c>
      <c r="AE9" s="3065">
        <f>ROUND(AVERAGE(J9:J$31)/100,4)</f>
        <v>1.47E-2</v>
      </c>
      <c r="AF9" s="3065">
        <f t="shared" ref="AF9" si="56">AE9</f>
        <v>1.47E-2</v>
      </c>
      <c r="AG9" s="3065">
        <f>ROUND(AVERAGE(K9:K$31)/100,4)</f>
        <v>2.2599999999999999E-2</v>
      </c>
      <c r="AH9" s="3065">
        <f>ROUND(AVERAGE(L9:L$31)/100,4)</f>
        <v>1.44E-2</v>
      </c>
    </row>
    <row r="10" spans="1:34" s="3083" customFormat="1">
      <c r="A10" s="3076" t="s">
        <v>2979</v>
      </c>
      <c r="B10" s="3077">
        <f t="shared" ref="B10:B15" si="57">B11*(1+N10)</f>
        <v>474.30670301923408</v>
      </c>
      <c r="C10" s="3077">
        <f t="shared" ref="C10" si="58">C11*(1+O10)</f>
        <v>349.50705005996491</v>
      </c>
      <c r="D10" s="3077">
        <f t="shared" ref="D10" si="59">C10</f>
        <v>349.50705005996491</v>
      </c>
      <c r="E10" s="3077">
        <f t="shared" ref="E10" si="60">E11*(1+P10)</f>
        <v>678.22831959706957</v>
      </c>
      <c r="F10" s="3077">
        <f t="shared" ref="F10" si="61">F11*(1+Q10)</f>
        <v>312.0556832169558</v>
      </c>
      <c r="G10" s="3060">
        <v>2019</v>
      </c>
      <c r="H10" s="3085">
        <v>2</v>
      </c>
      <c r="I10" s="3085">
        <v>1.53</v>
      </c>
      <c r="J10" s="3085">
        <v>1.01</v>
      </c>
      <c r="K10" s="3085">
        <v>1.62</v>
      </c>
      <c r="L10" s="3086">
        <v>1.25</v>
      </c>
      <c r="M10" s="3064"/>
      <c r="N10" s="3079">
        <f t="shared" ref="N10" si="62">I10/100</f>
        <v>1.5300000000000001E-2</v>
      </c>
      <c r="O10" s="3065">
        <f t="shared" ref="O10" si="63">J10/100</f>
        <v>1.01E-2</v>
      </c>
      <c r="P10" s="3065">
        <f t="shared" ref="P10" si="64">K10/100</f>
        <v>1.6200000000000003E-2</v>
      </c>
      <c r="Q10" s="3065">
        <f t="shared" ref="Q10" si="65">L10/100</f>
        <v>1.2500000000000001E-2</v>
      </c>
      <c r="R10" s="3080"/>
      <c r="S10" s="3081"/>
      <c r="T10" s="3082"/>
      <c r="U10" s="3082"/>
      <c r="V10" s="3082"/>
      <c r="W10" s="3064"/>
      <c r="X10" s="3064">
        <f>ROUND(IF(项目基本情况!B8="出让",SUMPRODUCT(PRODUCT(1+N10:N$31)),SUMPRODUCT(PRODUCT(1+N10:N$30))),4)</f>
        <v>1.5422</v>
      </c>
      <c r="Y10" s="3064">
        <f>ROUND(IF(项目基本情况!B8="出让",SUMPRODUCT(PRODUCT(1+O10:O$31)),SUMPRODUCT(PRODUCT(1+O10:O$30))),4)</f>
        <v>1.3557999999999999</v>
      </c>
      <c r="Z10" s="3064">
        <f t="shared" ref="Z10" si="66">Y10</f>
        <v>1.3557999999999999</v>
      </c>
      <c r="AA10" s="3064">
        <f>ROUND(IF(项目基本情况!B8="出让",SUMPRODUCT(PRODUCT(1+P10:P$31)),SUMPRODUCT(PRODUCT(1+P10:P$30))),4)</f>
        <v>1.6036999999999999</v>
      </c>
      <c r="AB10" s="3064">
        <f>ROUND(IF(项目基本情况!B8="出让",SUMPRODUCT(PRODUCT(1+Q10:Q$31)),SUMPRODUCT(PRODUCT(1+Q10:Q$30))),4)</f>
        <v>1.3573</v>
      </c>
      <c r="AC10" s="3064"/>
      <c r="AD10" s="3065">
        <f>ROUND(AVERAGE(I10:I$31)/100,4)</f>
        <v>2.1299999999999999E-2</v>
      </c>
      <c r="AE10" s="3065">
        <f>ROUND(AVERAGE(J10:J$31)/100,4)</f>
        <v>1.4999999999999999E-2</v>
      </c>
      <c r="AF10" s="3065">
        <f t="shared" ref="AF10" si="67">AE10</f>
        <v>1.4999999999999999E-2</v>
      </c>
      <c r="AG10" s="3065">
        <f>ROUND(AVERAGE(K10:K$31)/100,4)</f>
        <v>2.3300000000000001E-2</v>
      </c>
      <c r="AH10" s="3065">
        <f>ROUND(AVERAGE(L10:L$31)/100,4)</f>
        <v>1.46E-2</v>
      </c>
    </row>
    <row r="11" spans="1:34" s="3083" customFormat="1" ht="13.5" thickBot="1">
      <c r="A11" s="3076" t="s">
        <v>2978</v>
      </c>
      <c r="B11" s="3077">
        <f t="shared" si="57"/>
        <v>467.15916775261894</v>
      </c>
      <c r="C11" s="3077">
        <f t="shared" ref="C11" si="68">C12*(1+O11)</f>
        <v>346.01232557169084</v>
      </c>
      <c r="D11" s="3077">
        <f t="shared" ref="D11" si="69">C11</f>
        <v>346.01232557169084</v>
      </c>
      <c r="E11" s="3077">
        <f t="shared" ref="E11" si="70">E12*(1+P11)</f>
        <v>667.41617752122568</v>
      </c>
      <c r="F11" s="3077">
        <f t="shared" ref="F11" si="71">F12*(1+Q11)</f>
        <v>308.20314391798104</v>
      </c>
      <c r="G11" s="3060">
        <v>2019</v>
      </c>
      <c r="H11" s="3078">
        <v>1</v>
      </c>
      <c r="I11" s="3078">
        <v>0.6</v>
      </c>
      <c r="J11" s="3078">
        <v>0.37</v>
      </c>
      <c r="K11" s="3078">
        <v>0.63</v>
      </c>
      <c r="L11" s="3084">
        <v>1.1299999999999999</v>
      </c>
      <c r="M11" s="3064"/>
      <c r="N11" s="3079">
        <f t="shared" ref="N11" si="72">I11/100</f>
        <v>6.0000000000000001E-3</v>
      </c>
      <c r="O11" s="3065">
        <f t="shared" ref="O11" si="73">J11/100</f>
        <v>3.7000000000000002E-3</v>
      </c>
      <c r="P11" s="3065">
        <f t="shared" ref="P11" si="74">K11/100</f>
        <v>6.3E-3</v>
      </c>
      <c r="Q11" s="3065">
        <f t="shared" ref="Q11" si="75">L11/100</f>
        <v>1.1299999999999999E-2</v>
      </c>
      <c r="R11" s="3080"/>
      <c r="S11" s="3081">
        <f>B11/B12-1</f>
        <v>6.0000000000000053E-3</v>
      </c>
      <c r="T11" s="3082">
        <f>C11/C12-1</f>
        <v>3.7000000000000366E-3</v>
      </c>
      <c r="U11" s="3082">
        <f>E11/E12-1</f>
        <v>6.2999999999999723E-3</v>
      </c>
      <c r="V11" s="3082">
        <f>F11/F12-1</f>
        <v>1.1300000000000088E-2</v>
      </c>
      <c r="W11" s="3064"/>
      <c r="X11" s="3064">
        <f>ROUND(IF(项目基本情况!B8="出让",SUMPRODUCT(PRODUCT(1+N11:N$31)),SUMPRODUCT(PRODUCT(1+N11:N$30))),4)</f>
        <v>1.5189999999999999</v>
      </c>
      <c r="Y11" s="3064">
        <f>ROUND(IF(项目基本情况!B8="出让",SUMPRODUCT(PRODUCT(1+O11:O$31)),SUMPRODUCT(PRODUCT(1+O11:O$30))),4)</f>
        <v>1.3423</v>
      </c>
      <c r="Z11" s="3064">
        <f t="shared" ref="Z11" si="76">Y11</f>
        <v>1.3423</v>
      </c>
      <c r="AA11" s="3064">
        <f>ROUND(IF(项目基本情况!B8="出让",SUMPRODUCT(PRODUCT(1+P11:P$31)),SUMPRODUCT(PRODUCT(1+P11:P$30))),4)</f>
        <v>1.5782</v>
      </c>
      <c r="AB11" s="3064">
        <f>ROUND(IF(项目基本情况!B8="出让",SUMPRODUCT(PRODUCT(1+Q11:Q$31)),SUMPRODUCT(PRODUCT(1+Q11:Q$30))),4)</f>
        <v>1.3405</v>
      </c>
      <c r="AC11" s="3064"/>
      <c r="AD11" s="3065">
        <f>ROUND(AVERAGE(I11:I$31)/100,4)</f>
        <v>2.1600000000000001E-2</v>
      </c>
      <c r="AE11" s="3065">
        <f>ROUND(AVERAGE(J11:J$31)/100,4)</f>
        <v>1.5299999999999999E-2</v>
      </c>
      <c r="AF11" s="3065">
        <f t="shared" ref="AF11" si="77">AE11</f>
        <v>1.5299999999999999E-2</v>
      </c>
      <c r="AG11" s="3065">
        <f>ROUND(AVERAGE(K11:K$31)/100,4)</f>
        <v>2.3699999999999999E-2</v>
      </c>
      <c r="AH11" s="3065">
        <f>ROUND(AVERAGE(L11:L$31)/100,4)</f>
        <v>1.47E-2</v>
      </c>
    </row>
    <row r="12" spans="1:34" s="3083" customFormat="1">
      <c r="A12" s="3076" t="s">
        <v>2975</v>
      </c>
      <c r="B12" s="3087">
        <f t="shared" si="57"/>
        <v>464.37293017158942</v>
      </c>
      <c r="C12" s="3087">
        <f t="shared" ref="C12" si="78">C13*(1+O12)</f>
        <v>344.73679941385956</v>
      </c>
      <c r="D12" s="3087">
        <f t="shared" ref="D12" si="79">C12</f>
        <v>344.73679941385956</v>
      </c>
      <c r="E12" s="3087">
        <f t="shared" ref="E12" si="80">E13*(1+P12)</f>
        <v>663.2377795103107</v>
      </c>
      <c r="F12" s="3088">
        <f t="shared" ref="F12" si="81">F13*(1+Q12)</f>
        <v>304.75936311478398</v>
      </c>
      <c r="G12" s="3592">
        <v>2018</v>
      </c>
      <c r="H12" s="3085">
        <v>4</v>
      </c>
      <c r="I12" s="3085">
        <v>0.96</v>
      </c>
      <c r="J12" s="3085">
        <v>1.03</v>
      </c>
      <c r="K12" s="3085">
        <v>0.92</v>
      </c>
      <c r="L12" s="3086">
        <v>1.29</v>
      </c>
      <c r="M12" s="3064"/>
      <c r="N12" s="3079">
        <f t="shared" ref="N12" si="82">I12/100</f>
        <v>9.5999999999999992E-3</v>
      </c>
      <c r="O12" s="3065">
        <f t="shared" ref="O12" si="83">J12/100</f>
        <v>1.03E-2</v>
      </c>
      <c r="P12" s="3065">
        <f t="shared" ref="P12" si="84">K12/100</f>
        <v>9.1999999999999998E-3</v>
      </c>
      <c r="Q12" s="3065">
        <f t="shared" ref="Q12" si="85">L12/100</f>
        <v>1.29E-2</v>
      </c>
      <c r="R12" s="3080"/>
      <c r="S12" s="3089"/>
      <c r="T12" s="3090"/>
      <c r="U12" s="3090"/>
      <c r="V12" s="3090"/>
      <c r="W12" s="3064"/>
      <c r="X12" s="3064">
        <f>ROUND(SUMPRODUCT(PRODUCT(1+N12:N$30)),4)</f>
        <v>1.5099</v>
      </c>
      <c r="Y12" s="3064">
        <f>ROUND(SUMPRODUCT(PRODUCT(1+O12:O$30)),4)</f>
        <v>1.3372999999999999</v>
      </c>
      <c r="Z12" s="3064">
        <f t="shared" ref="Z12" si="86">Y12</f>
        <v>1.3372999999999999</v>
      </c>
      <c r="AA12" s="3064">
        <f>ROUND(SUMPRODUCT(PRODUCT(1+P12:P$30)),4)</f>
        <v>1.5683</v>
      </c>
      <c r="AB12" s="3064">
        <f>ROUND(SUMPRODUCT(PRODUCT(1+Q12:Q$30)),4)</f>
        <v>1.3255999999999999</v>
      </c>
      <c r="AC12" s="3064"/>
      <c r="AD12" s="3065">
        <f>ROUND(AVERAGE(I12:I$31)/100,4)</f>
        <v>2.24E-2</v>
      </c>
      <c r="AE12" s="3065">
        <f>ROUND(AVERAGE(J12:J$31)/100,4)</f>
        <v>1.5800000000000002E-2</v>
      </c>
      <c r="AF12" s="3065">
        <f t="shared" ref="AF12" si="87">AE12</f>
        <v>1.5800000000000002E-2</v>
      </c>
      <c r="AG12" s="3065">
        <f>ROUND(AVERAGE(K12:K$31)/100,4)</f>
        <v>2.4500000000000001E-2</v>
      </c>
      <c r="AH12" s="3065">
        <f>ROUND(AVERAGE(L12:L$31)/100,4)</f>
        <v>1.49E-2</v>
      </c>
    </row>
    <row r="13" spans="1:34" s="3083" customFormat="1" ht="14.45" customHeight="1">
      <c r="A13" s="3076" t="s">
        <v>2968</v>
      </c>
      <c r="B13" s="3077">
        <f t="shared" si="57"/>
        <v>459.95733971036987</v>
      </c>
      <c r="C13" s="3077">
        <f t="shared" ref="C13" si="88">C14*(1+O13)</f>
        <v>341.22221064422405</v>
      </c>
      <c r="D13" s="3077">
        <f t="shared" ref="D13" si="89">C13</f>
        <v>341.22221064422405</v>
      </c>
      <c r="E13" s="3077">
        <f t="shared" ref="E13" si="90">E14*(1+P13)</f>
        <v>657.19161663724799</v>
      </c>
      <c r="F13" s="3077">
        <f t="shared" ref="F13" si="91">F14*(1+Q13)</f>
        <v>300.87803644464805</v>
      </c>
      <c r="G13" s="3592"/>
      <c r="H13" s="3078">
        <v>3</v>
      </c>
      <c r="I13" s="3078">
        <v>1.51</v>
      </c>
      <c r="J13" s="3078">
        <v>1.41</v>
      </c>
      <c r="K13" s="3078">
        <v>1.52</v>
      </c>
      <c r="L13" s="3084">
        <v>1.74</v>
      </c>
      <c r="M13" s="3064"/>
      <c r="N13" s="3079">
        <f t="shared" ref="N13" si="92">I13/100</f>
        <v>1.5100000000000001E-2</v>
      </c>
      <c r="O13" s="3065">
        <f t="shared" ref="O13" si="93">J13/100</f>
        <v>1.41E-2</v>
      </c>
      <c r="P13" s="3065">
        <f t="shared" ref="P13" si="94">K13/100</f>
        <v>1.52E-2</v>
      </c>
      <c r="Q13" s="3065">
        <f t="shared" ref="Q13" si="95">L13/100</f>
        <v>1.7399999999999999E-2</v>
      </c>
      <c r="R13" s="3080"/>
      <c r="S13" s="3079"/>
      <c r="T13" s="3065"/>
      <c r="U13" s="3065"/>
      <c r="V13" s="3065"/>
      <c r="W13" s="3064"/>
      <c r="X13" s="3064">
        <f>ROUND(SUMPRODUCT(PRODUCT(1+N13:N$30)),4)</f>
        <v>1.4956</v>
      </c>
      <c r="Y13" s="3064">
        <f>ROUND(SUMPRODUCT(PRODUCT(1+O13:O$30)),4)</f>
        <v>1.3237000000000001</v>
      </c>
      <c r="Z13" s="3064">
        <f t="shared" ref="Z13" si="96">Y13</f>
        <v>1.3237000000000001</v>
      </c>
      <c r="AA13" s="3064">
        <f>ROUND(SUMPRODUCT(PRODUCT(1+P13:P$30)),4)</f>
        <v>1.554</v>
      </c>
      <c r="AB13" s="3064">
        <f>ROUND(SUMPRODUCT(PRODUCT(1+Q13:Q$30)),4)</f>
        <v>1.3087</v>
      </c>
      <c r="AC13" s="3064"/>
      <c r="AD13" s="3065">
        <f>ROUND(AVERAGE(I13:I$31)/100,4)</f>
        <v>2.3099999999999999E-2</v>
      </c>
      <c r="AE13" s="3065">
        <f>ROUND(AVERAGE(J13:J$31)/100,4)</f>
        <v>1.61E-2</v>
      </c>
      <c r="AF13" s="3065">
        <f t="shared" ref="AF13" si="97">AE13</f>
        <v>1.61E-2</v>
      </c>
      <c r="AG13" s="3065">
        <f>ROUND(AVERAGE(K13:K$31)/100,4)</f>
        <v>2.53E-2</v>
      </c>
      <c r="AH13" s="3065">
        <f>ROUND(AVERAGE(L13:L$31)/100,4)</f>
        <v>1.4999999999999999E-2</v>
      </c>
    </row>
    <row r="14" spans="1:34" s="3083" customFormat="1" ht="14.45" customHeight="1">
      <c r="A14" s="3076" t="s">
        <v>2969</v>
      </c>
      <c r="B14" s="3077">
        <f t="shared" si="57"/>
        <v>453.11529869999993</v>
      </c>
      <c r="C14" s="3077">
        <f t="shared" ref="C14" si="98">C15*(1+O14)</f>
        <v>336.47787264000004</v>
      </c>
      <c r="D14" s="3077">
        <f t="shared" ref="D14" si="99">C14</f>
        <v>336.47787264000004</v>
      </c>
      <c r="E14" s="3077">
        <f t="shared" ref="E14" si="100">E15*(1+P14)</f>
        <v>647.35186823999993</v>
      </c>
      <c r="F14" s="3077">
        <f t="shared" ref="F14" si="101">F15*(1+Q14)</f>
        <v>295.73229452000004</v>
      </c>
      <c r="G14" s="3592"/>
      <c r="H14" s="3091">
        <v>2</v>
      </c>
      <c r="I14" s="3091">
        <v>1.49</v>
      </c>
      <c r="J14" s="3091">
        <v>0.96</v>
      </c>
      <c r="K14" s="3091">
        <v>1.58</v>
      </c>
      <c r="L14" s="3092">
        <v>2.44</v>
      </c>
      <c r="M14" s="3064"/>
      <c r="N14" s="3079">
        <f t="shared" ref="N14" si="102">I14/100</f>
        <v>1.49E-2</v>
      </c>
      <c r="O14" s="3065">
        <f t="shared" ref="O14" si="103">J14/100</f>
        <v>9.5999999999999992E-3</v>
      </c>
      <c r="P14" s="3065">
        <f t="shared" ref="P14" si="104">K14/100</f>
        <v>1.5800000000000002E-2</v>
      </c>
      <c r="Q14" s="3065">
        <f t="shared" ref="Q14" si="105">L14/100</f>
        <v>2.4399999999999998E-2</v>
      </c>
      <c r="R14" s="3080"/>
      <c r="S14" s="3079"/>
      <c r="T14" s="3065"/>
      <c r="U14" s="3065"/>
      <c r="V14" s="3065"/>
      <c r="W14" s="3064"/>
      <c r="X14" s="3064">
        <f>ROUND(SUMPRODUCT(PRODUCT(1+N14:N$30)),4)</f>
        <v>1.4733000000000001</v>
      </c>
      <c r="Y14" s="3064">
        <f>ROUND(SUMPRODUCT(PRODUCT(1+O14:O$30)),4)</f>
        <v>1.3052999999999999</v>
      </c>
      <c r="Z14" s="3064">
        <f t="shared" ref="Z14" si="106">Y14</f>
        <v>1.3052999999999999</v>
      </c>
      <c r="AA14" s="3064">
        <f>ROUND(SUMPRODUCT(PRODUCT(1+P14:P$30)),4)</f>
        <v>1.5306999999999999</v>
      </c>
      <c r="AB14" s="3064">
        <f>ROUND(SUMPRODUCT(PRODUCT(1+Q14:Q$30)),4)</f>
        <v>1.2863</v>
      </c>
      <c r="AC14" s="3064"/>
      <c r="AD14" s="3065">
        <f>ROUND(AVERAGE(I14:I$31)/100,4)</f>
        <v>2.35E-2</v>
      </c>
      <c r="AE14" s="3065">
        <f>ROUND(AVERAGE(J14:J$31)/100,4)</f>
        <v>1.6199999999999999E-2</v>
      </c>
      <c r="AF14" s="3065">
        <f t="shared" ref="AF14" si="107">AE14</f>
        <v>1.6199999999999999E-2</v>
      </c>
      <c r="AG14" s="3065">
        <f>ROUND(AVERAGE(K14:K$31)/100,4)</f>
        <v>2.5899999999999999E-2</v>
      </c>
      <c r="AH14" s="3065">
        <f>ROUND(AVERAGE(L14:L$31)/100,4)</f>
        <v>1.49E-2</v>
      </c>
    </row>
    <row r="15" spans="1:34" s="3083" customFormat="1" ht="15" customHeight="1" thickBot="1">
      <c r="A15" s="3076" t="s">
        <v>2965</v>
      </c>
      <c r="B15" s="3077">
        <f t="shared" si="57"/>
        <v>446.46299999999997</v>
      </c>
      <c r="C15" s="3077">
        <f t="shared" ref="C15" si="108">C16*(1+O15)</f>
        <v>333.27840000000003</v>
      </c>
      <c r="D15" s="3077">
        <f t="shared" ref="D15:D20" si="109">C15</f>
        <v>333.27840000000003</v>
      </c>
      <c r="E15" s="3077">
        <f t="shared" ref="E15" si="110">E16*(1+P15)</f>
        <v>637.28279999999995</v>
      </c>
      <c r="F15" s="3077">
        <f t="shared" ref="F15" si="111">F16*(1+Q15)</f>
        <v>288.68830000000003</v>
      </c>
      <c r="G15" s="3598"/>
      <c r="H15" s="3078">
        <v>1</v>
      </c>
      <c r="I15" s="3078">
        <v>1.7</v>
      </c>
      <c r="J15" s="3078">
        <v>1.92</v>
      </c>
      <c r="K15" s="3078">
        <v>1.64</v>
      </c>
      <c r="L15" s="3084">
        <v>2.0099999999999998</v>
      </c>
      <c r="M15" s="3064"/>
      <c r="N15" s="3079">
        <f t="shared" ref="N15:N20" si="112">I15/100</f>
        <v>1.7000000000000001E-2</v>
      </c>
      <c r="O15" s="3065">
        <f t="shared" ref="O15" si="113">J15/100</f>
        <v>1.9199999999999998E-2</v>
      </c>
      <c r="P15" s="3065">
        <f t="shared" ref="P15" si="114">K15/100</f>
        <v>1.6399999999999998E-2</v>
      </c>
      <c r="Q15" s="3065">
        <f t="shared" ref="Q15" si="115">L15/100</f>
        <v>2.0099999999999996E-2</v>
      </c>
      <c r="R15" s="3080"/>
      <c r="S15" s="3081">
        <f>B15/B16-1</f>
        <v>1.6999999999999904E-2</v>
      </c>
      <c r="T15" s="3082">
        <f>C15/C16-1</f>
        <v>1.9200000000000106E-2</v>
      </c>
      <c r="U15" s="3082">
        <f>E15/E16-1</f>
        <v>1.639999999999997E-2</v>
      </c>
      <c r="V15" s="3082">
        <f>F15/F16-1</f>
        <v>2.0100000000000007E-2</v>
      </c>
      <c r="W15" s="3064"/>
      <c r="X15" s="3064">
        <f>ROUND(SUMPRODUCT(PRODUCT(1+N15:N$30)),4)</f>
        <v>1.4517</v>
      </c>
      <c r="Y15" s="3064">
        <f>ROUND(SUMPRODUCT(PRODUCT(1+O15:O$30)),4)</f>
        <v>1.2928999999999999</v>
      </c>
      <c r="Z15" s="3064">
        <f t="shared" ref="Z15" si="116">Y15</f>
        <v>1.2928999999999999</v>
      </c>
      <c r="AA15" s="3064">
        <f>ROUND(SUMPRODUCT(PRODUCT(1+P15:P$30)),4)</f>
        <v>1.5068999999999999</v>
      </c>
      <c r="AB15" s="3064">
        <f>ROUND(SUMPRODUCT(PRODUCT(1+Q15:Q$30)),4)</f>
        <v>1.2557</v>
      </c>
      <c r="AC15" s="3064"/>
      <c r="AD15" s="3065">
        <f>ROUND(AVERAGE(I15:I$31)/100,4)</f>
        <v>2.4E-2</v>
      </c>
      <c r="AE15" s="3065">
        <f>ROUND(AVERAGE(J15:J$31)/100,4)</f>
        <v>1.66E-2</v>
      </c>
      <c r="AF15" s="3065">
        <f t="shared" ref="AF15" si="117">AE15</f>
        <v>1.66E-2</v>
      </c>
      <c r="AG15" s="3065">
        <f>ROUND(AVERAGE(K15:K$31)/100,4)</f>
        <v>2.6499999999999999E-2</v>
      </c>
      <c r="AH15" s="3065">
        <f>ROUND(AVERAGE(L15:L$31)/100,4)</f>
        <v>1.43E-2</v>
      </c>
    </row>
    <row r="16" spans="1:34">
      <c r="A16" s="3076" t="s">
        <v>2956</v>
      </c>
      <c r="B16" s="3093">
        <v>439</v>
      </c>
      <c r="C16" s="3093">
        <v>327</v>
      </c>
      <c r="D16" s="3093">
        <f t="shared" si="109"/>
        <v>327</v>
      </c>
      <c r="E16" s="3093">
        <v>627</v>
      </c>
      <c r="F16" s="3094">
        <v>283</v>
      </c>
      <c r="G16" s="3597">
        <v>2017</v>
      </c>
      <c r="H16" s="3085">
        <v>4</v>
      </c>
      <c r="I16" s="3085">
        <v>1.71</v>
      </c>
      <c r="J16" s="3085">
        <v>1.78</v>
      </c>
      <c r="K16" s="3085">
        <v>1.71</v>
      </c>
      <c r="L16" s="3086">
        <v>1.43</v>
      </c>
      <c r="N16" s="3095">
        <f t="shared" si="112"/>
        <v>1.7100000000000001E-2</v>
      </c>
      <c r="O16" s="3096">
        <f t="shared" ref="O16" si="118">J16/100</f>
        <v>1.78E-2</v>
      </c>
      <c r="P16" s="3096">
        <f t="shared" ref="P16" si="119">K16/100</f>
        <v>1.7100000000000001E-2</v>
      </c>
      <c r="Q16" s="3096">
        <f t="shared" ref="Q16" si="120">L16/100</f>
        <v>1.43E-2</v>
      </c>
      <c r="R16" s="3080"/>
      <c r="S16" s="3089"/>
      <c r="T16" s="3090"/>
      <c r="U16" s="3090"/>
      <c r="V16" s="3090"/>
      <c r="X16" s="3064">
        <f>ROUND(SUMPRODUCT(PRODUCT(1+N16:N$30)),4)</f>
        <v>1.4274</v>
      </c>
      <c r="Y16" s="3064">
        <f>ROUND(SUMPRODUCT(PRODUCT(1+O16:O$30)),4)</f>
        <v>1.2685</v>
      </c>
      <c r="Z16" s="3064">
        <f t="shared" si="0"/>
        <v>1.2685</v>
      </c>
      <c r="AA16" s="3064">
        <f>ROUND(SUMPRODUCT(PRODUCT(1+P16:P$30)),4)</f>
        <v>1.4825999999999999</v>
      </c>
      <c r="AB16" s="3064">
        <f>ROUND(SUMPRODUCT(PRODUCT(1+Q16:Q$30)),4)</f>
        <v>1.2309000000000001</v>
      </c>
      <c r="AD16" s="3065">
        <f>ROUND(AVERAGE(I16:I$31)/100,4)</f>
        <v>2.4500000000000001E-2</v>
      </c>
      <c r="AE16" s="3065">
        <f>ROUND(AVERAGE(J16:J$31)/100,4)</f>
        <v>1.6500000000000001E-2</v>
      </c>
      <c r="AF16" s="3065">
        <f t="shared" si="1"/>
        <v>1.6500000000000001E-2</v>
      </c>
      <c r="AG16" s="3065">
        <f>ROUND(AVERAGE(K16:K$31)/100,4)</f>
        <v>2.7099999999999999E-2</v>
      </c>
      <c r="AH16" s="3065">
        <f>ROUND(AVERAGE(L16:L$31)/100,4)</f>
        <v>1.3899999999999999E-2</v>
      </c>
    </row>
    <row r="17" spans="1:34" s="3083" customFormat="1" ht="14.45" customHeight="1">
      <c r="A17" s="3076" t="s">
        <v>2960</v>
      </c>
      <c r="B17" s="3077">
        <f t="shared" ref="B17:C19" si="121">B18*(1+N17)</f>
        <v>431.80730811680002</v>
      </c>
      <c r="C17" s="3077">
        <f t="shared" si="121"/>
        <v>320.57880516480003</v>
      </c>
      <c r="D17" s="3077">
        <f t="shared" si="109"/>
        <v>320.57880516480003</v>
      </c>
      <c r="E17" s="3077">
        <f t="shared" ref="E17:F19" si="122">E18*(1+P17)</f>
        <v>615.96110553196797</v>
      </c>
      <c r="F17" s="3077">
        <f t="shared" si="122"/>
        <v>279.46777300108801</v>
      </c>
      <c r="G17" s="3592"/>
      <c r="H17" s="3078">
        <v>3</v>
      </c>
      <c r="I17" s="3078">
        <v>2.98</v>
      </c>
      <c r="J17" s="3078">
        <v>2.11</v>
      </c>
      <c r="K17" s="3078">
        <v>3.24</v>
      </c>
      <c r="L17" s="3084">
        <v>1.72</v>
      </c>
      <c r="M17" s="3064"/>
      <c r="N17" s="3079">
        <f t="shared" si="112"/>
        <v>2.98E-2</v>
      </c>
      <c r="O17" s="3097">
        <f t="shared" ref="O17:O18" si="123">J17/100</f>
        <v>2.1099999999999997E-2</v>
      </c>
      <c r="P17" s="3097">
        <f t="shared" ref="P17:P18" si="124">K17/100</f>
        <v>3.2400000000000005E-2</v>
      </c>
      <c r="Q17" s="3097">
        <f t="shared" ref="Q17:Q18" si="125">L17/100</f>
        <v>1.72E-2</v>
      </c>
      <c r="R17" s="3080"/>
      <c r="S17" s="3079"/>
      <c r="T17" s="3065"/>
      <c r="U17" s="3065"/>
      <c r="V17" s="3065"/>
      <c r="W17" s="3064"/>
      <c r="X17" s="3064">
        <f>ROUND(SUMPRODUCT(PRODUCT(1+N17:N$30)),4)</f>
        <v>1.4034</v>
      </c>
      <c r="Y17" s="3064">
        <f>ROUND(SUMPRODUCT(PRODUCT(1+O17:O$30)),4)</f>
        <v>1.2463</v>
      </c>
      <c r="Z17" s="3064">
        <f t="shared" si="0"/>
        <v>1.2463</v>
      </c>
      <c r="AA17" s="3064">
        <f>ROUND(SUMPRODUCT(PRODUCT(1+P17:P$30)),4)</f>
        <v>1.4577</v>
      </c>
      <c r="AB17" s="3064">
        <f>ROUND(SUMPRODUCT(PRODUCT(1+Q17:Q$30)),4)</f>
        <v>1.2136</v>
      </c>
      <c r="AC17" s="3064"/>
      <c r="AD17" s="3065">
        <f>ROUND(AVERAGE(I17:I$31)/100,4)</f>
        <v>2.4899999999999999E-2</v>
      </c>
      <c r="AE17" s="3065">
        <f>ROUND(AVERAGE(J17:J$31)/100,4)</f>
        <v>1.6400000000000001E-2</v>
      </c>
      <c r="AF17" s="3065">
        <f t="shared" si="1"/>
        <v>1.6400000000000001E-2</v>
      </c>
      <c r="AG17" s="3065">
        <f>ROUND(AVERAGE(K17:K$31)/100,4)</f>
        <v>2.7799999999999998E-2</v>
      </c>
      <c r="AH17" s="3065">
        <f>ROUND(AVERAGE(L17:L$31)/100,4)</f>
        <v>1.3899999999999999E-2</v>
      </c>
    </row>
    <row r="18" spans="1:34" s="3042" customFormat="1" ht="14.45" customHeight="1">
      <c r="A18" s="3076" t="s">
        <v>2571</v>
      </c>
      <c r="B18" s="3077">
        <f t="shared" si="121"/>
        <v>419.31181600000002</v>
      </c>
      <c r="C18" s="3077">
        <f t="shared" si="121"/>
        <v>313.95436800000004</v>
      </c>
      <c r="D18" s="3077">
        <f t="shared" si="109"/>
        <v>313.95436800000004</v>
      </c>
      <c r="E18" s="3077">
        <f t="shared" si="122"/>
        <v>596.63028431999999</v>
      </c>
      <c r="F18" s="3077">
        <f t="shared" si="122"/>
        <v>274.74220703999998</v>
      </c>
      <c r="G18" s="3592"/>
      <c r="H18" s="3091">
        <v>2</v>
      </c>
      <c r="I18" s="3091">
        <v>3.4</v>
      </c>
      <c r="J18" s="3091">
        <v>2</v>
      </c>
      <c r="K18" s="3091">
        <v>3.82</v>
      </c>
      <c r="L18" s="3092">
        <v>1.68</v>
      </c>
      <c r="N18" s="3079">
        <f t="shared" si="112"/>
        <v>3.4000000000000002E-2</v>
      </c>
      <c r="O18" s="3097">
        <f t="shared" si="123"/>
        <v>0.02</v>
      </c>
      <c r="P18" s="3097">
        <f t="shared" si="124"/>
        <v>3.8199999999999998E-2</v>
      </c>
      <c r="Q18" s="3097">
        <f t="shared" si="125"/>
        <v>1.6799999999999999E-2</v>
      </c>
      <c r="S18" s="3079"/>
      <c r="T18" s="3065"/>
      <c r="U18" s="3065"/>
      <c r="V18" s="3065"/>
      <c r="X18" s="3064">
        <f>ROUND(SUMPRODUCT(PRODUCT(1+N18:N$30)),4)</f>
        <v>1.3628</v>
      </c>
      <c r="Y18" s="3064">
        <f>ROUND(SUMPRODUCT(PRODUCT(1+O18:O$30)),4)</f>
        <v>1.2205999999999999</v>
      </c>
      <c r="Z18" s="3064">
        <f t="shared" si="0"/>
        <v>1.2205999999999999</v>
      </c>
      <c r="AA18" s="3064">
        <f>ROUND(SUMPRODUCT(PRODUCT(1+P18:P$30)),4)</f>
        <v>1.4118999999999999</v>
      </c>
      <c r="AB18" s="3064">
        <f>ROUND(SUMPRODUCT(PRODUCT(1+Q18:Q$30)),4)</f>
        <v>1.1930000000000001</v>
      </c>
      <c r="AD18" s="3065">
        <f>ROUND(AVERAGE(I18:I$31)/100,4)</f>
        <v>2.46E-2</v>
      </c>
      <c r="AE18" s="3065">
        <f>ROUND(AVERAGE(J18:J$31)/100,4)</f>
        <v>1.6E-2</v>
      </c>
      <c r="AF18" s="3065">
        <f t="shared" si="1"/>
        <v>1.6E-2</v>
      </c>
      <c r="AG18" s="3065">
        <f>ROUND(AVERAGE(K18:K$31)/100,4)</f>
        <v>2.75E-2</v>
      </c>
      <c r="AH18" s="3065">
        <f>ROUND(AVERAGE(L18:L$31)/100,4)</f>
        <v>1.37E-2</v>
      </c>
    </row>
    <row r="19" spans="1:34" s="3083" customFormat="1" ht="15" customHeight="1" thickBot="1">
      <c r="A19" s="3076" t="s">
        <v>2572</v>
      </c>
      <c r="B19" s="3077">
        <f t="shared" si="121"/>
        <v>405.524</v>
      </c>
      <c r="C19" s="3077">
        <f t="shared" si="121"/>
        <v>307.79840000000002</v>
      </c>
      <c r="D19" s="3077">
        <f t="shared" si="109"/>
        <v>307.79840000000002</v>
      </c>
      <c r="E19" s="3077">
        <f t="shared" si="122"/>
        <v>574.67759999999998</v>
      </c>
      <c r="F19" s="3077">
        <f t="shared" si="122"/>
        <v>270.20280000000002</v>
      </c>
      <c r="G19" s="3598"/>
      <c r="H19" s="3078">
        <v>1</v>
      </c>
      <c r="I19" s="3078">
        <v>3.45</v>
      </c>
      <c r="J19" s="3078">
        <v>1.92</v>
      </c>
      <c r="K19" s="3078">
        <v>3.92</v>
      </c>
      <c r="L19" s="3084">
        <v>1.58</v>
      </c>
      <c r="M19" s="3064"/>
      <c r="N19" s="3081">
        <f t="shared" si="112"/>
        <v>3.4500000000000003E-2</v>
      </c>
      <c r="O19" s="3082">
        <f t="shared" ref="O19" si="126">J19/100</f>
        <v>1.9199999999999998E-2</v>
      </c>
      <c r="P19" s="3082">
        <f t="shared" ref="P19" si="127">K19/100</f>
        <v>3.9199999999999999E-2</v>
      </c>
      <c r="Q19" s="3082">
        <f t="shared" ref="Q19" si="128">L19/100</f>
        <v>1.5800000000000002E-2</v>
      </c>
      <c r="R19" s="3080"/>
      <c r="S19" s="3081">
        <f>B19/B20-1</f>
        <v>3.4499999999999975E-2</v>
      </c>
      <c r="T19" s="3082">
        <f>C19/C20-1</f>
        <v>1.9200000000000106E-2</v>
      </c>
      <c r="U19" s="3082">
        <f>E19/E20-1</f>
        <v>3.9199999999999902E-2</v>
      </c>
      <c r="V19" s="3082">
        <f>F19/F20-1</f>
        <v>1.5800000000000036E-2</v>
      </c>
      <c r="W19" s="3064"/>
      <c r="X19" s="3064">
        <f>ROUND(SUMPRODUCT(PRODUCT(1+N19:N$30)),4)</f>
        <v>1.3180000000000001</v>
      </c>
      <c r="Y19" s="3064">
        <f>ROUND(SUMPRODUCT(PRODUCT(1+O19:O$30)),4)</f>
        <v>1.1966000000000001</v>
      </c>
      <c r="Z19" s="3064">
        <f t="shared" si="0"/>
        <v>1.1966000000000001</v>
      </c>
      <c r="AA19" s="3064">
        <f>ROUND(SUMPRODUCT(PRODUCT(1+P19:P$30)),4)</f>
        <v>1.36</v>
      </c>
      <c r="AB19" s="3064">
        <f>ROUND(SUMPRODUCT(PRODUCT(1+Q19:Q$30)),4)</f>
        <v>1.1733</v>
      </c>
      <c r="AC19" s="3064"/>
      <c r="AD19" s="3065">
        <f>ROUND(AVERAGE(I19:I$31)/100,4)</f>
        <v>2.3900000000000001E-2</v>
      </c>
      <c r="AE19" s="3065">
        <f>ROUND(AVERAGE(J19:J$31)/100,4)</f>
        <v>1.5699999999999999E-2</v>
      </c>
      <c r="AF19" s="3065">
        <f t="shared" si="1"/>
        <v>1.5699999999999999E-2</v>
      </c>
      <c r="AG19" s="3065">
        <f>ROUND(AVERAGE(K19:K$31)/100,4)</f>
        <v>2.6599999999999999E-2</v>
      </c>
      <c r="AH19" s="3065">
        <f>ROUND(AVERAGE(L19:L$31)/100,4)</f>
        <v>1.34E-2</v>
      </c>
    </row>
    <row r="20" spans="1:34">
      <c r="A20" s="3076" t="s">
        <v>967</v>
      </c>
      <c r="B20" s="3098">
        <v>392</v>
      </c>
      <c r="C20" s="3098">
        <v>302</v>
      </c>
      <c r="D20" s="3098">
        <f t="shared" si="109"/>
        <v>302</v>
      </c>
      <c r="E20" s="3098">
        <v>553</v>
      </c>
      <c r="F20" s="3099">
        <v>266</v>
      </c>
      <c r="G20" s="3597">
        <v>2016</v>
      </c>
      <c r="H20" s="3085">
        <v>4</v>
      </c>
      <c r="I20" s="3085">
        <v>4.5599999999999996</v>
      </c>
      <c r="J20" s="3085">
        <v>2.15</v>
      </c>
      <c r="K20" s="3085">
        <v>5.32</v>
      </c>
      <c r="L20" s="3086">
        <v>1.57</v>
      </c>
      <c r="N20" s="3079">
        <f t="shared" si="112"/>
        <v>4.5599999999999995E-2</v>
      </c>
      <c r="O20" s="3065">
        <f t="shared" ref="O20:Q35" si="129">J20/100</f>
        <v>2.1499999999999998E-2</v>
      </c>
      <c r="P20" s="3065">
        <f t="shared" si="129"/>
        <v>5.3200000000000004E-2</v>
      </c>
      <c r="Q20" s="3065">
        <f t="shared" si="129"/>
        <v>1.5700000000000002E-2</v>
      </c>
      <c r="R20" s="3080"/>
      <c r="S20" s="3089"/>
      <c r="T20" s="3090"/>
      <c r="U20" s="3090"/>
      <c r="V20" s="3090"/>
      <c r="X20" s="3064">
        <f>ROUND(SUMPRODUCT(PRODUCT(1+N20:N$30)),4)</f>
        <v>1.274</v>
      </c>
      <c r="Y20" s="3064">
        <f>ROUND(SUMPRODUCT(PRODUCT(1+O20:O$30)),4)</f>
        <v>1.1740999999999999</v>
      </c>
      <c r="Z20" s="3064">
        <f t="shared" si="0"/>
        <v>1.1740999999999999</v>
      </c>
      <c r="AA20" s="3064">
        <f>ROUND(SUMPRODUCT(PRODUCT(1+P20:P$30)),4)</f>
        <v>1.3087</v>
      </c>
      <c r="AB20" s="3064">
        <f>ROUND(SUMPRODUCT(PRODUCT(1+Q20:Q$30)),4)</f>
        <v>1.1551</v>
      </c>
      <c r="AD20" s="3065">
        <f>ROUND(AVERAGE(I20:I$31)/100,4)</f>
        <v>2.3E-2</v>
      </c>
      <c r="AE20" s="3065">
        <f>ROUND(AVERAGE(J20:J$31)/100,4)</f>
        <v>1.55E-2</v>
      </c>
      <c r="AF20" s="3065">
        <f t="shared" si="1"/>
        <v>1.55E-2</v>
      </c>
      <c r="AG20" s="3065">
        <f>ROUND(AVERAGE(K20:K$31)/100,4)</f>
        <v>2.5600000000000001E-2</v>
      </c>
      <c r="AH20" s="3065">
        <f>ROUND(AVERAGE(L20:L$31)/100,4)</f>
        <v>1.32E-2</v>
      </c>
    </row>
    <row r="21" spans="1:34">
      <c r="A21" s="3076" t="s">
        <v>966</v>
      </c>
      <c r="B21" s="3077">
        <f t="shared" ref="B21:C23" si="130">B20/(1+N20)</f>
        <v>374.90436113236416</v>
      </c>
      <c r="C21" s="3077">
        <f t="shared" si="130"/>
        <v>295.64366128242779</v>
      </c>
      <c r="D21" s="3077">
        <f t="shared" ref="D21:D80" si="131">C21</f>
        <v>295.64366128242779</v>
      </c>
      <c r="E21" s="3077">
        <f t="shared" ref="E21:F23" si="132">E20/(1+P20)</f>
        <v>525.06646410938095</v>
      </c>
      <c r="F21" s="3077">
        <f t="shared" si="132"/>
        <v>261.88835286009646</v>
      </c>
      <c r="G21" s="3592"/>
      <c r="H21" s="3078">
        <v>3</v>
      </c>
      <c r="I21" s="3078">
        <v>4.12</v>
      </c>
      <c r="J21" s="3078">
        <v>2</v>
      </c>
      <c r="K21" s="3078">
        <v>4.79</v>
      </c>
      <c r="L21" s="3084">
        <v>1.97</v>
      </c>
      <c r="N21" s="3079">
        <f t="shared" ref="N21:Q55" si="133">I21/100</f>
        <v>4.1200000000000001E-2</v>
      </c>
      <c r="O21" s="3065">
        <f t="shared" si="129"/>
        <v>0.02</v>
      </c>
      <c r="P21" s="3065">
        <f t="shared" si="129"/>
        <v>4.7899999999999998E-2</v>
      </c>
      <c r="Q21" s="3065">
        <f t="shared" si="129"/>
        <v>1.9699999999999999E-2</v>
      </c>
      <c r="R21" s="3080"/>
      <c r="S21" s="3079"/>
      <c r="T21" s="3065"/>
      <c r="U21" s="3065"/>
      <c r="V21" s="3065"/>
      <c r="X21" s="3064">
        <f>ROUND(SUMPRODUCT(PRODUCT(1+N21:N$30)),4)</f>
        <v>1.2184999999999999</v>
      </c>
      <c r="Y21" s="3064">
        <f>ROUND(SUMPRODUCT(PRODUCT(1+O21:O$30)),4)</f>
        <v>1.1494</v>
      </c>
      <c r="Z21" s="3064">
        <f t="shared" si="0"/>
        <v>1.1494</v>
      </c>
      <c r="AA21" s="3064">
        <f>ROUND(SUMPRODUCT(PRODUCT(1+P21:P$30)),4)</f>
        <v>1.2425999999999999</v>
      </c>
      <c r="AB21" s="3064">
        <f>ROUND(SUMPRODUCT(PRODUCT(1+Q21:Q$30)),4)</f>
        <v>1.1372</v>
      </c>
      <c r="AD21" s="3065">
        <f>ROUND(AVERAGE(I21:I$31)/100,4)</f>
        <v>2.0899999999999998E-2</v>
      </c>
      <c r="AE21" s="3065">
        <f>ROUND(AVERAGE(J21:J$31)/100,4)</f>
        <v>1.49E-2</v>
      </c>
      <c r="AF21" s="3065">
        <f t="shared" si="1"/>
        <v>1.49E-2</v>
      </c>
      <c r="AG21" s="3065">
        <f>ROUND(AVERAGE(K21:K$31)/100,4)</f>
        <v>2.3099999999999999E-2</v>
      </c>
      <c r="AH21" s="3065">
        <f>ROUND(AVERAGE(L21:L$31)/100,4)</f>
        <v>1.2999999999999999E-2</v>
      </c>
    </row>
    <row r="22" spans="1:34">
      <c r="A22" s="3076" t="s">
        <v>956</v>
      </c>
      <c r="B22" s="3077">
        <f t="shared" si="130"/>
        <v>360.06949782209392</v>
      </c>
      <c r="C22" s="3077">
        <f t="shared" si="130"/>
        <v>289.84672674747821</v>
      </c>
      <c r="D22" s="3077">
        <f t="shared" si="131"/>
        <v>289.84672674747821</v>
      </c>
      <c r="E22" s="3077">
        <f t="shared" si="132"/>
        <v>501.06543001181495</v>
      </c>
      <c r="F22" s="3077">
        <f t="shared" si="132"/>
        <v>256.82882500744967</v>
      </c>
      <c r="G22" s="3592"/>
      <c r="H22" s="3091">
        <v>2</v>
      </c>
      <c r="I22" s="3091">
        <v>3.85</v>
      </c>
      <c r="J22" s="3091">
        <v>1.95</v>
      </c>
      <c r="K22" s="3091">
        <v>4.4800000000000004</v>
      </c>
      <c r="L22" s="3092">
        <v>1.41</v>
      </c>
      <c r="N22" s="3079">
        <f t="shared" si="133"/>
        <v>3.85E-2</v>
      </c>
      <c r="O22" s="3065">
        <f t="shared" si="129"/>
        <v>1.95E-2</v>
      </c>
      <c r="P22" s="3065">
        <f t="shared" si="129"/>
        <v>4.4800000000000006E-2</v>
      </c>
      <c r="Q22" s="3065">
        <f t="shared" si="129"/>
        <v>1.41E-2</v>
      </c>
      <c r="R22" s="3080"/>
      <c r="S22" s="3079"/>
      <c r="T22" s="3065"/>
      <c r="U22" s="3065"/>
      <c r="V22" s="3065"/>
      <c r="X22" s="3064">
        <f>ROUND(SUMPRODUCT(PRODUCT(1+N22:N$30)),4)</f>
        <v>1.1702999999999999</v>
      </c>
      <c r="Y22" s="3064">
        <f>ROUND(SUMPRODUCT(PRODUCT(1+O22:O$30)),4)</f>
        <v>1.1269</v>
      </c>
      <c r="Z22" s="3064">
        <f t="shared" si="0"/>
        <v>1.1269</v>
      </c>
      <c r="AA22" s="3064">
        <f>ROUND(SUMPRODUCT(PRODUCT(1+P22:P$30)),4)</f>
        <v>1.1858</v>
      </c>
      <c r="AB22" s="3064">
        <f>ROUND(SUMPRODUCT(PRODUCT(1+Q22:Q$30)),4)</f>
        <v>1.1152</v>
      </c>
      <c r="AD22" s="3065">
        <f>ROUND(AVERAGE(I22:I$31)/100,4)</f>
        <v>1.89E-2</v>
      </c>
      <c r="AE22" s="3065">
        <f>ROUND(AVERAGE(J22:J$31)/100,4)</f>
        <v>1.44E-2</v>
      </c>
      <c r="AF22" s="3065">
        <f t="shared" si="1"/>
        <v>1.44E-2</v>
      </c>
      <c r="AG22" s="3065">
        <f>ROUND(AVERAGE(K22:K$31)/100,4)</f>
        <v>2.06E-2</v>
      </c>
      <c r="AH22" s="3065">
        <f>ROUND(AVERAGE(L22:L$31)/100,4)</f>
        <v>1.23E-2</v>
      </c>
    </row>
    <row r="23" spans="1:34" ht="13.5" thickBot="1">
      <c r="A23" s="3076" t="s">
        <v>965</v>
      </c>
      <c r="B23" s="3077">
        <f t="shared" si="130"/>
        <v>346.720748986128</v>
      </c>
      <c r="C23" s="3077">
        <f t="shared" si="130"/>
        <v>284.30282172386285</v>
      </c>
      <c r="D23" s="3077">
        <f t="shared" si="131"/>
        <v>284.30282172386285</v>
      </c>
      <c r="E23" s="3077">
        <f t="shared" si="132"/>
        <v>479.58023546306947</v>
      </c>
      <c r="F23" s="3077">
        <f t="shared" si="132"/>
        <v>253.25788877571213</v>
      </c>
      <c r="G23" s="3593"/>
      <c r="H23" s="3078">
        <v>1</v>
      </c>
      <c r="I23" s="3078">
        <v>4.09</v>
      </c>
      <c r="J23" s="3078">
        <v>2.93</v>
      </c>
      <c r="K23" s="3078">
        <v>4.54</v>
      </c>
      <c r="L23" s="3084">
        <v>1.48</v>
      </c>
      <c r="N23" s="3079">
        <f t="shared" si="133"/>
        <v>4.0899999999999999E-2</v>
      </c>
      <c r="O23" s="3065">
        <f t="shared" si="129"/>
        <v>2.9300000000000003E-2</v>
      </c>
      <c r="P23" s="3065">
        <f t="shared" si="129"/>
        <v>4.5400000000000003E-2</v>
      </c>
      <c r="Q23" s="3065">
        <f t="shared" si="129"/>
        <v>1.4800000000000001E-2</v>
      </c>
      <c r="R23" s="3080"/>
      <c r="S23" s="3081">
        <f>B23/B24-1</f>
        <v>4.1203450408792808E-2</v>
      </c>
      <c r="T23" s="3082">
        <f>C23/C24-1</f>
        <v>2.6363977342465095E-2</v>
      </c>
      <c r="U23" s="3082">
        <f>E23/E24-1</f>
        <v>4.4837114298626357E-2</v>
      </c>
      <c r="V23" s="3082">
        <f>F23/F24-1</f>
        <v>1.7099954922538574E-2</v>
      </c>
      <c r="X23" s="3064">
        <f>ROUND(SUMPRODUCT(PRODUCT(1+N23:N$30)),4)</f>
        <v>1.1269</v>
      </c>
      <c r="Y23" s="3064">
        <f>ROUND(SUMPRODUCT(PRODUCT(1+O23:O$30)),4)</f>
        <v>1.1052999999999999</v>
      </c>
      <c r="Z23" s="3064">
        <f t="shared" si="0"/>
        <v>1.1052999999999999</v>
      </c>
      <c r="AA23" s="3064">
        <f>ROUND(SUMPRODUCT(PRODUCT(1+P23:P$30)),4)</f>
        <v>1.1349</v>
      </c>
      <c r="AB23" s="3064">
        <f>ROUND(SUMPRODUCT(PRODUCT(1+Q23:Q$30)),4)</f>
        <v>1.0996999999999999</v>
      </c>
      <c r="AD23" s="3065">
        <f>ROUND(AVERAGE(I23:I$31)/100,4)</f>
        <v>1.67E-2</v>
      </c>
      <c r="AE23" s="3065">
        <f>ROUND(AVERAGE(J23:J$31)/100,4)</f>
        <v>1.38E-2</v>
      </c>
      <c r="AF23" s="3065">
        <f t="shared" si="1"/>
        <v>1.38E-2</v>
      </c>
      <c r="AG23" s="3065">
        <f>ROUND(AVERAGE(K23:K$31)/100,4)</f>
        <v>1.7899999999999999E-2</v>
      </c>
      <c r="AH23" s="3065">
        <f>ROUND(AVERAGE(L23:L$31)/100,4)</f>
        <v>1.21E-2</v>
      </c>
    </row>
    <row r="24" spans="1:34" ht="13.5" thickBot="1">
      <c r="A24" s="3076" t="s">
        <v>964</v>
      </c>
      <c r="B24" s="3098">
        <v>333</v>
      </c>
      <c r="C24" s="3098">
        <v>277</v>
      </c>
      <c r="D24" s="3098">
        <f t="shared" si="131"/>
        <v>277</v>
      </c>
      <c r="E24" s="3098">
        <v>459</v>
      </c>
      <c r="F24" s="3099">
        <v>249</v>
      </c>
      <c r="G24" s="3591">
        <v>2015</v>
      </c>
      <c r="H24" s="3100">
        <v>4</v>
      </c>
      <c r="I24" s="3100">
        <v>1.63</v>
      </c>
      <c r="J24" s="3100">
        <v>1.1100000000000001</v>
      </c>
      <c r="K24" s="3100">
        <v>1.77</v>
      </c>
      <c r="L24" s="3101">
        <v>1.89</v>
      </c>
      <c r="N24" s="3095">
        <f t="shared" si="133"/>
        <v>1.6299999999999999E-2</v>
      </c>
      <c r="O24" s="3096">
        <f t="shared" si="129"/>
        <v>1.11E-2</v>
      </c>
      <c r="P24" s="3096">
        <f t="shared" si="129"/>
        <v>1.77E-2</v>
      </c>
      <c r="Q24" s="3096">
        <f t="shared" si="129"/>
        <v>1.89E-2</v>
      </c>
      <c r="R24" s="3080"/>
      <c r="X24" s="3064">
        <f>ROUND(SUMPRODUCT(PRODUCT(1+N24:N$30)),4)</f>
        <v>1.0826</v>
      </c>
      <c r="Y24" s="3064">
        <f>ROUND(SUMPRODUCT(PRODUCT(1+O24:O$30)),4)</f>
        <v>1.0738000000000001</v>
      </c>
      <c r="Z24" s="3064">
        <f t="shared" si="0"/>
        <v>1.0738000000000001</v>
      </c>
      <c r="AA24" s="3064">
        <f>ROUND(SUMPRODUCT(PRODUCT(1+P24:P$30)),4)</f>
        <v>1.0855999999999999</v>
      </c>
      <c r="AB24" s="3064">
        <f>ROUND(SUMPRODUCT(PRODUCT(1+Q24:Q$30)),4)</f>
        <v>1.0837000000000001</v>
      </c>
      <c r="AD24" s="3065">
        <f>ROUND(AVERAGE(I24:I$31)/100,4)</f>
        <v>1.37E-2</v>
      </c>
      <c r="AE24" s="3065">
        <f>ROUND(AVERAGE(J24:J$31)/100,4)</f>
        <v>1.1900000000000001E-2</v>
      </c>
      <c r="AF24" s="3065">
        <f t="shared" si="1"/>
        <v>1.1900000000000001E-2</v>
      </c>
      <c r="AG24" s="3065">
        <f>ROUND(AVERAGE(K24:K$31)/100,4)</f>
        <v>1.4500000000000001E-2</v>
      </c>
      <c r="AH24" s="3065">
        <f>ROUND(AVERAGE(L24:L$31)/100,4)</f>
        <v>1.18E-2</v>
      </c>
    </row>
    <row r="25" spans="1:34">
      <c r="A25" s="3076" t="s">
        <v>963</v>
      </c>
      <c r="B25" s="3077">
        <f t="shared" ref="B25:C27" si="134">B24/(1+N24)</f>
        <v>327.65915576109415</v>
      </c>
      <c r="C25" s="3077">
        <f t="shared" si="134"/>
        <v>273.95905449510434</v>
      </c>
      <c r="D25" s="3077">
        <f t="shared" si="131"/>
        <v>273.95905449510434</v>
      </c>
      <c r="E25" s="3077">
        <f t="shared" ref="E25:F27" si="135">E24/(1+P24)</f>
        <v>451.01699911565294</v>
      </c>
      <c r="F25" s="3077">
        <f t="shared" si="135"/>
        <v>244.38119540681129</v>
      </c>
      <c r="G25" s="3592"/>
      <c r="H25" s="3103">
        <v>3</v>
      </c>
      <c r="I25" s="3103">
        <v>1.65</v>
      </c>
      <c r="J25" s="3103">
        <v>0.92</v>
      </c>
      <c r="K25" s="3103">
        <v>1.88</v>
      </c>
      <c r="L25" s="3104">
        <v>1.26</v>
      </c>
      <c r="N25" s="3079">
        <f t="shared" si="133"/>
        <v>1.6500000000000001E-2</v>
      </c>
      <c r="O25" s="3097">
        <f t="shared" si="129"/>
        <v>9.1999999999999998E-3</v>
      </c>
      <c r="P25" s="3097">
        <f t="shared" si="129"/>
        <v>1.8799999999999997E-2</v>
      </c>
      <c r="Q25" s="3097">
        <f t="shared" si="129"/>
        <v>1.26E-2</v>
      </c>
      <c r="R25" s="3080"/>
      <c r="S25" s="3079"/>
      <c r="T25" s="3065"/>
      <c r="U25" s="3065"/>
      <c r="V25" s="3065"/>
      <c r="X25" s="3064">
        <f>ROUND(SUMPRODUCT(PRODUCT(1+N25:N$30)),4)</f>
        <v>1.0651999999999999</v>
      </c>
      <c r="Y25" s="3064">
        <f>ROUND(SUMPRODUCT(PRODUCT(1+O25:O$30)),4)</f>
        <v>1.0621</v>
      </c>
      <c r="Z25" s="3064">
        <f t="shared" si="0"/>
        <v>1.0621</v>
      </c>
      <c r="AA25" s="3064">
        <f>ROUND(SUMPRODUCT(PRODUCT(1+P25:P$30)),4)</f>
        <v>1.0668</v>
      </c>
      <c r="AB25" s="3064">
        <f>ROUND(SUMPRODUCT(PRODUCT(1+Q25:Q$30)),4)</f>
        <v>1.0636000000000001</v>
      </c>
      <c r="AD25" s="3065">
        <f>ROUND(AVERAGE(I25:I$31)/100,4)</f>
        <v>1.3299999999999999E-2</v>
      </c>
      <c r="AE25" s="3065">
        <f>ROUND(AVERAGE(J25:J$31)/100,4)</f>
        <v>1.2E-2</v>
      </c>
      <c r="AF25" s="3065">
        <f t="shared" si="1"/>
        <v>1.2E-2</v>
      </c>
      <c r="AG25" s="3065">
        <f>ROUND(AVERAGE(K25:K$31)/100,4)</f>
        <v>1.4E-2</v>
      </c>
      <c r="AH25" s="3065">
        <f>ROUND(AVERAGE(L25:L$31)/100,4)</f>
        <v>1.0800000000000001E-2</v>
      </c>
    </row>
    <row r="26" spans="1:34">
      <c r="A26" s="3076" t="s">
        <v>962</v>
      </c>
      <c r="B26" s="3077">
        <f t="shared" si="134"/>
        <v>322.34053690220776</v>
      </c>
      <c r="C26" s="3077">
        <f t="shared" si="134"/>
        <v>271.46160770422546</v>
      </c>
      <c r="D26" s="3077">
        <f t="shared" si="131"/>
        <v>271.46160770422546</v>
      </c>
      <c r="E26" s="3077">
        <f t="shared" si="135"/>
        <v>442.69434542172456</v>
      </c>
      <c r="F26" s="3077">
        <f t="shared" si="135"/>
        <v>241.34030753190925</v>
      </c>
      <c r="G26" s="3592"/>
      <c r="H26" s="3091">
        <v>2</v>
      </c>
      <c r="I26" s="3091">
        <v>0.77</v>
      </c>
      <c r="J26" s="3091">
        <v>0.69</v>
      </c>
      <c r="K26" s="3091">
        <v>0.8</v>
      </c>
      <c r="L26" s="3092">
        <v>0.88</v>
      </c>
      <c r="N26" s="3079">
        <f t="shared" si="133"/>
        <v>7.7000000000000002E-3</v>
      </c>
      <c r="O26" s="3097">
        <f t="shared" si="129"/>
        <v>6.8999999999999999E-3</v>
      </c>
      <c r="P26" s="3097">
        <f t="shared" si="129"/>
        <v>8.0000000000000002E-3</v>
      </c>
      <c r="Q26" s="3097">
        <f t="shared" si="129"/>
        <v>8.8000000000000005E-3</v>
      </c>
      <c r="R26" s="3080"/>
      <c r="S26" s="3079"/>
      <c r="T26" s="3065"/>
      <c r="U26" s="3065"/>
      <c r="V26" s="3065"/>
      <c r="X26" s="3064">
        <f>ROUND(SUMPRODUCT(PRODUCT(1+N26:N$30)),4)</f>
        <v>1.048</v>
      </c>
      <c r="Y26" s="3064">
        <f>ROUND(SUMPRODUCT(PRODUCT(1+O26:O$30)),4)</f>
        <v>1.0524</v>
      </c>
      <c r="Z26" s="3064">
        <f t="shared" si="0"/>
        <v>1.0524</v>
      </c>
      <c r="AA26" s="3064">
        <f>ROUND(SUMPRODUCT(PRODUCT(1+P26:P$30)),4)</f>
        <v>1.0470999999999999</v>
      </c>
      <c r="AB26" s="3064">
        <f>ROUND(SUMPRODUCT(PRODUCT(1+Q26:Q$30)),4)</f>
        <v>1.0504</v>
      </c>
      <c r="AD26" s="3065">
        <f>ROUND(AVERAGE(I26:I$31)/100,4)</f>
        <v>1.2800000000000001E-2</v>
      </c>
      <c r="AE26" s="3065">
        <f>ROUND(AVERAGE(J26:J$31)/100,4)</f>
        <v>1.2500000000000001E-2</v>
      </c>
      <c r="AF26" s="3065">
        <f t="shared" si="1"/>
        <v>1.2500000000000001E-2</v>
      </c>
      <c r="AG26" s="3065">
        <f>ROUND(AVERAGE(K26:K$31)/100,4)</f>
        <v>1.32E-2</v>
      </c>
      <c r="AH26" s="3065">
        <f>ROUND(AVERAGE(L26:L$31)/100,4)</f>
        <v>1.0500000000000001E-2</v>
      </c>
    </row>
    <row r="27" spans="1:34">
      <c r="A27" s="3076" t="s">
        <v>961</v>
      </c>
      <c r="B27" s="3077">
        <f t="shared" si="134"/>
        <v>319.87748030386797</v>
      </c>
      <c r="C27" s="3077">
        <f t="shared" si="134"/>
        <v>269.60135833173649</v>
      </c>
      <c r="D27" s="3077">
        <f t="shared" si="131"/>
        <v>269.60135833173649</v>
      </c>
      <c r="E27" s="3077">
        <f t="shared" si="135"/>
        <v>439.18089823583784</v>
      </c>
      <c r="F27" s="3077">
        <f t="shared" si="135"/>
        <v>239.23503918706311</v>
      </c>
      <c r="G27" s="3593"/>
      <c r="H27" s="3078">
        <v>1</v>
      </c>
      <c r="I27" s="3078">
        <v>0.51</v>
      </c>
      <c r="J27" s="3078">
        <v>0.54</v>
      </c>
      <c r="K27" s="3078">
        <v>0.48</v>
      </c>
      <c r="L27" s="3084">
        <v>0.93</v>
      </c>
      <c r="N27" s="3081">
        <f t="shared" si="133"/>
        <v>5.1000000000000004E-3</v>
      </c>
      <c r="O27" s="3082">
        <f t="shared" si="129"/>
        <v>5.4000000000000003E-3</v>
      </c>
      <c r="P27" s="3082">
        <f t="shared" si="129"/>
        <v>4.7999999999999996E-3</v>
      </c>
      <c r="Q27" s="3082">
        <f t="shared" si="129"/>
        <v>9.300000000000001E-3</v>
      </c>
      <c r="R27" s="3080"/>
      <c r="S27" s="3081">
        <f>B27/B28-1</f>
        <v>5.9040261127922822E-3</v>
      </c>
      <c r="T27" s="3082">
        <f>C27/C28-1</f>
        <v>5.9752176557332781E-3</v>
      </c>
      <c r="U27" s="3082">
        <f>E27/E28-1</f>
        <v>4.9906138119859556E-3</v>
      </c>
      <c r="V27" s="3082">
        <f>F27/F28-1</f>
        <v>9.4305450930933787E-3</v>
      </c>
      <c r="X27" s="3064">
        <f>ROUND(SUMPRODUCT(PRODUCT(1+N27:N$30)),4)</f>
        <v>1.0399</v>
      </c>
      <c r="Y27" s="3064">
        <f>ROUND(SUMPRODUCT(PRODUCT(1+O27:O$30)),4)</f>
        <v>1.0451999999999999</v>
      </c>
      <c r="Z27" s="3064">
        <f t="shared" si="0"/>
        <v>1.0451999999999999</v>
      </c>
      <c r="AA27" s="3064">
        <f>ROUND(SUMPRODUCT(PRODUCT(1+P27:P$30)),4)</f>
        <v>1.0387999999999999</v>
      </c>
      <c r="AB27" s="3064">
        <f>ROUND(SUMPRODUCT(PRODUCT(1+Q27:Q$30)),4)</f>
        <v>1.0411999999999999</v>
      </c>
      <c r="AD27" s="3065">
        <f>ROUND(AVERAGE(I27:I$31)/100,4)</f>
        <v>1.38E-2</v>
      </c>
      <c r="AE27" s="3065">
        <f>ROUND(AVERAGE(J27:J$31)/100,4)</f>
        <v>1.3599999999999999E-2</v>
      </c>
      <c r="AF27" s="3065">
        <f t="shared" si="1"/>
        <v>1.3599999999999999E-2</v>
      </c>
      <c r="AG27" s="3065">
        <f>ROUND(AVERAGE(K27:K$31)/100,4)</f>
        <v>1.4200000000000001E-2</v>
      </c>
      <c r="AH27" s="3065">
        <f>ROUND(AVERAGE(L27:L$31)/100,4)</f>
        <v>1.0800000000000001E-2</v>
      </c>
    </row>
    <row r="28" spans="1:34" ht="13.5" thickBot="1">
      <c r="A28" s="3076" t="s">
        <v>960</v>
      </c>
      <c r="B28" s="3105">
        <v>318</v>
      </c>
      <c r="C28" s="3105">
        <v>268</v>
      </c>
      <c r="D28" s="3105">
        <f t="shared" si="131"/>
        <v>268</v>
      </c>
      <c r="E28" s="3105">
        <v>437</v>
      </c>
      <c r="F28" s="3106">
        <v>237</v>
      </c>
      <c r="G28" s="3591">
        <v>2014</v>
      </c>
      <c r="H28" s="3100">
        <v>4</v>
      </c>
      <c r="I28" s="3100">
        <v>0.21</v>
      </c>
      <c r="J28" s="3100">
        <v>0.41</v>
      </c>
      <c r="K28" s="3100">
        <v>0.12</v>
      </c>
      <c r="L28" s="3101">
        <v>0.89</v>
      </c>
      <c r="N28" s="3079">
        <f t="shared" si="133"/>
        <v>2.0999999999999999E-3</v>
      </c>
      <c r="O28" s="3065">
        <f t="shared" si="129"/>
        <v>4.0999999999999995E-3</v>
      </c>
      <c r="P28" s="3065">
        <f t="shared" si="129"/>
        <v>1.1999999999999999E-3</v>
      </c>
      <c r="Q28" s="3065">
        <f t="shared" si="129"/>
        <v>8.8999999999999999E-3</v>
      </c>
      <c r="R28" s="3080"/>
      <c r="S28" s="3089"/>
      <c r="T28" s="3090"/>
      <c r="U28" s="3090"/>
      <c r="V28" s="3090"/>
      <c r="X28" s="3064">
        <f>ROUND(SUMPRODUCT(PRODUCT(1+N28:N$30)),4)</f>
        <v>1.0347</v>
      </c>
      <c r="Y28" s="3064">
        <f>ROUND(SUMPRODUCT(PRODUCT(1+O28:O$30)),4)</f>
        <v>1.0395000000000001</v>
      </c>
      <c r="Z28" s="3064">
        <f t="shared" si="0"/>
        <v>1.0395000000000001</v>
      </c>
      <c r="AA28" s="3064">
        <f>ROUND(SUMPRODUCT(PRODUCT(1+P28:P$30)),4)</f>
        <v>1.0338000000000001</v>
      </c>
      <c r="AB28" s="3064">
        <f>ROUND(SUMPRODUCT(PRODUCT(1+Q28:Q$30)),4)</f>
        <v>1.0316000000000001</v>
      </c>
      <c r="AD28" s="3065">
        <f>ROUND(AVERAGE(I28:I$31)/100,4)</f>
        <v>1.6E-2</v>
      </c>
      <c r="AE28" s="3065">
        <f>ROUND(AVERAGE(J28:J$31)/100,4)</f>
        <v>1.5599999999999999E-2</v>
      </c>
      <c r="AF28" s="3065">
        <f t="shared" si="1"/>
        <v>1.5599999999999999E-2</v>
      </c>
      <c r="AG28" s="3065">
        <f>ROUND(AVERAGE(K28:K$31)/100,4)</f>
        <v>1.66E-2</v>
      </c>
      <c r="AH28" s="3065">
        <f>ROUND(AVERAGE(L28:L$31)/100,4)</f>
        <v>1.12E-2</v>
      </c>
    </row>
    <row r="29" spans="1:34">
      <c r="A29" s="3076" t="s">
        <v>959</v>
      </c>
      <c r="B29" s="3077">
        <f t="shared" ref="B29:C31" si="136">B28/(1+N28)</f>
        <v>317.33359944117353</v>
      </c>
      <c r="C29" s="3077">
        <f t="shared" si="136"/>
        <v>266.90568668459315</v>
      </c>
      <c r="D29" s="3077">
        <f t="shared" si="131"/>
        <v>266.90568668459315</v>
      </c>
      <c r="E29" s="3077">
        <f t="shared" ref="E29:F31" si="137">E28/(1+P28)</f>
        <v>436.47622852576905</v>
      </c>
      <c r="F29" s="3077">
        <f t="shared" si="137"/>
        <v>234.90930716622066</v>
      </c>
      <c r="G29" s="3592"/>
      <c r="H29" s="3107">
        <v>3</v>
      </c>
      <c r="I29" s="3107">
        <v>0.83</v>
      </c>
      <c r="J29" s="3107">
        <v>1.47</v>
      </c>
      <c r="K29" s="3107">
        <v>0.65</v>
      </c>
      <c r="L29" s="3108">
        <v>0.72</v>
      </c>
      <c r="N29" s="3079">
        <f t="shared" si="133"/>
        <v>8.3000000000000001E-3</v>
      </c>
      <c r="O29" s="3065">
        <f t="shared" si="129"/>
        <v>1.47E-2</v>
      </c>
      <c r="P29" s="3065">
        <f t="shared" si="129"/>
        <v>6.5000000000000006E-3</v>
      </c>
      <c r="Q29" s="3065">
        <f t="shared" si="129"/>
        <v>7.1999999999999998E-3</v>
      </c>
      <c r="R29" s="3080"/>
      <c r="S29" s="3079"/>
      <c r="T29" s="3065"/>
      <c r="U29" s="3065"/>
      <c r="V29" s="3065"/>
      <c r="X29" s="3064">
        <f>ROUND(SUMPRODUCT(PRODUCT(1+N29:N$30)),4)</f>
        <v>1.0325</v>
      </c>
      <c r="Y29" s="3064">
        <f>ROUND(SUMPRODUCT(PRODUCT(1+O29:O$30)),4)</f>
        <v>1.0353000000000001</v>
      </c>
      <c r="Z29" s="3064">
        <f t="shared" ref="Z29:Z30" si="138">Y29</f>
        <v>1.0353000000000001</v>
      </c>
      <c r="AA29" s="3064">
        <f>ROUND(SUMPRODUCT(PRODUCT(1+P29:P$30)),4)</f>
        <v>1.0326</v>
      </c>
      <c r="AB29" s="3064">
        <f>ROUND(SUMPRODUCT(PRODUCT(1+Q29:Q$30)),4)</f>
        <v>1.0225</v>
      </c>
      <c r="AD29" s="3065">
        <f>ROUND(AVERAGE(I29:I$31)/100,4)</f>
        <v>2.07E-2</v>
      </c>
      <c r="AE29" s="3065">
        <f>ROUND(AVERAGE(J29:J$31)/100,4)</f>
        <v>1.95E-2</v>
      </c>
      <c r="AF29" s="3065">
        <f t="shared" si="1"/>
        <v>1.95E-2</v>
      </c>
      <c r="AG29" s="3065">
        <f>ROUND(AVERAGE(K29:K$31)/100,4)</f>
        <v>2.1700000000000001E-2</v>
      </c>
      <c r="AH29" s="3065">
        <f>ROUND(AVERAGE(L29:L$31)/100,4)</f>
        <v>1.2E-2</v>
      </c>
    </row>
    <row r="30" spans="1:34" ht="13.5" thickBot="1">
      <c r="A30" s="3076" t="s">
        <v>958</v>
      </c>
      <c r="B30" s="3077">
        <f t="shared" si="136"/>
        <v>314.72141172386546</v>
      </c>
      <c r="C30" s="3077">
        <f t="shared" si="136"/>
        <v>263.03901319069001</v>
      </c>
      <c r="D30" s="3077">
        <f t="shared" si="131"/>
        <v>263.03901319069001</v>
      </c>
      <c r="E30" s="3077">
        <f t="shared" si="137"/>
        <v>433.65745506782821</v>
      </c>
      <c r="F30" s="3077">
        <f t="shared" si="137"/>
        <v>233.23005080045735</v>
      </c>
      <c r="G30" s="3592"/>
      <c r="H30" s="3100">
        <v>2</v>
      </c>
      <c r="I30" s="3100">
        <v>2.4</v>
      </c>
      <c r="J30" s="3100">
        <v>2.0299999999999998</v>
      </c>
      <c r="K30" s="3100">
        <v>2.59</v>
      </c>
      <c r="L30" s="3101">
        <v>1.52</v>
      </c>
      <c r="N30" s="3079">
        <f t="shared" si="133"/>
        <v>2.4E-2</v>
      </c>
      <c r="O30" s="3065">
        <f t="shared" si="129"/>
        <v>2.0299999999999999E-2</v>
      </c>
      <c r="P30" s="3065">
        <f t="shared" si="129"/>
        <v>2.5899999999999999E-2</v>
      </c>
      <c r="Q30" s="3065">
        <f t="shared" si="129"/>
        <v>1.52E-2</v>
      </c>
      <c r="R30" s="3080"/>
      <c r="S30" s="3079"/>
      <c r="T30" s="3065"/>
      <c r="U30" s="3065"/>
      <c r="V30" s="3065"/>
      <c r="X30" s="3064">
        <f>1+N30</f>
        <v>1.024</v>
      </c>
      <c r="Y30" s="3064">
        <f>1+O30</f>
        <v>1.0203</v>
      </c>
      <c r="Z30" s="3064">
        <f t="shared" si="138"/>
        <v>1.0203</v>
      </c>
      <c r="AA30" s="3064">
        <f>1+P30</f>
        <v>1.0259</v>
      </c>
      <c r="AB30" s="3064">
        <f>1+Q30</f>
        <v>1.0152000000000001</v>
      </c>
      <c r="AD30" s="3065">
        <f>ROUND(AVERAGE(I30:I$31)/100,4)</f>
        <v>2.69E-2</v>
      </c>
      <c r="AE30" s="3065">
        <f>ROUND(AVERAGE(J30:J$31)/100,4)</f>
        <v>2.1899999999999999E-2</v>
      </c>
      <c r="AF30" s="3065">
        <f t="shared" ref="AF30" si="139">AE30</f>
        <v>2.1899999999999999E-2</v>
      </c>
      <c r="AG30" s="3065">
        <f>ROUND(AVERAGE(K30:K$31)/100,4)</f>
        <v>2.9399999999999999E-2</v>
      </c>
      <c r="AH30" s="3065">
        <f>ROUND(AVERAGE(L30:L$31)/100,4)</f>
        <v>1.44E-2</v>
      </c>
    </row>
    <row r="31" spans="1:34" s="3113" customFormat="1" ht="13.5" thickBot="1">
      <c r="A31" s="3109" t="s">
        <v>957</v>
      </c>
      <c r="B31" s="3110">
        <f t="shared" si="136"/>
        <v>307.34512863658733</v>
      </c>
      <c r="C31" s="3110">
        <f t="shared" si="136"/>
        <v>257.80556031626975</v>
      </c>
      <c r="D31" s="3110">
        <f t="shared" si="131"/>
        <v>257.80556031626975</v>
      </c>
      <c r="E31" s="3110">
        <f t="shared" si="137"/>
        <v>422.70928459677179</v>
      </c>
      <c r="F31" s="3110">
        <f t="shared" si="137"/>
        <v>229.73803270336617</v>
      </c>
      <c r="G31" s="3593"/>
      <c r="H31" s="3111">
        <v>1</v>
      </c>
      <c r="I31" s="3111">
        <v>2.97</v>
      </c>
      <c r="J31" s="3111">
        <v>2.34</v>
      </c>
      <c r="K31" s="3111">
        <v>3.28</v>
      </c>
      <c r="L31" s="3112">
        <v>1.36</v>
      </c>
      <c r="N31" s="3114">
        <f t="shared" si="133"/>
        <v>2.9700000000000001E-2</v>
      </c>
      <c r="O31" s="3115">
        <f t="shared" si="129"/>
        <v>2.3399999999999997E-2</v>
      </c>
      <c r="P31" s="3115">
        <f t="shared" si="129"/>
        <v>3.2799999999999996E-2</v>
      </c>
      <c r="Q31" s="3115">
        <f t="shared" si="129"/>
        <v>1.3600000000000001E-2</v>
      </c>
      <c r="R31" s="3116"/>
      <c r="S31" s="3117">
        <f>B31/B32-1</f>
        <v>2.7910129219355539E-2</v>
      </c>
      <c r="T31" s="3118">
        <f>C31/C32-1</f>
        <v>2.3037937762975247E-2</v>
      </c>
      <c r="U31" s="3118">
        <f>E31/E32-1</f>
        <v>3.3519033243940788E-2</v>
      </c>
      <c r="V31" s="3118">
        <f>F31/F32-1</f>
        <v>1.2061818076502862E-2</v>
      </c>
      <c r="W31" s="3119" t="s">
        <v>2630</v>
      </c>
      <c r="X31" s="3120">
        <v>1</v>
      </c>
      <c r="Y31" s="3120">
        <v>1</v>
      </c>
      <c r="Z31" s="3120">
        <v>1</v>
      </c>
      <c r="AA31" s="3120">
        <v>1</v>
      </c>
      <c r="AB31" s="3120">
        <v>1</v>
      </c>
      <c r="AD31" s="3115">
        <f>I31/100</f>
        <v>2.9700000000000001E-2</v>
      </c>
      <c r="AE31" s="3115">
        <f>J31/100</f>
        <v>2.3399999999999997E-2</v>
      </c>
      <c r="AF31" s="3115">
        <f>AE31</f>
        <v>2.3399999999999997E-2</v>
      </c>
      <c r="AG31" s="3115">
        <f>K31/100</f>
        <v>3.2799999999999996E-2</v>
      </c>
      <c r="AH31" s="3115">
        <f>L31/100</f>
        <v>1.3600000000000001E-2</v>
      </c>
    </row>
    <row r="32" spans="1:34" ht="13.5" thickBot="1">
      <c r="A32" s="3076" t="s">
        <v>2573</v>
      </c>
      <c r="B32" s="3098">
        <v>299</v>
      </c>
      <c r="C32" s="3098">
        <v>252</v>
      </c>
      <c r="D32" s="3098">
        <f t="shared" si="131"/>
        <v>252</v>
      </c>
      <c r="E32" s="3098">
        <v>409</v>
      </c>
      <c r="F32" s="3099">
        <v>227</v>
      </c>
      <c r="G32" s="3594">
        <v>2013</v>
      </c>
      <c r="H32" s="3121">
        <v>4</v>
      </c>
      <c r="I32" s="3121">
        <v>1.83</v>
      </c>
      <c r="J32" s="3121">
        <v>1.68</v>
      </c>
      <c r="K32" s="3121">
        <v>1.97</v>
      </c>
      <c r="L32" s="3122">
        <v>0.87</v>
      </c>
      <c r="N32" s="3095">
        <f t="shared" si="133"/>
        <v>1.83E-2</v>
      </c>
      <c r="O32" s="3096">
        <f t="shared" si="129"/>
        <v>1.6799999999999999E-2</v>
      </c>
      <c r="P32" s="3096">
        <f t="shared" si="129"/>
        <v>1.9699999999999999E-2</v>
      </c>
      <c r="Q32" s="3096">
        <f t="shared" si="129"/>
        <v>8.6999999999999994E-3</v>
      </c>
      <c r="R32" s="3080"/>
      <c r="S32" s="3089"/>
      <c r="T32" s="3090"/>
      <c r="U32" s="3090"/>
      <c r="V32" s="3090"/>
      <c r="X32" s="3090"/>
      <c r="Y32" s="3090"/>
      <c r="Z32" s="3090"/>
    </row>
    <row r="33" spans="1:26">
      <c r="A33" s="3076" t="s">
        <v>2574</v>
      </c>
      <c r="B33" s="3077">
        <f t="shared" ref="B33:C35" si="140">B32/(1+N32)</f>
        <v>293.62663262299913</v>
      </c>
      <c r="C33" s="3077">
        <f t="shared" si="140"/>
        <v>247.83634933123525</v>
      </c>
      <c r="D33" s="3077">
        <f t="shared" si="131"/>
        <v>247.83634933123525</v>
      </c>
      <c r="E33" s="3077">
        <f t="shared" ref="E33:F35" si="141">E32/(1+P32)</f>
        <v>401.09836226341076</v>
      </c>
      <c r="F33" s="3077">
        <f t="shared" si="141"/>
        <v>225.04213343908003</v>
      </c>
      <c r="G33" s="3595"/>
      <c r="H33" s="3103">
        <v>3</v>
      </c>
      <c r="I33" s="3103">
        <v>1.86</v>
      </c>
      <c r="J33" s="3103">
        <v>1.72</v>
      </c>
      <c r="K33" s="3103">
        <v>1.98</v>
      </c>
      <c r="L33" s="3104">
        <v>0.88</v>
      </c>
      <c r="N33" s="3079">
        <f t="shared" si="133"/>
        <v>1.8600000000000002E-2</v>
      </c>
      <c r="O33" s="3097">
        <f t="shared" si="129"/>
        <v>1.72E-2</v>
      </c>
      <c r="P33" s="3097">
        <f t="shared" si="129"/>
        <v>1.9799999999999998E-2</v>
      </c>
      <c r="Q33" s="3097">
        <f t="shared" si="129"/>
        <v>8.8000000000000005E-3</v>
      </c>
      <c r="R33" s="3080"/>
      <c r="S33" s="3079"/>
      <c r="T33" s="3065"/>
      <c r="U33" s="3065"/>
      <c r="V33" s="3065"/>
    </row>
    <row r="34" spans="1:26">
      <c r="A34" s="3076" t="s">
        <v>2575</v>
      </c>
      <c r="B34" s="3077">
        <f t="shared" si="140"/>
        <v>288.2649053828776</v>
      </c>
      <c r="C34" s="3077">
        <f t="shared" si="140"/>
        <v>243.64564425013293</v>
      </c>
      <c r="D34" s="3077">
        <f t="shared" si="131"/>
        <v>243.64564425013293</v>
      </c>
      <c r="E34" s="3077">
        <f t="shared" si="141"/>
        <v>393.31080825986544</v>
      </c>
      <c r="F34" s="3077">
        <f t="shared" si="141"/>
        <v>223.07903790551154</v>
      </c>
      <c r="G34" s="3595"/>
      <c r="H34" s="3091">
        <v>2</v>
      </c>
      <c r="I34" s="3091">
        <v>2.04</v>
      </c>
      <c r="J34" s="3091">
        <v>2.33</v>
      </c>
      <c r="K34" s="3091">
        <v>2.0699999999999998</v>
      </c>
      <c r="L34" s="3092">
        <v>0.69</v>
      </c>
      <c r="N34" s="3079">
        <f t="shared" si="133"/>
        <v>2.0400000000000001E-2</v>
      </c>
      <c r="O34" s="3097">
        <f t="shared" si="129"/>
        <v>2.3300000000000001E-2</v>
      </c>
      <c r="P34" s="3097">
        <f t="shared" si="129"/>
        <v>2.07E-2</v>
      </c>
      <c r="Q34" s="3097">
        <f t="shared" si="129"/>
        <v>6.8999999999999999E-3</v>
      </c>
      <c r="R34" s="3080"/>
      <c r="S34" s="3079"/>
      <c r="T34" s="3065"/>
      <c r="U34" s="3065"/>
      <c r="V34" s="3065"/>
      <c r="X34" s="3123"/>
      <c r="Y34" s="3124"/>
    </row>
    <row r="35" spans="1:26">
      <c r="A35" s="3076" t="s">
        <v>2576</v>
      </c>
      <c r="B35" s="3077">
        <f t="shared" si="140"/>
        <v>282.50186729015837</v>
      </c>
      <c r="C35" s="3077">
        <f t="shared" si="140"/>
        <v>238.09796174155468</v>
      </c>
      <c r="D35" s="3077">
        <f t="shared" si="131"/>
        <v>238.09796174155468</v>
      </c>
      <c r="E35" s="3077">
        <f t="shared" si="141"/>
        <v>385.33438646014054</v>
      </c>
      <c r="F35" s="3077">
        <f t="shared" si="141"/>
        <v>221.55034055567739</v>
      </c>
      <c r="G35" s="3596"/>
      <c r="H35" s="3078">
        <v>1</v>
      </c>
      <c r="I35" s="3078">
        <v>1.67</v>
      </c>
      <c r="J35" s="3078">
        <v>1.31</v>
      </c>
      <c r="K35" s="3078">
        <v>1.85</v>
      </c>
      <c r="L35" s="3084">
        <v>0.96</v>
      </c>
      <c r="N35" s="3081">
        <f t="shared" si="133"/>
        <v>1.67E-2</v>
      </c>
      <c r="O35" s="3082">
        <f t="shared" si="129"/>
        <v>1.3100000000000001E-2</v>
      </c>
      <c r="P35" s="3082">
        <f t="shared" si="129"/>
        <v>1.8500000000000003E-2</v>
      </c>
      <c r="Q35" s="3082">
        <f t="shared" si="129"/>
        <v>9.5999999999999992E-3</v>
      </c>
      <c r="R35" s="3080"/>
      <c r="S35" s="3081">
        <f>B35/B36-1</f>
        <v>1.6193767230785472E-2</v>
      </c>
      <c r="T35" s="3082">
        <f>C35/C36-1</f>
        <v>1.7512657015190891E-2</v>
      </c>
      <c r="U35" s="3082">
        <f>E35/E36-1</f>
        <v>1.6713420739157048E-2</v>
      </c>
      <c r="V35" s="3082">
        <f>F35/F36-1</f>
        <v>7.0470025258062563E-3</v>
      </c>
      <c r="X35" s="3125"/>
      <c r="Y35" s="3065"/>
      <c r="Z35" s="3065"/>
    </row>
    <row r="36" spans="1:26" ht="13.5" thickBot="1">
      <c r="A36" s="3076" t="s">
        <v>2577</v>
      </c>
      <c r="B36" s="3126">
        <v>278</v>
      </c>
      <c r="C36" s="3126">
        <v>234</v>
      </c>
      <c r="D36" s="3126">
        <f t="shared" si="131"/>
        <v>234</v>
      </c>
      <c r="E36" s="3126">
        <v>379</v>
      </c>
      <c r="F36" s="3127">
        <v>220</v>
      </c>
      <c r="G36" s="3591">
        <v>2012</v>
      </c>
      <c r="H36" s="3100">
        <v>4</v>
      </c>
      <c r="I36" s="3100">
        <v>0.91</v>
      </c>
      <c r="J36" s="3100">
        <v>0.68</v>
      </c>
      <c r="K36" s="3100">
        <v>0.98</v>
      </c>
      <c r="L36" s="3101">
        <v>0.9</v>
      </c>
      <c r="N36" s="3079">
        <f t="shared" si="133"/>
        <v>9.1000000000000004E-3</v>
      </c>
      <c r="O36" s="3065">
        <f t="shared" si="133"/>
        <v>6.8000000000000005E-3</v>
      </c>
      <c r="P36" s="3065">
        <f t="shared" si="133"/>
        <v>9.7999999999999997E-3</v>
      </c>
      <c r="Q36" s="3065">
        <f t="shared" si="133"/>
        <v>9.0000000000000011E-3</v>
      </c>
      <c r="R36" s="3080"/>
      <c r="S36" s="3089"/>
      <c r="T36" s="3090"/>
      <c r="U36" s="3090"/>
      <c r="V36" s="3090"/>
      <c r="X36" s="3090"/>
      <c r="Y36" s="3090"/>
      <c r="Z36" s="3090"/>
    </row>
    <row r="37" spans="1:26">
      <c r="A37" s="3076" t="s">
        <v>2578</v>
      </c>
      <c r="B37" s="3077">
        <f>B36/(1+N36)</f>
        <v>275.49301357645425</v>
      </c>
      <c r="C37" s="3077">
        <f>C36/(1+O36)</f>
        <v>232.41954707985698</v>
      </c>
      <c r="D37" s="3077">
        <f t="shared" si="131"/>
        <v>232.41954707985698</v>
      </c>
      <c r="E37" s="3077">
        <f t="shared" ref="E37:F39" si="142">E36/(1+P36)</f>
        <v>375.32184591008121</v>
      </c>
      <c r="F37" s="3077">
        <f t="shared" si="142"/>
        <v>218.03766105054513</v>
      </c>
      <c r="G37" s="3592"/>
      <c r="H37" s="3103">
        <v>3</v>
      </c>
      <c r="I37" s="3103">
        <v>0.09</v>
      </c>
      <c r="J37" s="3103">
        <v>0.28999999999999998</v>
      </c>
      <c r="K37" s="3103">
        <v>-0.01</v>
      </c>
      <c r="L37" s="3104">
        <v>0.57999999999999996</v>
      </c>
      <c r="N37" s="3079">
        <f t="shared" si="133"/>
        <v>8.9999999999999998E-4</v>
      </c>
      <c r="O37" s="3065">
        <f t="shared" si="133"/>
        <v>2.8999999999999998E-3</v>
      </c>
      <c r="P37" s="3065">
        <f t="shared" si="133"/>
        <v>-1E-4</v>
      </c>
      <c r="Q37" s="3065">
        <f t="shared" si="133"/>
        <v>5.7999999999999996E-3</v>
      </c>
      <c r="R37" s="3080"/>
      <c r="S37" s="3079"/>
      <c r="T37" s="3065"/>
      <c r="U37" s="3065"/>
      <c r="V37" s="3065"/>
    </row>
    <row r="38" spans="1:26">
      <c r="A38" s="3076" t="s">
        <v>2579</v>
      </c>
      <c r="B38" s="3077">
        <f>B37/(1+N37)</f>
        <v>275.24529281292263</v>
      </c>
      <c r="C38" s="3077">
        <f>C37/(1+O37)</f>
        <v>231.74747938962707</v>
      </c>
      <c r="D38" s="3077">
        <f t="shared" si="131"/>
        <v>231.74747938962707</v>
      </c>
      <c r="E38" s="3077">
        <f t="shared" si="142"/>
        <v>375.35938184826603</v>
      </c>
      <c r="F38" s="3077">
        <f t="shared" si="142"/>
        <v>216.78033510692495</v>
      </c>
      <c r="G38" s="3592"/>
      <c r="H38" s="3091">
        <v>2</v>
      </c>
      <c r="I38" s="3091">
        <v>0.02</v>
      </c>
      <c r="J38" s="3091">
        <v>0.12</v>
      </c>
      <c r="K38" s="3091">
        <v>-0.08</v>
      </c>
      <c r="L38" s="3092">
        <v>1.24</v>
      </c>
      <c r="N38" s="3079">
        <f t="shared" si="133"/>
        <v>2.0000000000000001E-4</v>
      </c>
      <c r="O38" s="3065">
        <f t="shared" si="133"/>
        <v>1.1999999999999999E-3</v>
      </c>
      <c r="P38" s="3065">
        <f t="shared" si="133"/>
        <v>-8.0000000000000004E-4</v>
      </c>
      <c r="Q38" s="3065">
        <f t="shared" si="133"/>
        <v>1.24E-2</v>
      </c>
      <c r="R38" s="3080"/>
      <c r="S38" s="3079"/>
      <c r="T38" s="3065"/>
      <c r="U38" s="3065"/>
      <c r="V38" s="3065"/>
    </row>
    <row r="39" spans="1:26" ht="13.5" thickBot="1">
      <c r="A39" s="3076" t="s">
        <v>2580</v>
      </c>
      <c r="B39" s="3077">
        <f>B38/(1+N38)</f>
        <v>275.19025476197027</v>
      </c>
      <c r="C39" s="3128">
        <v>232</v>
      </c>
      <c r="D39" s="3128">
        <f t="shared" si="131"/>
        <v>232</v>
      </c>
      <c r="E39" s="3077">
        <f t="shared" si="142"/>
        <v>375.65990977608692</v>
      </c>
      <c r="F39" s="3077">
        <f t="shared" si="142"/>
        <v>214.12518283971252</v>
      </c>
      <c r="G39" s="3593"/>
      <c r="H39" s="3078">
        <v>1</v>
      </c>
      <c r="I39" s="3078">
        <v>0.02</v>
      </c>
      <c r="J39" s="3078">
        <v>0.13</v>
      </c>
      <c r="K39" s="3078">
        <v>-0.04</v>
      </c>
      <c r="L39" s="3084">
        <v>0.46</v>
      </c>
      <c r="N39" s="3079">
        <f t="shared" si="133"/>
        <v>2.0000000000000001E-4</v>
      </c>
      <c r="O39" s="3065">
        <f t="shared" si="133"/>
        <v>1.2999999999999999E-3</v>
      </c>
      <c r="P39" s="3065">
        <f t="shared" si="133"/>
        <v>-4.0000000000000002E-4</v>
      </c>
      <c r="Q39" s="3065">
        <f t="shared" si="13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2581</v>
      </c>
      <c r="B40" s="3098">
        <v>275</v>
      </c>
      <c r="C40" s="3098">
        <v>232</v>
      </c>
      <c r="D40" s="3098">
        <f t="shared" si="131"/>
        <v>232</v>
      </c>
      <c r="E40" s="3098">
        <v>376</v>
      </c>
      <c r="F40" s="3099">
        <v>213</v>
      </c>
      <c r="G40" s="3591">
        <v>2011</v>
      </c>
      <c r="H40" s="3100">
        <v>4</v>
      </c>
      <c r="I40" s="3100">
        <v>-0.2</v>
      </c>
      <c r="J40" s="3100">
        <v>0.04</v>
      </c>
      <c r="K40" s="3100">
        <v>-0.34</v>
      </c>
      <c r="L40" s="3101">
        <v>0.46</v>
      </c>
      <c r="N40" s="3095">
        <f t="shared" si="133"/>
        <v>-2E-3</v>
      </c>
      <c r="O40" s="3096">
        <f t="shared" si="133"/>
        <v>4.0000000000000002E-4</v>
      </c>
      <c r="P40" s="3096">
        <f t="shared" si="133"/>
        <v>-3.4000000000000002E-3</v>
      </c>
      <c r="Q40" s="3096">
        <f t="shared" si="133"/>
        <v>4.5999999999999999E-3</v>
      </c>
      <c r="R40" s="3080"/>
      <c r="S40" s="3089"/>
      <c r="T40" s="3090"/>
      <c r="U40" s="3090"/>
      <c r="V40" s="3090"/>
      <c r="X40" s="3090"/>
      <c r="Y40" s="3090"/>
      <c r="Z40" s="3090"/>
    </row>
    <row r="41" spans="1:26">
      <c r="A41" s="3076" t="s">
        <v>2582</v>
      </c>
      <c r="B41" s="3077">
        <f t="shared" ref="B41:C43" si="143">B40/(1+N40)</f>
        <v>275.55110220440883</v>
      </c>
      <c r="C41" s="3077">
        <f t="shared" si="143"/>
        <v>231.90723710515795</v>
      </c>
      <c r="D41" s="3077">
        <f t="shared" si="131"/>
        <v>231.90723710515795</v>
      </c>
      <c r="E41" s="3077">
        <f t="shared" ref="E41:F43" si="144">E40/(1+P40)</f>
        <v>377.28276138872161</v>
      </c>
      <c r="F41" s="3077">
        <f t="shared" si="144"/>
        <v>212.02468644236512</v>
      </c>
      <c r="G41" s="3592">
        <v>2011</v>
      </c>
      <c r="H41" s="3103">
        <v>3</v>
      </c>
      <c r="I41" s="3103">
        <v>0.13</v>
      </c>
      <c r="J41" s="3103">
        <v>0.75</v>
      </c>
      <c r="K41" s="3103">
        <v>-0.08</v>
      </c>
      <c r="L41" s="3104">
        <v>0.53</v>
      </c>
      <c r="N41" s="3079">
        <f t="shared" si="133"/>
        <v>1.2999999999999999E-3</v>
      </c>
      <c r="O41" s="3097">
        <f t="shared" si="133"/>
        <v>7.4999999999999997E-3</v>
      </c>
      <c r="P41" s="3097">
        <f t="shared" si="133"/>
        <v>-8.0000000000000004E-4</v>
      </c>
      <c r="Q41" s="3097">
        <f t="shared" si="133"/>
        <v>5.3E-3</v>
      </c>
      <c r="R41" s="3080"/>
      <c r="S41" s="3079"/>
      <c r="T41" s="3065"/>
      <c r="U41" s="3065"/>
      <c r="V41" s="3065"/>
    </row>
    <row r="42" spans="1:26">
      <c r="A42" s="3076" t="s">
        <v>2583</v>
      </c>
      <c r="B42" s="3077">
        <f t="shared" si="143"/>
        <v>275.19335084830601</v>
      </c>
      <c r="C42" s="3077">
        <f t="shared" si="143"/>
        <v>230.18088050139744</v>
      </c>
      <c r="D42" s="3077">
        <f t="shared" si="131"/>
        <v>230.18088050139744</v>
      </c>
      <c r="E42" s="3077">
        <f t="shared" si="144"/>
        <v>377.58482925212331</v>
      </c>
      <c r="F42" s="3077">
        <f t="shared" si="144"/>
        <v>210.90687997847917</v>
      </c>
      <c r="G42" s="3592">
        <v>2011</v>
      </c>
      <c r="H42" s="3091">
        <v>2</v>
      </c>
      <c r="I42" s="3091">
        <v>-0.4</v>
      </c>
      <c r="J42" s="3091">
        <v>0.17</v>
      </c>
      <c r="K42" s="3091">
        <v>-0.57999999999999996</v>
      </c>
      <c r="L42" s="3092">
        <v>-0.2</v>
      </c>
      <c r="N42" s="3079">
        <f t="shared" si="133"/>
        <v>-4.0000000000000001E-3</v>
      </c>
      <c r="O42" s="3097">
        <f t="shared" si="133"/>
        <v>1.7000000000000001E-3</v>
      </c>
      <c r="P42" s="3097">
        <f t="shared" si="133"/>
        <v>-5.7999999999999996E-3</v>
      </c>
      <c r="Q42" s="3097">
        <f t="shared" si="133"/>
        <v>-2E-3</v>
      </c>
      <c r="R42" s="3080"/>
      <c r="S42" s="3079"/>
      <c r="T42" s="3065"/>
      <c r="U42" s="3065"/>
      <c r="V42" s="3065"/>
    </row>
    <row r="43" spans="1:26" ht="13.5" thickBot="1">
      <c r="A43" s="3076" t="s">
        <v>2584</v>
      </c>
      <c r="B43" s="3077">
        <f t="shared" si="143"/>
        <v>276.29854502841971</v>
      </c>
      <c r="C43" s="3077">
        <f t="shared" si="143"/>
        <v>229.79023709833027</v>
      </c>
      <c r="D43" s="3077">
        <f t="shared" si="131"/>
        <v>229.79023709833027</v>
      </c>
      <c r="E43" s="3077">
        <f t="shared" si="144"/>
        <v>379.78759731655936</v>
      </c>
      <c r="F43" s="3077">
        <f t="shared" si="144"/>
        <v>211.32953905659235</v>
      </c>
      <c r="G43" s="3593">
        <v>2011</v>
      </c>
      <c r="H43" s="3078">
        <v>1</v>
      </c>
      <c r="I43" s="3078">
        <v>2.65</v>
      </c>
      <c r="J43" s="3078">
        <v>3.76</v>
      </c>
      <c r="K43" s="3078">
        <v>1.89</v>
      </c>
      <c r="L43" s="3084">
        <v>7.95</v>
      </c>
      <c r="N43" s="3081">
        <f t="shared" si="133"/>
        <v>2.6499999999999999E-2</v>
      </c>
      <c r="O43" s="3082">
        <f t="shared" si="133"/>
        <v>3.7599999999999995E-2</v>
      </c>
      <c r="P43" s="3082">
        <f t="shared" si="133"/>
        <v>1.89E-2</v>
      </c>
      <c r="Q43" s="3082">
        <f t="shared" si="13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2585</v>
      </c>
      <c r="B44" s="3098">
        <v>269</v>
      </c>
      <c r="C44" s="3098">
        <v>221</v>
      </c>
      <c r="D44" s="3098">
        <f t="shared" si="131"/>
        <v>221</v>
      </c>
      <c r="E44" s="3098">
        <v>373</v>
      </c>
      <c r="F44" s="3099">
        <v>196</v>
      </c>
      <c r="G44" s="3591">
        <v>2010</v>
      </c>
      <c r="H44" s="3100">
        <v>4</v>
      </c>
      <c r="I44" s="3100">
        <v>5.72</v>
      </c>
      <c r="J44" s="3100">
        <v>6.57</v>
      </c>
      <c r="K44" s="3100">
        <v>5.72</v>
      </c>
      <c r="L44" s="3101">
        <v>2.72</v>
      </c>
      <c r="N44" s="3079">
        <f t="shared" si="133"/>
        <v>5.7200000000000001E-2</v>
      </c>
      <c r="O44" s="3065">
        <f t="shared" si="133"/>
        <v>6.5700000000000008E-2</v>
      </c>
      <c r="P44" s="3065">
        <f t="shared" si="133"/>
        <v>5.7200000000000001E-2</v>
      </c>
      <c r="Q44" s="3065">
        <f t="shared" si="133"/>
        <v>2.7200000000000002E-2</v>
      </c>
      <c r="R44" s="3080"/>
      <c r="S44" s="3089"/>
      <c r="T44" s="3090"/>
      <c r="U44" s="3090"/>
      <c r="V44" s="3090"/>
      <c r="X44" s="3090"/>
      <c r="Y44" s="3090"/>
      <c r="Z44" s="3090"/>
    </row>
    <row r="45" spans="1:26">
      <c r="A45" s="3076" t="s">
        <v>2586</v>
      </c>
      <c r="B45" s="3077">
        <f t="shared" ref="B45:C47" si="145">B44/(1+N44)</f>
        <v>254.44570563753314</v>
      </c>
      <c r="C45" s="3077">
        <f t="shared" si="145"/>
        <v>207.37543398705074</v>
      </c>
      <c r="D45" s="3077">
        <f t="shared" si="131"/>
        <v>207.37543398705074</v>
      </c>
      <c r="E45" s="3077">
        <f t="shared" ref="E45:F47" si="146">E44/(1+P44)</f>
        <v>352.81876655315932</v>
      </c>
      <c r="F45" s="3077">
        <f t="shared" si="146"/>
        <v>190.809968847352</v>
      </c>
      <c r="G45" s="3592">
        <v>2010</v>
      </c>
      <c r="H45" s="3103">
        <v>3</v>
      </c>
      <c r="I45" s="3103">
        <v>4.7300000000000004</v>
      </c>
      <c r="J45" s="3103">
        <v>3.9</v>
      </c>
      <c r="K45" s="3103">
        <v>5.03</v>
      </c>
      <c r="L45" s="3104">
        <v>4.21</v>
      </c>
      <c r="N45" s="3079">
        <f t="shared" si="133"/>
        <v>4.7300000000000002E-2</v>
      </c>
      <c r="O45" s="3065">
        <f t="shared" si="133"/>
        <v>3.9E-2</v>
      </c>
      <c r="P45" s="3065">
        <f t="shared" si="133"/>
        <v>5.0300000000000004E-2</v>
      </c>
      <c r="Q45" s="3065">
        <f t="shared" si="133"/>
        <v>4.2099999999999999E-2</v>
      </c>
      <c r="R45" s="3080"/>
      <c r="S45" s="3079"/>
      <c r="T45" s="3065"/>
      <c r="U45" s="3065"/>
      <c r="V45" s="3065"/>
    </row>
    <row r="46" spans="1:26">
      <c r="A46" s="3076" t="s">
        <v>2587</v>
      </c>
      <c r="B46" s="3077">
        <f t="shared" si="145"/>
        <v>242.95398227588385</v>
      </c>
      <c r="C46" s="3077">
        <f t="shared" si="145"/>
        <v>199.59137053614126</v>
      </c>
      <c r="D46" s="3077">
        <f t="shared" si="131"/>
        <v>199.59137053614126</v>
      </c>
      <c r="E46" s="3077">
        <f t="shared" si="146"/>
        <v>335.92189522342125</v>
      </c>
      <c r="F46" s="3077">
        <f t="shared" si="146"/>
        <v>183.10139991109489</v>
      </c>
      <c r="G46" s="3592">
        <v>2010</v>
      </c>
      <c r="H46" s="3091">
        <v>2</v>
      </c>
      <c r="I46" s="3091">
        <v>4.6900000000000004</v>
      </c>
      <c r="J46" s="3091">
        <v>3.55</v>
      </c>
      <c r="K46" s="3091">
        <v>5.07</v>
      </c>
      <c r="L46" s="3092">
        <v>4.2300000000000004</v>
      </c>
      <c r="N46" s="3079">
        <f t="shared" si="133"/>
        <v>4.6900000000000004E-2</v>
      </c>
      <c r="O46" s="3065">
        <f t="shared" si="133"/>
        <v>3.5499999999999997E-2</v>
      </c>
      <c r="P46" s="3065">
        <f t="shared" si="133"/>
        <v>5.0700000000000002E-2</v>
      </c>
      <c r="Q46" s="3065">
        <f t="shared" si="133"/>
        <v>4.2300000000000004E-2</v>
      </c>
      <c r="R46" s="3080"/>
      <c r="S46" s="3079"/>
      <c r="T46" s="3065"/>
      <c r="U46" s="3065"/>
      <c r="V46" s="3065"/>
    </row>
    <row r="47" spans="1:26" ht="13.5" thickBot="1">
      <c r="A47" s="3076" t="s">
        <v>2588</v>
      </c>
      <c r="B47" s="3077">
        <f t="shared" si="145"/>
        <v>232.06990378821649</v>
      </c>
      <c r="C47" s="3077">
        <f t="shared" si="145"/>
        <v>192.74878854286936</v>
      </c>
      <c r="D47" s="3077">
        <f t="shared" si="131"/>
        <v>192.74878854286936</v>
      </c>
      <c r="E47" s="3077">
        <f t="shared" si="146"/>
        <v>319.71247284992984</v>
      </c>
      <c r="F47" s="3077">
        <f t="shared" si="146"/>
        <v>175.67053622862409</v>
      </c>
      <c r="G47" s="3593">
        <v>2010</v>
      </c>
      <c r="H47" s="3078">
        <v>1</v>
      </c>
      <c r="I47" s="3078">
        <v>5.4</v>
      </c>
      <c r="J47" s="3078">
        <v>3.2</v>
      </c>
      <c r="K47" s="3078">
        <v>6.16</v>
      </c>
      <c r="L47" s="3084">
        <v>4.51</v>
      </c>
      <c r="N47" s="3079">
        <f t="shared" si="133"/>
        <v>5.4000000000000006E-2</v>
      </c>
      <c r="O47" s="3065">
        <f t="shared" si="133"/>
        <v>3.2000000000000001E-2</v>
      </c>
      <c r="P47" s="3065">
        <f t="shared" si="133"/>
        <v>6.1600000000000002E-2</v>
      </c>
      <c r="Q47" s="3065">
        <f t="shared" si="13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2589</v>
      </c>
      <c r="B48" s="3098">
        <v>220</v>
      </c>
      <c r="C48" s="3098">
        <v>187</v>
      </c>
      <c r="D48" s="3098">
        <f t="shared" si="131"/>
        <v>187</v>
      </c>
      <c r="E48" s="3098">
        <v>301</v>
      </c>
      <c r="F48" s="3099">
        <v>168</v>
      </c>
      <c r="G48" s="3591">
        <v>2009</v>
      </c>
      <c r="H48" s="3100">
        <v>4</v>
      </c>
      <c r="I48" s="3100">
        <v>2.2999999999999998</v>
      </c>
      <c r="J48" s="3100">
        <v>1.04</v>
      </c>
      <c r="K48" s="3100">
        <v>2.84</v>
      </c>
      <c r="L48" s="3101">
        <v>0.67</v>
      </c>
      <c r="N48" s="3095">
        <f t="shared" si="133"/>
        <v>2.3E-2</v>
      </c>
      <c r="O48" s="3096">
        <f t="shared" si="133"/>
        <v>1.04E-2</v>
      </c>
      <c r="P48" s="3096">
        <f t="shared" si="133"/>
        <v>2.8399999999999998E-2</v>
      </c>
      <c r="Q48" s="3096">
        <f t="shared" si="133"/>
        <v>6.7000000000000002E-3</v>
      </c>
      <c r="R48" s="3080"/>
      <c r="S48" s="3089"/>
      <c r="T48" s="3090"/>
      <c r="U48" s="3090"/>
      <c r="V48" s="3090"/>
      <c r="X48" s="3090"/>
      <c r="Y48" s="3090"/>
      <c r="Z48" s="3090"/>
    </row>
    <row r="49" spans="1:26">
      <c r="A49" s="3076" t="s">
        <v>2590</v>
      </c>
      <c r="B49" s="3077">
        <f t="shared" ref="B49:C51" si="147">B48/(1+N48)</f>
        <v>215.05376344086022</v>
      </c>
      <c r="C49" s="3077">
        <f t="shared" si="147"/>
        <v>185.0752177355503</v>
      </c>
      <c r="D49" s="3077">
        <f t="shared" si="131"/>
        <v>185.0752177355503</v>
      </c>
      <c r="E49" s="3077">
        <f t="shared" ref="E49:F51" si="148">E48/(1+P48)</f>
        <v>292.68767016725008</v>
      </c>
      <c r="F49" s="3077">
        <f t="shared" si="148"/>
        <v>166.88189132810174</v>
      </c>
      <c r="G49" s="3592">
        <v>2009</v>
      </c>
      <c r="H49" s="3103">
        <v>3</v>
      </c>
      <c r="I49" s="3103">
        <v>2.1</v>
      </c>
      <c r="J49" s="3103">
        <v>1.86</v>
      </c>
      <c r="K49" s="3103">
        <v>2.29</v>
      </c>
      <c r="L49" s="3104">
        <v>0.85</v>
      </c>
      <c r="N49" s="3079">
        <f t="shared" si="133"/>
        <v>2.1000000000000001E-2</v>
      </c>
      <c r="O49" s="3097">
        <f t="shared" si="133"/>
        <v>1.8600000000000002E-2</v>
      </c>
      <c r="P49" s="3097">
        <f t="shared" si="133"/>
        <v>2.29E-2</v>
      </c>
      <c r="Q49" s="3097">
        <f t="shared" si="133"/>
        <v>8.5000000000000006E-3</v>
      </c>
      <c r="R49" s="3080"/>
      <c r="S49" s="3079"/>
      <c r="T49" s="3065"/>
      <c r="U49" s="3065"/>
      <c r="V49" s="3065"/>
    </row>
    <row r="50" spans="1:26">
      <c r="A50" s="3076" t="s">
        <v>2591</v>
      </c>
      <c r="B50" s="3077">
        <f t="shared" si="147"/>
        <v>210.630522469011</v>
      </c>
      <c r="C50" s="3077">
        <f t="shared" si="147"/>
        <v>181.69567812247232</v>
      </c>
      <c r="D50" s="3077">
        <f t="shared" si="131"/>
        <v>181.69567812247232</v>
      </c>
      <c r="E50" s="3077">
        <f t="shared" si="148"/>
        <v>286.13517466736738</v>
      </c>
      <c r="F50" s="3077">
        <f t="shared" si="148"/>
        <v>165.47535084591149</v>
      </c>
      <c r="G50" s="3592">
        <v>2009</v>
      </c>
      <c r="H50" s="3091">
        <v>2</v>
      </c>
      <c r="I50" s="3091">
        <v>0.86</v>
      </c>
      <c r="J50" s="3091">
        <v>-1.1299999999999999</v>
      </c>
      <c r="K50" s="3091">
        <v>1.79</v>
      </c>
      <c r="L50" s="3092">
        <v>-2.0699999999999998</v>
      </c>
      <c r="N50" s="3079">
        <f t="shared" si="133"/>
        <v>8.6E-3</v>
      </c>
      <c r="O50" s="3097">
        <f t="shared" si="133"/>
        <v>-1.1299999999999999E-2</v>
      </c>
      <c r="P50" s="3097">
        <f t="shared" si="133"/>
        <v>1.7899999999999999E-2</v>
      </c>
      <c r="Q50" s="3097">
        <f t="shared" si="133"/>
        <v>-2.07E-2</v>
      </c>
      <c r="R50" s="3080"/>
      <c r="S50" s="3079"/>
      <c r="T50" s="3065"/>
      <c r="U50" s="3065"/>
      <c r="V50" s="3065"/>
    </row>
    <row r="51" spans="1:26">
      <c r="A51" s="3076" t="s">
        <v>2592</v>
      </c>
      <c r="B51" s="3077">
        <f t="shared" si="147"/>
        <v>208.83454537875372</v>
      </c>
      <c r="C51" s="3077">
        <f t="shared" si="147"/>
        <v>183.77230517090351</v>
      </c>
      <c r="D51" s="3077">
        <f t="shared" si="131"/>
        <v>183.77230517090351</v>
      </c>
      <c r="E51" s="3077">
        <f t="shared" si="148"/>
        <v>281.10342338870947</v>
      </c>
      <c r="F51" s="3077">
        <f t="shared" si="148"/>
        <v>168.97309388942256</v>
      </c>
      <c r="G51" s="3593">
        <v>2009</v>
      </c>
      <c r="H51" s="3078">
        <v>1</v>
      </c>
      <c r="I51" s="3078">
        <v>-2.64</v>
      </c>
      <c r="J51" s="3078">
        <v>-2.5299999999999998</v>
      </c>
      <c r="K51" s="3078">
        <v>-3.02</v>
      </c>
      <c r="L51" s="3084">
        <v>1.52</v>
      </c>
      <c r="N51" s="3081">
        <f t="shared" si="133"/>
        <v>-2.64E-2</v>
      </c>
      <c r="O51" s="3082">
        <f t="shared" si="133"/>
        <v>-2.53E-2</v>
      </c>
      <c r="P51" s="3082">
        <f t="shared" si="133"/>
        <v>-3.0200000000000001E-2</v>
      </c>
      <c r="Q51" s="3082">
        <f t="shared" si="13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2593</v>
      </c>
      <c r="B52" s="3126">
        <v>214</v>
      </c>
      <c r="C52" s="3126">
        <v>188</v>
      </c>
      <c r="D52" s="3126">
        <f t="shared" si="131"/>
        <v>188</v>
      </c>
      <c r="E52" s="3126">
        <v>289</v>
      </c>
      <c r="F52" s="3127">
        <v>166</v>
      </c>
      <c r="G52" s="3591">
        <v>2008</v>
      </c>
      <c r="H52" s="3100">
        <v>4</v>
      </c>
      <c r="I52" s="3100">
        <v>1.73</v>
      </c>
      <c r="J52" s="3100">
        <v>0.03</v>
      </c>
      <c r="K52" s="3100">
        <v>2.59</v>
      </c>
      <c r="L52" s="3101">
        <v>-1.66</v>
      </c>
      <c r="N52" s="3079">
        <f t="shared" si="133"/>
        <v>1.7299999999999999E-2</v>
      </c>
      <c r="O52" s="3065">
        <f t="shared" si="133"/>
        <v>2.9999999999999997E-4</v>
      </c>
      <c r="P52" s="3065">
        <f t="shared" si="133"/>
        <v>2.5899999999999999E-2</v>
      </c>
      <c r="Q52" s="3065">
        <f t="shared" si="133"/>
        <v>-1.66E-2</v>
      </c>
      <c r="R52" s="3080"/>
      <c r="S52" s="3089"/>
      <c r="T52" s="3090"/>
      <c r="U52" s="3090"/>
      <c r="V52" s="3090"/>
      <c r="X52" s="3090"/>
      <c r="Y52" s="3090"/>
      <c r="Z52" s="3090"/>
    </row>
    <row r="53" spans="1:26">
      <c r="A53" s="3076" t="s">
        <v>2594</v>
      </c>
      <c r="B53" s="3077">
        <f t="shared" ref="B53:C55" si="149">B52/(1+N52)</f>
        <v>210.36075887152265</v>
      </c>
      <c r="C53" s="3077">
        <f t="shared" si="149"/>
        <v>187.94361691492554</v>
      </c>
      <c r="D53" s="3077">
        <f t="shared" si="131"/>
        <v>187.94361691492554</v>
      </c>
      <c r="E53" s="3077">
        <f t="shared" ref="E53:F55" si="150">E52/(1+P52)</f>
        <v>281.70386977288234</v>
      </c>
      <c r="F53" s="3077">
        <f t="shared" si="150"/>
        <v>168.80211511083994</v>
      </c>
      <c r="G53" s="3592">
        <v>2008</v>
      </c>
      <c r="H53" s="3103">
        <v>3</v>
      </c>
      <c r="I53" s="3103">
        <v>1.96</v>
      </c>
      <c r="J53" s="3103">
        <v>2.36</v>
      </c>
      <c r="K53" s="3103">
        <v>1.82</v>
      </c>
      <c r="L53" s="3104">
        <v>2.2200000000000002</v>
      </c>
      <c r="N53" s="3079">
        <f t="shared" si="133"/>
        <v>1.9599999999999999E-2</v>
      </c>
      <c r="O53" s="3065">
        <f t="shared" si="133"/>
        <v>2.3599999999999999E-2</v>
      </c>
      <c r="P53" s="3065">
        <f t="shared" si="133"/>
        <v>1.8200000000000001E-2</v>
      </c>
      <c r="Q53" s="3065">
        <f t="shared" si="133"/>
        <v>2.2200000000000001E-2</v>
      </c>
      <c r="R53" s="3080"/>
      <c r="S53" s="3079"/>
      <c r="T53" s="3065"/>
      <c r="U53" s="3065"/>
      <c r="V53" s="3065"/>
    </row>
    <row r="54" spans="1:26">
      <c r="A54" s="3076" t="s">
        <v>2595</v>
      </c>
      <c r="B54" s="3077">
        <f t="shared" si="149"/>
        <v>206.31694671589116</v>
      </c>
      <c r="C54" s="3077">
        <f t="shared" si="149"/>
        <v>183.61041121036101</v>
      </c>
      <c r="D54" s="3077">
        <f t="shared" si="131"/>
        <v>183.61041121036101</v>
      </c>
      <c r="E54" s="3077">
        <f t="shared" si="150"/>
        <v>276.66850301795557</v>
      </c>
      <c r="F54" s="3077">
        <f t="shared" si="150"/>
        <v>165.1360938278614</v>
      </c>
      <c r="G54" s="3592">
        <v>2008</v>
      </c>
      <c r="H54" s="3091">
        <v>2</v>
      </c>
      <c r="I54" s="3091">
        <v>4.93</v>
      </c>
      <c r="J54" s="3091">
        <v>7.38</v>
      </c>
      <c r="K54" s="3091">
        <v>3.98</v>
      </c>
      <c r="L54" s="3092">
        <v>6.86</v>
      </c>
      <c r="N54" s="3079">
        <f t="shared" si="133"/>
        <v>4.9299999999999997E-2</v>
      </c>
      <c r="O54" s="3065">
        <f t="shared" si="133"/>
        <v>7.3800000000000004E-2</v>
      </c>
      <c r="P54" s="3065">
        <f t="shared" si="133"/>
        <v>3.9800000000000002E-2</v>
      </c>
      <c r="Q54" s="3065">
        <f t="shared" si="133"/>
        <v>6.8600000000000008E-2</v>
      </c>
      <c r="R54" s="3080"/>
      <c r="S54" s="3079"/>
      <c r="T54" s="3065"/>
      <c r="U54" s="3065"/>
      <c r="V54" s="3065"/>
    </row>
    <row r="55" spans="1:26" s="3132" customFormat="1" ht="13.5" thickBot="1">
      <c r="A55" s="3076" t="s">
        <v>2596</v>
      </c>
      <c r="B55" s="3129">
        <f t="shared" si="149"/>
        <v>196.62341248059772</v>
      </c>
      <c r="C55" s="3129">
        <f t="shared" si="149"/>
        <v>170.99125648199012</v>
      </c>
      <c r="D55" s="3129">
        <f t="shared" si="131"/>
        <v>170.99125648199012</v>
      </c>
      <c r="E55" s="3129">
        <f t="shared" si="150"/>
        <v>266.07857570490052</v>
      </c>
      <c r="F55" s="3129">
        <f t="shared" si="150"/>
        <v>154.53499328828505</v>
      </c>
      <c r="G55" s="3593">
        <v>2008</v>
      </c>
      <c r="H55" s="3130">
        <v>1</v>
      </c>
      <c r="I55" s="3130">
        <v>4.1399999999999997</v>
      </c>
      <c r="J55" s="3130">
        <v>3.45</v>
      </c>
      <c r="K55" s="3130">
        <v>4.95</v>
      </c>
      <c r="L55" s="3131">
        <v>4.82</v>
      </c>
      <c r="N55" s="3133">
        <f t="shared" si="133"/>
        <v>4.1399999999999999E-2</v>
      </c>
      <c r="O55" s="3134">
        <f t="shared" si="133"/>
        <v>3.4500000000000003E-2</v>
      </c>
      <c r="P55" s="3134">
        <f t="shared" si="133"/>
        <v>4.9500000000000002E-2</v>
      </c>
      <c r="Q55" s="3134">
        <f t="shared" si="133"/>
        <v>4.82E-2</v>
      </c>
      <c r="R55" s="3135"/>
      <c r="S55" s="3133">
        <f>B55/B56-1</f>
        <v>4.5869215322328349E-2</v>
      </c>
      <c r="T55" s="3134">
        <f>C55/C56-1</f>
        <v>3.6310645345394743E-2</v>
      </c>
      <c r="U55" s="3134">
        <f>E55/E56-1</f>
        <v>4.7553447657088688E-2</v>
      </c>
      <c r="V55" s="3134">
        <f>F55/F56-1</f>
        <v>4.4155360055980086E-2</v>
      </c>
      <c r="X55" s="3134"/>
      <c r="Y55" s="3134"/>
      <c r="Z55" s="3134"/>
    </row>
    <row r="56" spans="1:26" ht="13.5" thickBot="1">
      <c r="A56" s="3076" t="s">
        <v>2597</v>
      </c>
      <c r="B56" s="3098">
        <v>188</v>
      </c>
      <c r="C56" s="3098">
        <v>165</v>
      </c>
      <c r="D56" s="3098">
        <f t="shared" si="131"/>
        <v>165</v>
      </c>
      <c r="E56" s="3098">
        <v>254</v>
      </c>
      <c r="F56" s="3099">
        <v>148</v>
      </c>
      <c r="G56" s="3591">
        <v>2007</v>
      </c>
      <c r="H56" s="3136">
        <v>4</v>
      </c>
      <c r="I56" s="3136">
        <v>5.51</v>
      </c>
      <c r="J56" s="3136">
        <v>4.8899999999999997</v>
      </c>
      <c r="K56" s="3136">
        <v>6.43</v>
      </c>
      <c r="L56" s="3137">
        <v>5.36</v>
      </c>
      <c r="N56" s="3138">
        <f t="shared" ref="N56:O59" si="151">B56/B57-1</f>
        <v>4.1339718365245526E-2</v>
      </c>
      <c r="O56" s="3139">
        <f t="shared" si="151"/>
        <v>4.0324492593776018E-2</v>
      </c>
      <c r="P56" s="3139">
        <f t="shared" ref="P56:Q59" si="152">E56/E57-1</f>
        <v>6.1625555347990968E-2</v>
      </c>
      <c r="Q56" s="3139">
        <f t="shared" si="152"/>
        <v>4.6757569250590603E-2</v>
      </c>
      <c r="R56" s="3080"/>
      <c r="S56" s="3089"/>
      <c r="T56" s="3090"/>
      <c r="U56" s="3090"/>
      <c r="V56" s="3090"/>
      <c r="X56" s="3090"/>
      <c r="Y56" s="3090"/>
      <c r="Z56" s="3090"/>
    </row>
    <row r="57" spans="1:26">
      <c r="A57" s="3076" t="s">
        <v>2598</v>
      </c>
      <c r="B57" s="3077">
        <f t="shared" ref="B57:C59" si="153">B58+(B$56-B$60)*I57/SUM(I$56:I$59)</f>
        <v>180.5366651097618</v>
      </c>
      <c r="C57" s="3077">
        <f t="shared" si="153"/>
        <v>158.60435967302453</v>
      </c>
      <c r="D57" s="3077">
        <f t="shared" si="131"/>
        <v>158.60435967302453</v>
      </c>
      <c r="E57" s="3077">
        <f t="shared" ref="E57:F59" si="154">E58+(E$56-E$60)*K57/SUM(K$56:K$59)</f>
        <v>239.25573260785075</v>
      </c>
      <c r="F57" s="3077">
        <f t="shared" si="154"/>
        <v>141.38899430740037</v>
      </c>
      <c r="G57" s="3592">
        <v>2007</v>
      </c>
      <c r="H57" s="3103">
        <v>3</v>
      </c>
      <c r="I57" s="3103">
        <v>8.65</v>
      </c>
      <c r="J57" s="3103">
        <v>8.06</v>
      </c>
      <c r="K57" s="3103">
        <v>9.94</v>
      </c>
      <c r="L57" s="3104">
        <v>5.8</v>
      </c>
      <c r="N57" s="3138">
        <f t="shared" si="151"/>
        <v>6.940217571740015E-2</v>
      </c>
      <c r="O57" s="3139">
        <f t="shared" si="151"/>
        <v>7.1197482471153428E-2</v>
      </c>
      <c r="P57" s="3139">
        <f t="shared" si="152"/>
        <v>0.10529679922579582</v>
      </c>
      <c r="Q57" s="3139">
        <f t="shared" si="152"/>
        <v>5.3292245059512133E-2</v>
      </c>
      <c r="R57" s="3080"/>
      <c r="S57" s="3079"/>
      <c r="T57" s="3065"/>
      <c r="U57" s="3065"/>
      <c r="V57" s="3065"/>
      <c r="X57" s="3140"/>
      <c r="Y57" s="3140"/>
      <c r="Z57" s="3140"/>
    </row>
    <row r="58" spans="1:26">
      <c r="A58" s="3076" t="s">
        <v>2599</v>
      </c>
      <c r="B58" s="3077">
        <f t="shared" si="153"/>
        <v>168.82017748715555</v>
      </c>
      <c r="C58" s="3077">
        <f t="shared" si="153"/>
        <v>148.06267029972753</v>
      </c>
      <c r="D58" s="3077">
        <f t="shared" si="131"/>
        <v>148.06267029972753</v>
      </c>
      <c r="E58" s="3077">
        <f t="shared" si="154"/>
        <v>216.46288379323747</v>
      </c>
      <c r="F58" s="3077">
        <f t="shared" si="154"/>
        <v>134.23529411764704</v>
      </c>
      <c r="G58" s="3592">
        <v>2007</v>
      </c>
      <c r="H58" s="3091">
        <v>2</v>
      </c>
      <c r="I58" s="3091">
        <v>3.67</v>
      </c>
      <c r="J58" s="3091">
        <v>2.3199999999999998</v>
      </c>
      <c r="K58" s="3091">
        <v>5.0199999999999996</v>
      </c>
      <c r="L58" s="3092">
        <v>6.71</v>
      </c>
      <c r="N58" s="3138">
        <f t="shared" si="151"/>
        <v>3.0339138143848032E-2</v>
      </c>
      <c r="O58" s="3139">
        <f t="shared" si="151"/>
        <v>2.0922341588790472E-2</v>
      </c>
      <c r="P58" s="3139">
        <f t="shared" si="152"/>
        <v>5.6164796592717003E-2</v>
      </c>
      <c r="Q58" s="3139">
        <f t="shared" si="152"/>
        <v>6.5704536723887319E-2</v>
      </c>
      <c r="R58" s="3080"/>
      <c r="S58" s="3079"/>
      <c r="T58" s="3065"/>
      <c r="U58" s="3065"/>
      <c r="V58" s="3065"/>
      <c r="X58" s="3140"/>
      <c r="Y58" s="3140"/>
      <c r="Z58" s="3140"/>
    </row>
    <row r="59" spans="1:26">
      <c r="A59" s="3076" t="s">
        <v>2600</v>
      </c>
      <c r="B59" s="3077">
        <f t="shared" si="153"/>
        <v>163.84913591779542</v>
      </c>
      <c r="C59" s="3077">
        <f t="shared" si="153"/>
        <v>145.0283378746594</v>
      </c>
      <c r="D59" s="3077">
        <f t="shared" si="131"/>
        <v>145.0283378746594</v>
      </c>
      <c r="E59" s="3077">
        <f t="shared" si="154"/>
        <v>204.95180722891567</v>
      </c>
      <c r="F59" s="3077">
        <f t="shared" si="154"/>
        <v>125.95920303605313</v>
      </c>
      <c r="G59" s="3593">
        <v>2007</v>
      </c>
      <c r="H59" s="3078">
        <v>1</v>
      </c>
      <c r="I59" s="3078">
        <v>3.58</v>
      </c>
      <c r="J59" s="3078">
        <v>3.08</v>
      </c>
      <c r="K59" s="3078">
        <v>4.34</v>
      </c>
      <c r="L59" s="3084">
        <v>3.21</v>
      </c>
      <c r="N59" s="3141">
        <f t="shared" si="151"/>
        <v>3.0497710174814063E-2</v>
      </c>
      <c r="O59" s="3142">
        <f t="shared" si="151"/>
        <v>2.8569772160704998E-2</v>
      </c>
      <c r="P59" s="3142">
        <f t="shared" si="152"/>
        <v>5.1034908866234296E-2</v>
      </c>
      <c r="Q59" s="3142">
        <f t="shared" si="152"/>
        <v>3.245248390207478E-2</v>
      </c>
      <c r="R59" s="3080"/>
      <c r="S59" s="3081">
        <f>B59/B60-1</f>
        <v>3.0497710174814063E-2</v>
      </c>
      <c r="T59" s="3082">
        <f>C59/C60-1</f>
        <v>2.8569772160704998E-2</v>
      </c>
      <c r="U59" s="3082">
        <f>E59/E60-1</f>
        <v>5.1034908866234296E-2</v>
      </c>
      <c r="V59" s="3082">
        <f>F59/F60-1</f>
        <v>3.245248390207478E-2</v>
      </c>
      <c r="X59" s="3140"/>
      <c r="Y59" s="3140"/>
      <c r="Z59" s="3140"/>
    </row>
    <row r="60" spans="1:26" ht="13.5" thickBot="1">
      <c r="A60" s="3076" t="s">
        <v>2601</v>
      </c>
      <c r="B60" s="3105">
        <v>159</v>
      </c>
      <c r="C60" s="3105">
        <v>141</v>
      </c>
      <c r="D60" s="3105">
        <f t="shared" si="131"/>
        <v>141</v>
      </c>
      <c r="E60" s="3105">
        <v>195</v>
      </c>
      <c r="F60" s="3106">
        <v>122</v>
      </c>
      <c r="G60" s="3591">
        <v>2006</v>
      </c>
      <c r="H60" s="3100">
        <v>4</v>
      </c>
      <c r="I60" s="3100">
        <v>3.79</v>
      </c>
      <c r="J60" s="3100">
        <v>2.21</v>
      </c>
      <c r="K60" s="3100">
        <v>5.65</v>
      </c>
      <c r="L60" s="3101">
        <v>5.41</v>
      </c>
      <c r="N60" s="3138">
        <f t="shared" ref="N60:O63" si="155">I60/SUM(I$60:I$63)*(B$60/B$64-1)</f>
        <v>7.245466462748526E-2</v>
      </c>
      <c r="O60" s="3139">
        <f t="shared" si="155"/>
        <v>2.3237230038062766E-2</v>
      </c>
      <c r="P60" s="3139">
        <f t="shared" ref="P60:Q63" si="156">K60/SUM(K$60:K$63)*(E$60/E$64-1)</f>
        <v>0.16146893866323722</v>
      </c>
      <c r="Q60" s="3139">
        <f t="shared" si="156"/>
        <v>5.0755230321793784E-2</v>
      </c>
      <c r="R60" s="3080"/>
      <c r="S60" s="3089"/>
      <c r="T60" s="3090"/>
      <c r="U60" s="3090"/>
      <c r="V60" s="3090"/>
      <c r="X60" s="3140"/>
      <c r="Y60" s="3140"/>
      <c r="Z60" s="3140"/>
    </row>
    <row r="61" spans="1:26">
      <c r="A61" s="3076" t="s">
        <v>2602</v>
      </c>
      <c r="B61" s="3077">
        <f t="shared" ref="B61:C63" si="157">B62+(B$60-B$64)*I61/SUM(I$60:I$63)</f>
        <v>149.00125628140702</v>
      </c>
      <c r="C61" s="3077">
        <f t="shared" si="157"/>
        <v>137.95592286501378</v>
      </c>
      <c r="D61" s="3077">
        <f t="shared" si="131"/>
        <v>137.95592286501378</v>
      </c>
      <c r="E61" s="3077">
        <f t="shared" ref="E61:F63" si="158">E62+(E$60-E$64)*K61/SUM(K$60:K$63)</f>
        <v>169.97231450719823</v>
      </c>
      <c r="F61" s="3077">
        <f t="shared" si="158"/>
        <v>116.21390374331551</v>
      </c>
      <c r="G61" s="3592">
        <v>2006</v>
      </c>
      <c r="H61" s="3103">
        <v>3</v>
      </c>
      <c r="I61" s="3103">
        <v>0.92</v>
      </c>
      <c r="J61" s="3103">
        <v>1.08</v>
      </c>
      <c r="K61" s="3103">
        <v>0.73</v>
      </c>
      <c r="L61" s="3104">
        <v>1.08</v>
      </c>
      <c r="N61" s="3138">
        <f t="shared" si="155"/>
        <v>1.7587939698492462E-2</v>
      </c>
      <c r="O61" s="3139">
        <f t="shared" si="155"/>
        <v>1.1355750425840628E-2</v>
      </c>
      <c r="P61" s="3139">
        <f t="shared" si="156"/>
        <v>2.0862358446754544E-2</v>
      </c>
      <c r="Q61" s="3139">
        <f t="shared" si="156"/>
        <v>1.0132282578103011E-2</v>
      </c>
      <c r="R61" s="3080"/>
      <c r="S61" s="3079"/>
      <c r="T61" s="3065"/>
      <c r="U61" s="3065"/>
      <c r="V61" s="3065"/>
      <c r="X61" s="3140"/>
      <c r="Y61" s="3140"/>
      <c r="Z61" s="3140"/>
    </row>
    <row r="62" spans="1:26">
      <c r="A62" s="3076" t="s">
        <v>2603</v>
      </c>
      <c r="B62" s="3077">
        <f t="shared" si="157"/>
        <v>146.57412060301507</v>
      </c>
      <c r="C62" s="3077">
        <f t="shared" si="157"/>
        <v>136.46831955922866</v>
      </c>
      <c r="D62" s="3077">
        <f t="shared" si="131"/>
        <v>136.46831955922866</v>
      </c>
      <c r="E62" s="3077">
        <f t="shared" si="158"/>
        <v>166.73864894795128</v>
      </c>
      <c r="F62" s="3077">
        <f t="shared" si="158"/>
        <v>115.05882352941177</v>
      </c>
      <c r="G62" s="3592">
        <v>2006</v>
      </c>
      <c r="H62" s="3091">
        <v>2</v>
      </c>
      <c r="I62" s="3091">
        <v>0.96</v>
      </c>
      <c r="J62" s="3091">
        <v>0.25</v>
      </c>
      <c r="K62" s="3091">
        <v>1.9</v>
      </c>
      <c r="L62" s="3092">
        <v>0.95</v>
      </c>
      <c r="N62" s="3138">
        <f t="shared" si="155"/>
        <v>1.8352632728861701E-2</v>
      </c>
      <c r="O62" s="3139">
        <f t="shared" si="155"/>
        <v>2.6286459319075526E-3</v>
      </c>
      <c r="P62" s="3139">
        <f t="shared" si="156"/>
        <v>5.4299289107991269E-2</v>
      </c>
      <c r="Q62" s="3139">
        <f t="shared" si="156"/>
        <v>8.9126559714794995E-3</v>
      </c>
      <c r="R62" s="3080"/>
      <c r="S62" s="3079"/>
      <c r="T62" s="3065"/>
      <c r="U62" s="3065"/>
      <c r="V62" s="3065"/>
      <c r="X62" s="3140"/>
      <c r="Y62" s="3140"/>
      <c r="Z62" s="3140"/>
    </row>
    <row r="63" spans="1:26">
      <c r="A63" s="3076" t="s">
        <v>2604</v>
      </c>
      <c r="B63" s="3077">
        <f t="shared" si="157"/>
        <v>144.04145728643215</v>
      </c>
      <c r="C63" s="3077">
        <f t="shared" si="157"/>
        <v>136.12396694214877</v>
      </c>
      <c r="D63" s="3077">
        <f t="shared" si="131"/>
        <v>136.12396694214877</v>
      </c>
      <c r="E63" s="3077">
        <f t="shared" si="158"/>
        <v>158.32225913621264</v>
      </c>
      <c r="F63" s="3077">
        <f t="shared" si="158"/>
        <v>114.04278074866311</v>
      </c>
      <c r="G63" s="3593">
        <v>2006</v>
      </c>
      <c r="H63" s="3078">
        <v>1</v>
      </c>
      <c r="I63" s="3078">
        <v>2.29</v>
      </c>
      <c r="J63" s="3078">
        <v>3.72</v>
      </c>
      <c r="K63" s="3078">
        <v>0.75</v>
      </c>
      <c r="L63" s="3084">
        <v>0.04</v>
      </c>
      <c r="N63" s="3141">
        <f t="shared" si="155"/>
        <v>4.3778675988638847E-2</v>
      </c>
      <c r="O63" s="3142">
        <f t="shared" si="155"/>
        <v>3.9114251466784385E-2</v>
      </c>
      <c r="P63" s="3142">
        <f t="shared" si="156"/>
        <v>2.1433929911049188E-2</v>
      </c>
      <c r="Q63" s="3142">
        <f t="shared" si="156"/>
        <v>3.7526972511492629E-4</v>
      </c>
      <c r="R63" s="3080"/>
      <c r="S63" s="3081">
        <f>B63/B64-1</f>
        <v>4.3778675988638716E-2</v>
      </c>
      <c r="T63" s="3082">
        <f>C63/C64-1</f>
        <v>3.91142514667846E-2</v>
      </c>
      <c r="U63" s="3082">
        <f>E63/E64-1</f>
        <v>2.143392991104931E-2</v>
      </c>
      <c r="V63" s="3082">
        <f>F63/F64-1</f>
        <v>3.7526972511492396E-4</v>
      </c>
      <c r="X63" s="3140"/>
      <c r="Y63" s="3140"/>
      <c r="Z63" s="3140"/>
    </row>
    <row r="64" spans="1:26" ht="13.5" thickBot="1">
      <c r="A64" s="3076" t="s">
        <v>2605</v>
      </c>
      <c r="B64" s="3105">
        <v>138</v>
      </c>
      <c r="C64" s="3105">
        <v>131</v>
      </c>
      <c r="D64" s="3105">
        <f t="shared" si="131"/>
        <v>131</v>
      </c>
      <c r="E64" s="3105">
        <v>155</v>
      </c>
      <c r="F64" s="3106">
        <v>114</v>
      </c>
      <c r="G64" s="3591">
        <v>2005</v>
      </c>
      <c r="H64" s="3100">
        <v>4</v>
      </c>
      <c r="I64" s="3100">
        <v>3.29</v>
      </c>
      <c r="J64" s="3100">
        <v>1.44</v>
      </c>
      <c r="K64" s="3100">
        <v>0.66</v>
      </c>
      <c r="L64" s="3101">
        <v>7.78</v>
      </c>
      <c r="N64" s="3138">
        <f t="shared" ref="N64:O67" si="159">I64/SUM(I$64:I$67)*(B$64/B$68-1)</f>
        <v>9.9404603216919935E-2</v>
      </c>
      <c r="O64" s="3139">
        <f t="shared" si="159"/>
        <v>4.7636550760861554E-2</v>
      </c>
      <c r="P64" s="3139">
        <f t="shared" ref="P64:Q67" si="160">K64/SUM(K$64:K$67)*(E$64/E$68-1)</f>
        <v>8.3756345177664976E-2</v>
      </c>
      <c r="Q64" s="3139">
        <f t="shared" si="160"/>
        <v>5.2148766661559584E-2</v>
      </c>
      <c r="R64" s="3080"/>
      <c r="S64" s="3089"/>
      <c r="T64" s="3090"/>
      <c r="U64" s="3090"/>
      <c r="V64" s="3090"/>
      <c r="X64" s="3140"/>
      <c r="Y64" s="3140"/>
      <c r="Z64" s="3140"/>
    </row>
    <row r="65" spans="1:26">
      <c r="A65" s="3076" t="s">
        <v>2606</v>
      </c>
      <c r="B65" s="3077">
        <f t="shared" ref="B65:C67" si="161">B66+(B$64-B$68)*I65/SUM(I$64:I$67)</f>
        <v>125.9720430107527</v>
      </c>
      <c r="C65" s="3077">
        <f t="shared" si="161"/>
        <v>125.1883408071749</v>
      </c>
      <c r="D65" s="3077">
        <f t="shared" si="131"/>
        <v>125.1883408071749</v>
      </c>
      <c r="E65" s="3077">
        <f t="shared" ref="E65:F67" si="162">E66+(E$64-E$68)*K65/SUM(K$64:K$67)</f>
        <v>144.61421319796952</v>
      </c>
      <c r="F65" s="3077">
        <f t="shared" si="162"/>
        <v>108.42008196721311</v>
      </c>
      <c r="G65" s="3592">
        <v>2005</v>
      </c>
      <c r="H65" s="3103">
        <v>3</v>
      </c>
      <c r="I65" s="3103">
        <v>0.46</v>
      </c>
      <c r="J65" s="3103">
        <v>0.32</v>
      </c>
      <c r="K65" s="3103">
        <v>0.42</v>
      </c>
      <c r="L65" s="3104">
        <v>0.64</v>
      </c>
      <c r="N65" s="3138">
        <f t="shared" si="159"/>
        <v>1.3898515951301874E-2</v>
      </c>
      <c r="O65" s="3139">
        <f t="shared" si="159"/>
        <v>1.0585900169080346E-2</v>
      </c>
      <c r="P65" s="3139">
        <f t="shared" si="160"/>
        <v>5.3299492385786795E-2</v>
      </c>
      <c r="Q65" s="3139">
        <f t="shared" si="160"/>
        <v>4.2898728359123568E-3</v>
      </c>
      <c r="R65" s="3080"/>
      <c r="S65" s="3079"/>
      <c r="T65" s="3065"/>
      <c r="U65" s="3065"/>
      <c r="V65" s="3065"/>
      <c r="X65" s="3140"/>
      <c r="Y65" s="3140"/>
      <c r="Z65" s="3140"/>
    </row>
    <row r="66" spans="1:26">
      <c r="A66" s="3076" t="s">
        <v>2607</v>
      </c>
      <c r="B66" s="3077">
        <f t="shared" si="161"/>
        <v>124.29032258064517</v>
      </c>
      <c r="C66" s="3077">
        <f t="shared" si="161"/>
        <v>123.8968609865471</v>
      </c>
      <c r="D66" s="3077">
        <f t="shared" si="131"/>
        <v>123.8968609865471</v>
      </c>
      <c r="E66" s="3077">
        <f t="shared" si="162"/>
        <v>138.00507614213197</v>
      </c>
      <c r="F66" s="3077">
        <f t="shared" si="162"/>
        <v>107.96106557377048</v>
      </c>
      <c r="G66" s="3592">
        <v>2005</v>
      </c>
      <c r="H66" s="3091">
        <v>2</v>
      </c>
      <c r="I66" s="3091">
        <v>0.47</v>
      </c>
      <c r="J66" s="3091">
        <v>0.1</v>
      </c>
      <c r="K66" s="3091">
        <v>0.52</v>
      </c>
      <c r="L66" s="3092">
        <v>0.79</v>
      </c>
      <c r="N66" s="3138">
        <f t="shared" si="159"/>
        <v>1.420065760241713E-2</v>
      </c>
      <c r="O66" s="3139">
        <f t="shared" si="159"/>
        <v>3.3080938028376083E-3</v>
      </c>
      <c r="P66" s="3139">
        <f t="shared" si="160"/>
        <v>6.598984771573603E-2</v>
      </c>
      <c r="Q66" s="3139">
        <f t="shared" si="160"/>
        <v>5.2953117818293153E-3</v>
      </c>
      <c r="R66" s="3080"/>
      <c r="S66" s="3079"/>
      <c r="T66" s="3065"/>
      <c r="U66" s="3065"/>
      <c r="V66" s="3065"/>
      <c r="X66" s="3140"/>
      <c r="Y66" s="3140"/>
      <c r="Z66" s="3140"/>
    </row>
    <row r="67" spans="1:26">
      <c r="A67" s="3076" t="s">
        <v>2608</v>
      </c>
      <c r="B67" s="3077">
        <f t="shared" si="161"/>
        <v>122.57204301075269</v>
      </c>
      <c r="C67" s="3077">
        <f t="shared" si="161"/>
        <v>123.4932735426009</v>
      </c>
      <c r="D67" s="3077">
        <f t="shared" si="131"/>
        <v>123.4932735426009</v>
      </c>
      <c r="E67" s="3077">
        <f t="shared" si="162"/>
        <v>129.82233502538071</v>
      </c>
      <c r="F67" s="3077">
        <f t="shared" si="162"/>
        <v>107.39446721311475</v>
      </c>
      <c r="G67" s="3593">
        <v>2005</v>
      </c>
      <c r="H67" s="3078">
        <v>1</v>
      </c>
      <c r="I67" s="3078">
        <v>0.43</v>
      </c>
      <c r="J67" s="3078">
        <v>0.37</v>
      </c>
      <c r="K67" s="3078">
        <v>0.37</v>
      </c>
      <c r="L67" s="3084">
        <v>0.55000000000000004</v>
      </c>
      <c r="N67" s="3141">
        <f t="shared" si="159"/>
        <v>1.2992090997956099E-2</v>
      </c>
      <c r="O67" s="3142">
        <f t="shared" si="159"/>
        <v>1.2239947070499151E-2</v>
      </c>
      <c r="P67" s="3142">
        <f t="shared" si="160"/>
        <v>4.6954314720812178E-2</v>
      </c>
      <c r="Q67" s="3142">
        <f t="shared" si="160"/>
        <v>3.6866094683621815E-3</v>
      </c>
      <c r="R67" s="3080"/>
      <c r="S67" s="3081">
        <f>B67/B68-1</f>
        <v>1.2992090997956174E-2</v>
      </c>
      <c r="T67" s="3082">
        <f>C67/C68-1</f>
        <v>1.2239947070499246E-2</v>
      </c>
      <c r="U67" s="3082">
        <f>E67/E68-1</f>
        <v>4.695431472081224E-2</v>
      </c>
      <c r="V67" s="3082">
        <f>F67/F68-1</f>
        <v>3.6866094683620787E-3</v>
      </c>
      <c r="X67" s="3140"/>
      <c r="Y67" s="3140"/>
      <c r="Z67" s="3140"/>
    </row>
    <row r="68" spans="1:26" ht="13.5" thickBot="1">
      <c r="A68" s="3076" t="s">
        <v>2609</v>
      </c>
      <c r="B68" s="3126">
        <v>121</v>
      </c>
      <c r="C68" s="3126">
        <v>122</v>
      </c>
      <c r="D68" s="3126">
        <f t="shared" si="131"/>
        <v>122</v>
      </c>
      <c r="E68" s="3126">
        <v>124</v>
      </c>
      <c r="F68" s="3127">
        <v>107</v>
      </c>
      <c r="G68" s="3591">
        <v>2004</v>
      </c>
      <c r="H68" s="3100">
        <v>4</v>
      </c>
      <c r="I68" s="3100">
        <v>0.33</v>
      </c>
      <c r="J68" s="3100">
        <v>0.5</v>
      </c>
      <c r="K68" s="3100">
        <v>0.5</v>
      </c>
      <c r="L68" s="3101">
        <v>0</v>
      </c>
      <c r="N68" s="3138">
        <f t="shared" ref="N68:O71" si="163">I68/SUM(I$68:I$71)*(B$68/B$72-1)</f>
        <v>1.3391770148526898E-2</v>
      </c>
      <c r="O68" s="3139">
        <f t="shared" si="163"/>
        <v>1.063264221158958E-2</v>
      </c>
      <c r="P68" s="3139">
        <f t="shared" ref="P68:Q71" si="164">K68/SUM(K$68:K$71)*(E$68/E$72-1)</f>
        <v>2.2244466688911134E-2</v>
      </c>
      <c r="Q68" s="3139">
        <f t="shared" si="164"/>
        <v>0</v>
      </c>
      <c r="R68" s="3080"/>
      <c r="S68" s="3089"/>
      <c r="T68" s="3090"/>
      <c r="U68" s="3090"/>
      <c r="V68" s="3090"/>
      <c r="X68" s="3140"/>
      <c r="Y68" s="3140"/>
      <c r="Z68" s="3140"/>
    </row>
    <row r="69" spans="1:26">
      <c r="A69" s="3076" t="s">
        <v>2610</v>
      </c>
      <c r="B69" s="3077">
        <f t="shared" ref="B69:C71" si="165">B70+(B$68-B$72)*I69/SUM(I$68:I$71)</f>
        <v>119.51351351351352</v>
      </c>
      <c r="C69" s="3077">
        <f t="shared" si="165"/>
        <v>120.7878787878788</v>
      </c>
      <c r="D69" s="3077">
        <f t="shared" si="131"/>
        <v>120.7878787878788</v>
      </c>
      <c r="E69" s="3077">
        <f t="shared" ref="E69:F71" si="166">E70+(E$68-E$72)*K69/SUM(K$68:K$71)</f>
        <v>121.5975975975976</v>
      </c>
      <c r="F69" s="3077">
        <f t="shared" si="166"/>
        <v>107</v>
      </c>
      <c r="G69" s="3592">
        <v>2004</v>
      </c>
      <c r="H69" s="3103">
        <v>3</v>
      </c>
      <c r="I69" s="3103">
        <v>0.56000000000000005</v>
      </c>
      <c r="J69" s="3103">
        <v>0.8</v>
      </c>
      <c r="K69" s="3103">
        <v>0.83</v>
      </c>
      <c r="L69" s="3104">
        <v>0.06</v>
      </c>
      <c r="N69" s="3138">
        <f t="shared" si="163"/>
        <v>2.2725428130833527E-2</v>
      </c>
      <c r="O69" s="3139">
        <f t="shared" si="163"/>
        <v>1.7012227538543329E-2</v>
      </c>
      <c r="P69" s="3139">
        <f t="shared" si="164"/>
        <v>3.6925814703592477E-2</v>
      </c>
      <c r="Q69" s="3139">
        <f t="shared" si="164"/>
        <v>2.8846153846153744E-2</v>
      </c>
      <c r="R69" s="3080"/>
      <c r="S69" s="3079"/>
      <c r="T69" s="3065"/>
      <c r="U69" s="3065"/>
      <c r="V69" s="3065"/>
      <c r="X69" s="3140"/>
      <c r="Y69" s="3140"/>
      <c r="Z69" s="3140"/>
    </row>
    <row r="70" spans="1:26">
      <c r="A70" s="3076" t="s">
        <v>2611</v>
      </c>
      <c r="B70" s="3077">
        <f t="shared" si="165"/>
        <v>116.99099099099099</v>
      </c>
      <c r="C70" s="3077">
        <f t="shared" si="165"/>
        <v>118.84848484848486</v>
      </c>
      <c r="D70" s="3077">
        <f t="shared" si="131"/>
        <v>118.84848484848486</v>
      </c>
      <c r="E70" s="3077">
        <f t="shared" si="166"/>
        <v>117.60960960960961</v>
      </c>
      <c r="F70" s="3077">
        <f t="shared" si="166"/>
        <v>104</v>
      </c>
      <c r="G70" s="3592">
        <v>2004</v>
      </c>
      <c r="H70" s="3091">
        <v>2</v>
      </c>
      <c r="I70" s="3091">
        <v>1</v>
      </c>
      <c r="J70" s="3091">
        <v>1.5</v>
      </c>
      <c r="K70" s="3091">
        <v>1.5</v>
      </c>
      <c r="L70" s="3092">
        <v>0</v>
      </c>
      <c r="N70" s="3138">
        <f t="shared" si="163"/>
        <v>4.0581121662202721E-2</v>
      </c>
      <c r="O70" s="3139">
        <f t="shared" si="163"/>
        <v>3.1897926634768738E-2</v>
      </c>
      <c r="P70" s="3139">
        <f t="shared" si="164"/>
        <v>6.6733400066733395E-2</v>
      </c>
      <c r="Q70" s="3139">
        <f t="shared" si="164"/>
        <v>0</v>
      </c>
      <c r="R70" s="3080"/>
      <c r="S70" s="3079"/>
      <c r="T70" s="3065"/>
      <c r="U70" s="3065"/>
      <c r="V70" s="3065"/>
      <c r="X70" s="3140"/>
      <c r="Y70" s="3140"/>
      <c r="Z70" s="3140"/>
    </row>
    <row r="71" spans="1:26" s="3132" customFormat="1" ht="13.5" thickBot="1">
      <c r="A71" s="3076" t="s">
        <v>2612</v>
      </c>
      <c r="B71" s="3129">
        <f t="shared" si="165"/>
        <v>112.48648648648648</v>
      </c>
      <c r="C71" s="3129">
        <f t="shared" si="165"/>
        <v>115.21212121212122</v>
      </c>
      <c r="D71" s="3129">
        <f t="shared" si="131"/>
        <v>115.21212121212122</v>
      </c>
      <c r="E71" s="3129">
        <f t="shared" si="166"/>
        <v>110.4024024024024</v>
      </c>
      <c r="F71" s="3129">
        <f t="shared" si="166"/>
        <v>104</v>
      </c>
      <c r="G71" s="3593">
        <v>2004</v>
      </c>
      <c r="H71" s="3130">
        <v>1</v>
      </c>
      <c r="I71" s="3130">
        <v>0.33</v>
      </c>
      <c r="J71" s="3130">
        <v>0.5</v>
      </c>
      <c r="K71" s="3130">
        <v>0.5</v>
      </c>
      <c r="L71" s="3131">
        <v>0</v>
      </c>
      <c r="N71" s="3143">
        <f t="shared" si="163"/>
        <v>1.3391770148526898E-2</v>
      </c>
      <c r="O71" s="3144">
        <f t="shared" si="163"/>
        <v>1.063264221158958E-2</v>
      </c>
      <c r="P71" s="3144">
        <f t="shared" si="164"/>
        <v>2.2244466688911134E-2</v>
      </c>
      <c r="Q71" s="3144">
        <f t="shared" si="164"/>
        <v>0</v>
      </c>
      <c r="R71" s="3135"/>
      <c r="S71" s="3133">
        <f>B71/B72-1</f>
        <v>1.3391770148526883E-2</v>
      </c>
      <c r="T71" s="3134">
        <f>C71/C72-1</f>
        <v>1.063264221158966E-2</v>
      </c>
      <c r="U71" s="3134">
        <f>E71/E72-1</f>
        <v>2.2244466688911224E-2</v>
      </c>
      <c r="V71" s="3134">
        <f>F71/F72-1</f>
        <v>0</v>
      </c>
      <c r="X71" s="3145"/>
      <c r="Y71" s="3145"/>
      <c r="Z71" s="3145"/>
    </row>
    <row r="72" spans="1:26" ht="13.5" thickBot="1">
      <c r="A72" s="3076" t="s">
        <v>2613</v>
      </c>
      <c r="B72" s="3146">
        <v>111</v>
      </c>
      <c r="C72" s="3146">
        <v>114</v>
      </c>
      <c r="D72" s="3146">
        <f t="shared" si="131"/>
        <v>114</v>
      </c>
      <c r="E72" s="3146">
        <v>108</v>
      </c>
      <c r="F72" s="3147">
        <v>104</v>
      </c>
      <c r="G72" s="3591">
        <v>2003</v>
      </c>
      <c r="H72" s="3136">
        <v>4</v>
      </c>
      <c r="I72" s="3148"/>
      <c r="J72" s="3148"/>
      <c r="K72" s="3148"/>
      <c r="L72" s="3148"/>
      <c r="N72" s="3149"/>
      <c r="O72" s="3148"/>
      <c r="P72" s="3148"/>
      <c r="Q72" s="3148"/>
      <c r="S72" s="3149"/>
      <c r="T72" s="3148"/>
      <c r="U72" s="3148"/>
      <c r="V72" s="3148"/>
      <c r="X72" s="3140"/>
      <c r="Y72" s="3140"/>
      <c r="Z72" s="3140"/>
    </row>
    <row r="73" spans="1:26">
      <c r="A73" s="3076" t="s">
        <v>2614</v>
      </c>
      <c r="B73" s="3150">
        <f t="shared" ref="B73:C75" si="167">B74+(B$72-B$76)/4</f>
        <v>109.75</v>
      </c>
      <c r="C73" s="3150">
        <f t="shared" si="167"/>
        <v>112.25</v>
      </c>
      <c r="D73" s="3150">
        <f t="shared" si="131"/>
        <v>112.25</v>
      </c>
      <c r="E73" s="3150">
        <f t="shared" ref="E73:F75" si="168">E74+(E$72-E$76)/4</f>
        <v>107.25</v>
      </c>
      <c r="F73" s="3150">
        <f t="shared" si="168"/>
        <v>103.5</v>
      </c>
      <c r="G73" s="3592">
        <v>2003</v>
      </c>
      <c r="H73" s="3103">
        <v>3</v>
      </c>
      <c r="I73" s="3148"/>
      <c r="J73" s="3148"/>
      <c r="K73" s="3148"/>
      <c r="L73" s="3148"/>
      <c r="X73" s="3140"/>
      <c r="Y73" s="3140"/>
      <c r="Z73" s="3140"/>
    </row>
    <row r="74" spans="1:26">
      <c r="A74" s="3076" t="s">
        <v>2615</v>
      </c>
      <c r="B74" s="3150">
        <f t="shared" si="167"/>
        <v>108.5</v>
      </c>
      <c r="C74" s="3150">
        <f t="shared" si="167"/>
        <v>110.5</v>
      </c>
      <c r="D74" s="3150">
        <f t="shared" si="131"/>
        <v>110.5</v>
      </c>
      <c r="E74" s="3150">
        <f t="shared" si="168"/>
        <v>106.5</v>
      </c>
      <c r="F74" s="3150">
        <f t="shared" si="168"/>
        <v>103</v>
      </c>
      <c r="G74" s="3592">
        <v>2003</v>
      </c>
      <c r="H74" s="3091">
        <v>2</v>
      </c>
      <c r="I74" s="3148"/>
      <c r="J74" s="3148"/>
      <c r="K74" s="3148"/>
      <c r="L74" s="3148"/>
      <c r="X74" s="3140"/>
      <c r="Y74" s="3140"/>
      <c r="Z74" s="3140"/>
    </row>
    <row r="75" spans="1:26" ht="13.5" thickBot="1">
      <c r="A75" s="3076" t="s">
        <v>2616</v>
      </c>
      <c r="B75" s="3150">
        <f t="shared" si="167"/>
        <v>107.25</v>
      </c>
      <c r="C75" s="3150">
        <f t="shared" si="167"/>
        <v>108.75</v>
      </c>
      <c r="D75" s="3150">
        <f t="shared" si="131"/>
        <v>108.75</v>
      </c>
      <c r="E75" s="3150">
        <f t="shared" si="168"/>
        <v>105.75</v>
      </c>
      <c r="F75" s="3150">
        <f t="shared" si="168"/>
        <v>102.5</v>
      </c>
      <c r="G75" s="3593">
        <v>2003</v>
      </c>
      <c r="H75" s="3151">
        <v>1</v>
      </c>
      <c r="I75" s="3148"/>
      <c r="J75" s="3148"/>
      <c r="K75" s="3148"/>
      <c r="L75" s="3148"/>
      <c r="S75" s="3079"/>
      <c r="T75" s="3065"/>
      <c r="U75" s="3065"/>
      <c r="X75" s="3140"/>
      <c r="Y75" s="3140"/>
      <c r="Z75" s="3140"/>
    </row>
    <row r="76" spans="1:26" ht="13.5" thickBot="1">
      <c r="A76" s="3076" t="s">
        <v>2617</v>
      </c>
      <c r="B76" s="3152">
        <v>106</v>
      </c>
      <c r="C76" s="3152">
        <v>107</v>
      </c>
      <c r="D76" s="3152">
        <f t="shared" si="131"/>
        <v>107</v>
      </c>
      <c r="E76" s="3152">
        <v>105</v>
      </c>
      <c r="F76" s="3153">
        <v>102</v>
      </c>
      <c r="G76" s="3591">
        <v>2002</v>
      </c>
      <c r="H76" s="3100">
        <v>4</v>
      </c>
      <c r="I76" s="3148"/>
      <c r="J76" s="3148"/>
      <c r="K76" s="3148"/>
      <c r="L76" s="3148"/>
      <c r="N76" s="3149"/>
      <c r="O76" s="3148"/>
      <c r="P76" s="3148"/>
      <c r="Q76" s="3148"/>
      <c r="S76" s="3149"/>
      <c r="T76" s="3148"/>
      <c r="U76" s="3148"/>
      <c r="V76" s="3148"/>
      <c r="X76" s="3140"/>
      <c r="Y76" s="3140"/>
      <c r="Z76" s="3140"/>
    </row>
    <row r="77" spans="1:26">
      <c r="A77" s="3076" t="s">
        <v>2618</v>
      </c>
      <c r="B77" s="3150">
        <f t="shared" ref="B77:C79" si="169">B78+(B$76-B$80)/4</f>
        <v>105</v>
      </c>
      <c r="C77" s="3150">
        <f t="shared" si="169"/>
        <v>106</v>
      </c>
      <c r="D77" s="3150">
        <f t="shared" si="131"/>
        <v>106</v>
      </c>
      <c r="E77" s="3150">
        <f t="shared" ref="E77:F79" si="170">E78+(E$76-E$80)/4</f>
        <v>104.5</v>
      </c>
      <c r="F77" s="3150">
        <f t="shared" si="170"/>
        <v>101.5</v>
      </c>
      <c r="G77" s="3592">
        <v>2002</v>
      </c>
      <c r="H77" s="3103">
        <v>3</v>
      </c>
      <c r="I77" s="3148"/>
      <c r="J77" s="3148"/>
      <c r="K77" s="3148"/>
      <c r="L77" s="3148"/>
      <c r="X77" s="3140"/>
      <c r="Y77" s="3140"/>
      <c r="Z77" s="3140"/>
    </row>
    <row r="78" spans="1:26">
      <c r="A78" s="3076" t="s">
        <v>2619</v>
      </c>
      <c r="B78" s="3150">
        <f t="shared" si="169"/>
        <v>104</v>
      </c>
      <c r="C78" s="3150">
        <f t="shared" si="169"/>
        <v>105</v>
      </c>
      <c r="D78" s="3150">
        <f t="shared" si="131"/>
        <v>105</v>
      </c>
      <c r="E78" s="3150">
        <f t="shared" si="170"/>
        <v>104</v>
      </c>
      <c r="F78" s="3150">
        <f t="shared" si="170"/>
        <v>101</v>
      </c>
      <c r="G78" s="3592">
        <v>2002</v>
      </c>
      <c r="H78" s="3091">
        <v>2</v>
      </c>
      <c r="I78" s="3148"/>
      <c r="J78" s="3148"/>
      <c r="K78" s="3148"/>
      <c r="L78" s="3148"/>
      <c r="X78" s="3140"/>
      <c r="Y78" s="3140"/>
      <c r="Z78" s="3140"/>
    </row>
    <row r="79" spans="1:26" s="3113" customFormat="1" ht="13.5" thickBot="1">
      <c r="A79" s="3109" t="s">
        <v>2620</v>
      </c>
      <c r="B79" s="3116">
        <f t="shared" si="169"/>
        <v>103</v>
      </c>
      <c r="C79" s="3116">
        <f t="shared" si="169"/>
        <v>104</v>
      </c>
      <c r="D79" s="3116">
        <f t="shared" si="131"/>
        <v>104</v>
      </c>
      <c r="E79" s="3116">
        <f t="shared" si="170"/>
        <v>103.5</v>
      </c>
      <c r="F79" s="3116">
        <f t="shared" si="170"/>
        <v>100.5</v>
      </c>
      <c r="G79" s="3593">
        <v>2002</v>
      </c>
      <c r="H79" s="3154">
        <v>1</v>
      </c>
      <c r="I79" s="3155"/>
      <c r="J79" s="3155"/>
      <c r="K79" s="3155"/>
      <c r="L79" s="3155"/>
      <c r="N79" s="3156"/>
      <c r="S79" s="3156"/>
      <c r="X79" s="3157"/>
      <c r="Y79" s="3157"/>
      <c r="Z79" s="3157"/>
    </row>
    <row r="80" spans="1:26" ht="13.5" thickBot="1">
      <c r="B80" s="3158">
        <v>102</v>
      </c>
      <c r="C80" s="3159">
        <v>103</v>
      </c>
      <c r="D80" s="3159">
        <f t="shared" si="131"/>
        <v>103</v>
      </c>
      <c r="E80" s="3159">
        <v>103</v>
      </c>
      <c r="F80" s="3160">
        <v>100</v>
      </c>
      <c r="I80" s="3148"/>
      <c r="J80" s="3148"/>
      <c r="K80" s="3148"/>
      <c r="L80" s="3148"/>
      <c r="N80" s="3149"/>
      <c r="O80" s="3148"/>
      <c r="P80" s="3148"/>
      <c r="Q80" s="3148"/>
      <c r="S80" s="3149"/>
      <c r="T80" s="3148"/>
      <c r="U80" s="3148"/>
      <c r="V80" s="3148"/>
      <c r="X80" s="3090"/>
      <c r="Y80" s="3090"/>
      <c r="Z80" s="3090"/>
    </row>
    <row r="82" spans="1:22" s="3162" customFormat="1">
      <c r="A82" s="3161" t="s">
        <v>2621</v>
      </c>
      <c r="G82" s="3163"/>
      <c r="N82" s="3163"/>
      <c r="S82" s="3163"/>
    </row>
    <row r="83" spans="1:22" s="3162" customFormat="1">
      <c r="A83" s="3162" t="s">
        <v>2622</v>
      </c>
      <c r="G83" s="3163"/>
      <c r="N83" s="3163"/>
      <c r="S83" s="3163"/>
    </row>
    <row r="84" spans="1:22" s="3162" customFormat="1">
      <c r="A84" s="3162" t="s">
        <v>2623</v>
      </c>
      <c r="G84" s="3163"/>
      <c r="I84" s="3164"/>
      <c r="J84" s="3164"/>
      <c r="K84" s="3164"/>
      <c r="L84" s="3164"/>
      <c r="N84" s="3165"/>
      <c r="O84" s="3164"/>
      <c r="P84" s="3164"/>
      <c r="Q84" s="3164"/>
      <c r="S84" s="3165"/>
      <c r="T84" s="3164"/>
      <c r="U84" s="3164"/>
      <c r="V84" s="3164"/>
    </row>
    <row r="85" spans="1:22" s="3162" customFormat="1">
      <c r="A85" s="3162" t="s">
        <v>2624</v>
      </c>
      <c r="G85" s="3163"/>
      <c r="N85" s="3163"/>
      <c r="S85" s="3163"/>
    </row>
    <row r="92" spans="1:22" ht="13.5" thickBot="1"/>
    <row r="93" spans="1:22">
      <c r="G93" s="3064"/>
      <c r="S93" s="3166" t="s">
        <v>2625</v>
      </c>
      <c r="T93" s="3167" t="s">
        <v>2626</v>
      </c>
      <c r="U93" s="3167" t="s">
        <v>2627</v>
      </c>
      <c r="V93" s="3167" t="s">
        <v>2628</v>
      </c>
    </row>
    <row r="94" spans="1:22">
      <c r="G94" s="3064"/>
      <c r="N94" s="3089"/>
      <c r="O94" s="3090"/>
      <c r="P94" s="3090"/>
      <c r="Q94" s="3090"/>
      <c r="S94" s="3168">
        <v>2006</v>
      </c>
      <c r="T94" s="3169">
        <v>15.1</v>
      </c>
      <c r="U94" s="3169">
        <v>7.43</v>
      </c>
      <c r="V94" s="3169">
        <v>26.26</v>
      </c>
    </row>
    <row r="95" spans="1:22">
      <c r="G95" s="3064"/>
      <c r="N95" s="3089"/>
      <c r="O95" s="3090"/>
      <c r="P95" s="3090"/>
      <c r="Q95" s="3090"/>
      <c r="S95" s="3170">
        <v>2005</v>
      </c>
      <c r="T95" s="3171">
        <v>13.9</v>
      </c>
      <c r="U95" s="3171">
        <v>7.49</v>
      </c>
      <c r="V95" s="3171">
        <v>24.92</v>
      </c>
    </row>
    <row r="96" spans="1:22">
      <c r="G96" s="3064"/>
      <c r="N96" s="3089"/>
      <c r="O96" s="3090"/>
      <c r="P96" s="3090"/>
      <c r="Q96" s="3090"/>
      <c r="S96" s="3168">
        <v>2004</v>
      </c>
      <c r="T96" s="3169">
        <v>9.48</v>
      </c>
      <c r="U96" s="3169">
        <v>7.2</v>
      </c>
      <c r="V96" s="3169">
        <v>14.68</v>
      </c>
    </row>
    <row r="97" spans="7:22">
      <c r="G97" s="3064"/>
      <c r="N97" s="3089"/>
      <c r="O97" s="3090"/>
      <c r="P97" s="3090"/>
      <c r="Q97" s="3090"/>
      <c r="S97" s="3170">
        <v>2003</v>
      </c>
      <c r="T97" s="3171">
        <v>4.5</v>
      </c>
      <c r="U97" s="3171">
        <v>6.12</v>
      </c>
      <c r="V97" s="3171">
        <v>2.34</v>
      </c>
    </row>
    <row r="98" spans="7:22" ht="13.5" thickBot="1">
      <c r="G98" s="3064"/>
      <c r="N98" s="3089"/>
      <c r="O98" s="3090"/>
      <c r="P98" s="3090"/>
      <c r="Q98" s="3090"/>
      <c r="S98" s="3172">
        <v>2002</v>
      </c>
      <c r="T98" s="3173">
        <v>3.59</v>
      </c>
      <c r="U98" s="3173">
        <v>4.54</v>
      </c>
      <c r="V98" s="3173">
        <v>2.5499999999999998</v>
      </c>
    </row>
    <row r="99" spans="7:22">
      <c r="G99" s="3064"/>
      <c r="N99" s="3089"/>
      <c r="O99" s="3090"/>
      <c r="P99" s="3090"/>
      <c r="Q99" s="3090"/>
    </row>
    <row r="100" spans="7:22">
      <c r="G100" s="3064"/>
      <c r="N100" s="3089"/>
      <c r="O100" s="3090"/>
      <c r="P100" s="3090"/>
      <c r="Q100" s="3090"/>
    </row>
    <row r="101" spans="7:22">
      <c r="G101" s="3064"/>
      <c r="N101" s="3089"/>
      <c r="O101" s="3090"/>
      <c r="P101" s="3090"/>
      <c r="Q101" s="3090"/>
    </row>
    <row r="102" spans="7:22">
      <c r="G102" s="3064"/>
      <c r="N102" s="3089"/>
      <c r="O102" s="3090"/>
      <c r="P102" s="3090"/>
      <c r="Q102" s="3090"/>
    </row>
    <row r="103" spans="7:22">
      <c r="G103" s="3064"/>
      <c r="N103" s="3089"/>
      <c r="O103" s="3090"/>
      <c r="P103" s="3090"/>
      <c r="Q103" s="3090"/>
    </row>
    <row r="104" spans="7:22">
      <c r="G104" s="3064"/>
      <c r="N104" s="3089"/>
      <c r="O104" s="3090"/>
      <c r="P104" s="3090"/>
      <c r="Q104" s="3090"/>
    </row>
    <row r="105" spans="7:22">
      <c r="G105" s="3064"/>
      <c r="N105" s="3089"/>
      <c r="O105" s="3090"/>
      <c r="P105" s="3090"/>
      <c r="Q105" s="3090"/>
    </row>
    <row r="106" spans="7:22">
      <c r="G106" s="3064"/>
      <c r="N106" s="3089"/>
      <c r="O106" s="3090"/>
      <c r="P106" s="3090"/>
      <c r="Q106" s="3090"/>
    </row>
    <row r="107" spans="7:22">
      <c r="G107" s="3064"/>
      <c r="N107" s="3089"/>
      <c r="O107" s="3090"/>
      <c r="P107" s="3090"/>
      <c r="Q107" s="3090"/>
    </row>
    <row r="108" spans="7:22">
      <c r="G108" s="3064"/>
      <c r="N108" s="3089"/>
      <c r="O108" s="3090"/>
      <c r="P108" s="3090"/>
      <c r="Q108" s="3090"/>
    </row>
    <row r="109" spans="7:22">
      <c r="G109" s="3064"/>
      <c r="N109" s="3089"/>
      <c r="O109" s="3090"/>
      <c r="P109" s="3090"/>
      <c r="Q109" s="3090"/>
      <c r="S109" s="3064"/>
    </row>
    <row r="110" spans="7:22">
      <c r="G110" s="3064"/>
      <c r="N110" s="3089"/>
      <c r="O110" s="3090"/>
      <c r="P110" s="3090"/>
      <c r="Q110" s="3090"/>
      <c r="S110" s="3064"/>
    </row>
    <row r="111" spans="7:22">
      <c r="G111" s="3064"/>
      <c r="N111" s="3089"/>
      <c r="O111" s="3090"/>
      <c r="P111" s="3090"/>
      <c r="Q111" s="3090"/>
      <c r="S111" s="3064"/>
    </row>
    <row r="112" spans="7:22">
      <c r="G112" s="3064"/>
      <c r="N112" s="3089"/>
      <c r="O112" s="3090"/>
      <c r="P112" s="3090"/>
      <c r="Q112" s="3090"/>
      <c r="S112" s="3064"/>
    </row>
    <row r="113" spans="7:19">
      <c r="G113" s="3064"/>
      <c r="N113" s="3089"/>
      <c r="O113" s="3090"/>
      <c r="P113" s="3090"/>
      <c r="Q113" s="3090"/>
      <c r="S113" s="3064"/>
    </row>
    <row r="114" spans="7:19">
      <c r="G114" s="3064"/>
      <c r="N114" s="3089"/>
      <c r="O114" s="3090"/>
      <c r="P114" s="3090"/>
      <c r="Q114" s="3090"/>
      <c r="S114" s="3064"/>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1898</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1899</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177193.01平方米。根据《建设工程规划许可证》[]、《出让合同》[]，估价对象规划建筑面积为472085.52平方米。</v>
      </c>
    </row>
    <row r="7" spans="1:4" ht="56.25">
      <c r="A7" s="1777" t="s">
        <v>2737</v>
      </c>
    </row>
    <row r="8" spans="1:4" ht="18.75">
      <c r="A8" s="1776" t="s">
        <v>1900</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2018</v>
      </c>
    </row>
    <row r="11" spans="1:4" ht="18.75">
      <c r="A11" s="1762" t="str">
        <f>TEXT(项目基本情况!D3,"yyyy年m月d日;;")&amp;IF(项目基本情况!B3=项目基本情况!D3,"（评估专业人员勘察现场之日）","")</f>
        <v>2020年8月7日（评估专业人员勘察现场之日）</v>
      </c>
    </row>
    <row r="12" spans="1:4" ht="18.75">
      <c r="A12" s="1779" t="s">
        <v>2017</v>
      </c>
    </row>
    <row r="13" spans="1:4" ht="18.75">
      <c r="A13" s="1773" t="s">
        <v>2931</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2064</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2065</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根据《国有土地使用证》[]，估价对象（分摊）出让国有建设用地使用权面积为177193.01平方米。根据《建设工程规划许可证》[]、《出让合同》[]，估价对象规划建筑面积为472085.52平方米。</v>
      </c>
    </row>
    <row r="21" spans="1:1" ht="18.75">
      <c r="A21" s="1773" t="s">
        <v>2066</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3月30日、商业2052年3月30日、办公2062年3月30日、地下车库2062年3月30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2067</v>
      </c>
    </row>
    <row r="25" spans="1:1" ht="75">
      <c r="A25" s="1773" t="str">
        <f>定义!C53</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2019</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39" sqref="J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2938</v>
      </c>
      <c r="B1" s="2931"/>
      <c r="C1" s="2931"/>
      <c r="D1" s="2931"/>
      <c r="E1" s="2931"/>
      <c r="F1" s="2931"/>
    </row>
    <row r="2" spans="1:6" ht="14.25">
      <c r="A2" s="2932" t="s">
        <v>2933</v>
      </c>
      <c r="B2" s="2933" t="e">
        <f ca="1">SUMIF(B7:B14,"&lt;&gt;#ref!",B7:B14)</f>
        <v>#DIV/0!</v>
      </c>
      <c r="C2" s="2932" t="s">
        <v>2934</v>
      </c>
      <c r="D2" s="2931"/>
      <c r="E2" s="2931"/>
      <c r="F2" s="2931"/>
    </row>
    <row r="3" spans="1:6" ht="14.25">
      <c r="A3" s="2932" t="s">
        <v>2966</v>
      </c>
      <c r="B3" s="2933" t="e">
        <f ca="1">ROUND(B2*10000/E3,0)</f>
        <v>#DIV/0!</v>
      </c>
      <c r="C3" s="2932" t="s">
        <v>2070</v>
      </c>
      <c r="D3" s="2932" t="s">
        <v>2935</v>
      </c>
      <c r="E3" s="2933">
        <f ca="1">SUMIF(E7:E14,"&lt;&gt;#ref!",E7:E14)</f>
        <v>0</v>
      </c>
      <c r="F3" s="2931"/>
    </row>
    <row r="4" spans="1:6" ht="14.25">
      <c r="A4" s="2932" t="s">
        <v>2942</v>
      </c>
      <c r="B4" s="2933" t="e">
        <f ca="1">ROUND(B2*10000/E4,0)</f>
        <v>#DIV/0!</v>
      </c>
      <c r="C4" s="2932" t="s">
        <v>2070</v>
      </c>
      <c r="D4" s="2932" t="s">
        <v>2943</v>
      </c>
      <c r="E4" s="2933">
        <f ca="1">SUMIF(F7:F14,"&lt;&gt;#ref!",F7:F14)</f>
        <v>0</v>
      </c>
      <c r="F4" s="2931"/>
    </row>
    <row r="5" spans="1:6" ht="14.25">
      <c r="A5" s="2934"/>
      <c r="B5" s="1863"/>
      <c r="C5" s="1863"/>
      <c r="D5" s="1863"/>
      <c r="E5" s="1863"/>
      <c r="F5" s="2931"/>
    </row>
    <row r="6" spans="1:6" ht="28.5">
      <c r="A6" s="2935" t="s">
        <v>2939</v>
      </c>
      <c r="B6" s="2932" t="s">
        <v>2936</v>
      </c>
      <c r="C6" s="2933"/>
      <c r="D6" s="1863"/>
      <c r="E6" s="2932" t="s">
        <v>2937</v>
      </c>
      <c r="F6" s="2932" t="s">
        <v>2941</v>
      </c>
    </row>
    <row r="7" spans="1:6" ht="14.25">
      <c r="A7" s="259" t="s">
        <v>2940</v>
      </c>
      <c r="B7" s="2936" t="e">
        <f ca="1">SUMIF(INDIRECT("'"&amp;A7&amp;"'"&amp;"!A:A"),"总价",INDIRECT("'"&amp;A7&amp;"'"&amp;"!B:B"))</f>
        <v>#DIV/0!</v>
      </c>
      <c r="C7" s="2932" t="s">
        <v>2934</v>
      </c>
      <c r="D7" s="1863"/>
      <c r="E7" s="2937">
        <f ca="1">SUMIF(INDIRECT("'"&amp;A7&amp;"'"&amp;"!C:C"),"建筑面积",INDIRECT("'"&amp;A7&amp;"'"&amp;"!D:D"))</f>
        <v>0</v>
      </c>
      <c r="F7" s="2937">
        <f ca="1">SUMIF(INDIRECT("'"&amp;A7&amp;"'"&amp;"!E:E"),"土地面积",INDIRECT("'"&amp;A7&amp;"'"&amp;"!F:F"))</f>
        <v>0</v>
      </c>
    </row>
    <row r="8" spans="1:6" ht="14.25">
      <c r="A8" s="259"/>
      <c r="B8" s="2936" t="e">
        <f t="shared" ref="B8:B14" ca="1" si="0">SUMIF(INDIRECT("'"&amp;A8&amp;"'"&amp;"!A:A"),"总价",INDIRECT("'"&amp;A8&amp;"'"&amp;"!B:B"))</f>
        <v>#REF!</v>
      </c>
      <c r="C8" s="2932" t="s">
        <v>2934</v>
      </c>
      <c r="D8" s="1863"/>
      <c r="E8" s="2937" t="e">
        <f t="shared" ref="E8:E14" ca="1" si="1">SUMIF(INDIRECT("'"&amp;A8&amp;"'"&amp;"!C:C"),"建筑面积",INDIRECT("'"&amp;A8&amp;"'"&amp;"!D:D"))</f>
        <v>#REF!</v>
      </c>
      <c r="F8" s="2937" t="e">
        <f t="shared" ref="F8:F14" ca="1" si="2">SUMIF(INDIRECT("'"&amp;A8&amp;"'"&amp;"!E:E"),"土地面积",INDIRECT("'"&amp;A8&amp;"'"&amp;"!F:F"))</f>
        <v>#REF!</v>
      </c>
    </row>
    <row r="9" spans="1:6" ht="14.25">
      <c r="A9" s="259"/>
      <c r="B9" s="2936" t="e">
        <f t="shared" ca="1" si="0"/>
        <v>#REF!</v>
      </c>
      <c r="C9" s="2932" t="s">
        <v>2934</v>
      </c>
      <c r="D9" s="1863"/>
      <c r="E9" s="2937" t="e">
        <f t="shared" ca="1" si="1"/>
        <v>#REF!</v>
      </c>
      <c r="F9" s="2937" t="e">
        <f t="shared" ca="1" si="2"/>
        <v>#REF!</v>
      </c>
    </row>
    <row r="10" spans="1:6" ht="14.25">
      <c r="A10" s="259"/>
      <c r="B10" s="2936" t="e">
        <f t="shared" ca="1" si="0"/>
        <v>#REF!</v>
      </c>
      <c r="C10" s="2932" t="s">
        <v>2934</v>
      </c>
      <c r="D10" s="1863"/>
      <c r="E10" s="2937" t="e">
        <f t="shared" ca="1" si="1"/>
        <v>#REF!</v>
      </c>
      <c r="F10" s="2937" t="e">
        <f t="shared" ca="1" si="2"/>
        <v>#REF!</v>
      </c>
    </row>
    <row r="11" spans="1:6" ht="14.25">
      <c r="A11" s="259"/>
      <c r="B11" s="2936" t="e">
        <f t="shared" ca="1" si="0"/>
        <v>#REF!</v>
      </c>
      <c r="C11" s="2932" t="s">
        <v>2934</v>
      </c>
      <c r="D11" s="1863"/>
      <c r="E11" s="2937" t="e">
        <f t="shared" ca="1" si="1"/>
        <v>#REF!</v>
      </c>
      <c r="F11" s="2937" t="e">
        <f t="shared" ca="1" si="2"/>
        <v>#REF!</v>
      </c>
    </row>
    <row r="12" spans="1:6" ht="14.25">
      <c r="A12" s="259"/>
      <c r="B12" s="2936" t="e">
        <f t="shared" ca="1" si="0"/>
        <v>#REF!</v>
      </c>
      <c r="C12" s="2932" t="s">
        <v>2934</v>
      </c>
      <c r="D12" s="1863"/>
      <c r="E12" s="2937" t="e">
        <f t="shared" ca="1" si="1"/>
        <v>#REF!</v>
      </c>
      <c r="F12" s="2937" t="e">
        <f t="shared" ca="1" si="2"/>
        <v>#REF!</v>
      </c>
    </row>
    <row r="13" spans="1:6" ht="14.25">
      <c r="A13" s="259"/>
      <c r="B13" s="2936" t="e">
        <f t="shared" ca="1" si="0"/>
        <v>#REF!</v>
      </c>
      <c r="C13" s="2932" t="s">
        <v>2934</v>
      </c>
      <c r="D13" s="1863"/>
      <c r="E13" s="2937" t="e">
        <f t="shared" ca="1" si="1"/>
        <v>#REF!</v>
      </c>
      <c r="F13" s="2937" t="e">
        <f t="shared" ca="1" si="2"/>
        <v>#REF!</v>
      </c>
    </row>
    <row r="14" spans="1:6" ht="14.25">
      <c r="A14" s="2930"/>
      <c r="B14" s="2936" t="e">
        <f t="shared" ca="1" si="0"/>
        <v>#REF!</v>
      </c>
      <c r="C14" s="2932" t="s">
        <v>2934</v>
      </c>
      <c r="D14" s="1863"/>
      <c r="E14" s="2937" t="e">
        <f t="shared" ca="1" si="1"/>
        <v>#REF!</v>
      </c>
      <c r="F14" s="293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2365</v>
      </c>
      <c r="F1" s="2349">
        <f ca="1">J54</f>
        <v>-3</v>
      </c>
      <c r="G1" s="773">
        <f>MATCH(C1,'数据-取费表'!A6:A16,0)+5</f>
        <v>13</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2449</v>
      </c>
      <c r="C7" s="53">
        <f ca="1">C8+C12+C14</f>
        <v>0</v>
      </c>
      <c r="D7" s="2457" t="s">
        <v>2452</v>
      </c>
      <c r="E7" s="2451"/>
      <c r="F7" s="2452"/>
      <c r="G7" s="1575"/>
      <c r="H7" s="780">
        <v>1</v>
      </c>
      <c r="I7" s="781" t="s">
        <v>2449</v>
      </c>
      <c r="J7" s="53">
        <f ca="1">J8+J12+J14</f>
        <v>0</v>
      </c>
      <c r="K7" s="2457" t="s">
        <v>2452</v>
      </c>
      <c r="L7" s="2451"/>
      <c r="M7" s="2452"/>
    </row>
    <row r="8" spans="1:25" ht="18" customHeight="1">
      <c r="A8" s="1812" t="s">
        <v>1818</v>
      </c>
      <c r="B8" s="3600" t="s">
        <v>2454</v>
      </c>
      <c r="C8" s="1807">
        <f ca="1">ROUND(F8*F10*F9*(1-F11)/10000,0)</f>
        <v>0</v>
      </c>
      <c r="D8" s="1804" t="s">
        <v>2525</v>
      </c>
      <c r="E8" s="61" t="s">
        <v>637</v>
      </c>
      <c r="F8" s="784">
        <f ca="1">INDIRECT("'数据-取费表'!u"&amp;$G$1)</f>
        <v>0</v>
      </c>
      <c r="G8" s="1575"/>
      <c r="H8" s="2465" t="s">
        <v>1818</v>
      </c>
      <c r="I8" s="3600" t="s">
        <v>2454</v>
      </c>
      <c r="J8" s="782">
        <f ca="1">ROUND(M8*M10*M9*(1-M11)/10000,0)</f>
        <v>0</v>
      </c>
      <c r="K8" s="340" t="s">
        <v>2525</v>
      </c>
      <c r="L8" s="783" t="s">
        <v>1732</v>
      </c>
      <c r="M8" s="784">
        <f ca="1">INDIRECT("'数据-取费表'!z"&amp;$G$1)</f>
        <v>0</v>
      </c>
    </row>
    <row r="9" spans="1:25" ht="18" customHeight="1">
      <c r="A9" s="2461"/>
      <c r="B9" s="3601"/>
      <c r="C9" s="1808"/>
      <c r="D9" s="1805"/>
      <c r="E9" s="61" t="s">
        <v>638</v>
      </c>
      <c r="F9" s="784">
        <f ca="1">IF(INDIRECT("'数据-取费表'!ah"&amp;$G$1)="",INDIRECT("'数据-取费表'!k"&amp;$G$1),INDIRECT("'数据-取费表'!ah"&amp;$G$1))</f>
        <v>0</v>
      </c>
      <c r="G9" s="1575"/>
      <c r="H9" s="2450"/>
      <c r="I9" s="3601"/>
      <c r="J9" s="787"/>
      <c r="K9" s="788"/>
      <c r="L9" s="783" t="s">
        <v>1733</v>
      </c>
      <c r="M9" s="784">
        <f ca="1">F9</f>
        <v>0</v>
      </c>
    </row>
    <row r="10" spans="1:25" ht="18" customHeight="1">
      <c r="A10" s="2454"/>
      <c r="B10" s="3602"/>
      <c r="C10" s="1808"/>
      <c r="D10" s="1805"/>
      <c r="E10" s="61" t="s">
        <v>639</v>
      </c>
      <c r="F10" s="784">
        <f ca="1">INDIRECT("'数据-取费表'!ai"&amp;$G$1)</f>
        <v>0</v>
      </c>
      <c r="G10" s="1575"/>
      <c r="H10" s="2450"/>
      <c r="I10" s="3602"/>
      <c r="J10" s="787"/>
      <c r="K10" s="788"/>
      <c r="L10" s="783" t="s">
        <v>1734</v>
      </c>
      <c r="M10" s="784">
        <f ca="1">INDIRECT("'数据-取费表'!ai"&amp;$G$1)</f>
        <v>0</v>
      </c>
    </row>
    <row r="11" spans="1:25" ht="18" customHeight="1">
      <c r="A11" s="785"/>
      <c r="B11" s="3603"/>
      <c r="C11" s="1808"/>
      <c r="D11" s="1805"/>
      <c r="E11" s="61" t="s">
        <v>640</v>
      </c>
      <c r="F11" s="793">
        <f ca="1">INDIRECT("'数据-取费表'!w"&amp;$G$1)</f>
        <v>0</v>
      </c>
      <c r="G11" s="1575"/>
      <c r="H11" s="2466"/>
      <c r="I11" s="3602"/>
      <c r="J11" s="787"/>
      <c r="K11" s="788"/>
      <c r="L11" s="794" t="s">
        <v>1735</v>
      </c>
      <c r="M11" s="795">
        <f ca="1">INDIRECT("'数据-取费表'!ab"&amp;$G$1)</f>
        <v>0</v>
      </c>
    </row>
    <row r="12" spans="1:25" ht="18" customHeight="1">
      <c r="A12" s="1812" t="s">
        <v>1819</v>
      </c>
      <c r="B12" s="2455" t="s">
        <v>2450</v>
      </c>
      <c r="C12" s="798">
        <f ca="1">ROUND(IF(F12="押一",C8/12*F13,IF(F12="押二",C8/12*2*F13,IF(F12="押三",C8/12*3*F13,C13*F13))),0)</f>
        <v>0</v>
      </c>
      <c r="D12" s="2462" t="s">
        <v>2963</v>
      </c>
      <c r="E12" s="2459" t="s">
        <v>2455</v>
      </c>
      <c r="F12" s="2582"/>
      <c r="G12" s="1575"/>
      <c r="H12" s="2522" t="s">
        <v>1819</v>
      </c>
      <c r="I12" s="2527" t="s">
        <v>2450</v>
      </c>
      <c r="J12" s="782">
        <f ca="1">ROUND(IF(M12="押一",J8/12*M13,IF(M12="押二",J8/12*2*M13,IF(M12="押三",J8/12*3*M13,J13*M13))),0)</f>
        <v>0</v>
      </c>
      <c r="K12" s="2462" t="s">
        <v>2963</v>
      </c>
      <c r="L12" s="2459" t="s">
        <v>2455</v>
      </c>
      <c r="M12" s="2582"/>
    </row>
    <row r="13" spans="1:25" ht="18" customHeight="1">
      <c r="A13" s="789"/>
      <c r="B13" s="2456" t="s">
        <v>2564</v>
      </c>
      <c r="C13" s="2460"/>
      <c r="D13" s="788"/>
      <c r="E13" s="2459" t="s">
        <v>2447</v>
      </c>
      <c r="F13" s="795">
        <f ca="1">'数据-取费表'!B39</f>
        <v>1.4999999999999999E-2</v>
      </c>
      <c r="G13" s="1575"/>
      <c r="H13" s="2523"/>
      <c r="I13" s="2456" t="s">
        <v>2564</v>
      </c>
      <c r="J13" s="2460"/>
      <c r="K13" s="2524"/>
      <c r="L13" s="2459" t="s">
        <v>2447</v>
      </c>
      <c r="M13" s="2453">
        <f ca="1">'数据-取费表'!B39</f>
        <v>1.4999999999999999E-2</v>
      </c>
    </row>
    <row r="14" spans="1:25" ht="18" customHeight="1" thickBot="1">
      <c r="A14" s="2498" t="s">
        <v>2458</v>
      </c>
      <c r="B14" s="2499" t="s">
        <v>2451</v>
      </c>
      <c r="C14" s="2500"/>
      <c r="D14" s="2501"/>
      <c r="E14" s="2502"/>
      <c r="F14" s="2503"/>
      <c r="G14" s="1575"/>
      <c r="H14" s="2512" t="s">
        <v>2458</v>
      </c>
      <c r="I14" s="2525" t="s">
        <v>2451</v>
      </c>
      <c r="J14" s="2526"/>
      <c r="K14" s="2501"/>
      <c r="L14" s="2502"/>
      <c r="M14" s="2515"/>
    </row>
    <row r="15" spans="1:25" ht="18" customHeight="1" thickTop="1">
      <c r="A15" s="1811" t="s">
        <v>1868</v>
      </c>
      <c r="B15" s="1809" t="s">
        <v>641</v>
      </c>
      <c r="C15" s="791">
        <f ca="1">ROUND(C31*F15,0)</f>
        <v>0</v>
      </c>
      <c r="D15" s="1816" t="s">
        <v>642</v>
      </c>
      <c r="E15" s="794" t="s">
        <v>643</v>
      </c>
      <c r="F15" s="799">
        <f ca="1">INDIRECT("'数据-取费表'!y"&amp;$G$1)</f>
        <v>0</v>
      </c>
      <c r="G15" s="1575"/>
      <c r="H15" s="1811" t="s">
        <v>1820</v>
      </c>
      <c r="I15" s="1809" t="s">
        <v>644</v>
      </c>
      <c r="J15" s="1801">
        <f ca="1">ROUND(J16*J17,0)</f>
        <v>0</v>
      </c>
      <c r="K15" s="1803" t="s">
        <v>642</v>
      </c>
      <c r="L15" s="800"/>
      <c r="M15" s="801"/>
    </row>
    <row r="16" spans="1:25" ht="18" customHeight="1">
      <c r="A16" s="802" t="s">
        <v>1869</v>
      </c>
      <c r="B16" s="783" t="s">
        <v>645</v>
      </c>
      <c r="C16" s="803">
        <f ca="1">INDIRECT("'数据-取费表'!m"&amp;$G$1)+INDIRECT("'数据-取费表'!t"&amp;$G$1)</f>
        <v>0</v>
      </c>
      <c r="D16" s="1961" t="s">
        <v>646</v>
      </c>
      <c r="E16" s="1962"/>
      <c r="F16" s="804"/>
      <c r="G16" s="1575"/>
      <c r="H16" s="802" t="s">
        <v>2061</v>
      </c>
      <c r="I16" s="2213" t="s">
        <v>2815</v>
      </c>
      <c r="J16" s="53">
        <f ca="1">C31</f>
        <v>0</v>
      </c>
      <c r="K16" s="26"/>
      <c r="L16" s="800"/>
      <c r="M16" s="801"/>
    </row>
    <row r="17" spans="1:25" s="2046" customFormat="1" ht="18" customHeight="1">
      <c r="A17" s="802" t="s">
        <v>1843</v>
      </c>
      <c r="B17" s="783" t="s">
        <v>647</v>
      </c>
      <c r="C17" s="53">
        <f ca="1">ROUND(C16*F17,0)</f>
        <v>0</v>
      </c>
      <c r="D17" s="805" t="s">
        <v>648</v>
      </c>
      <c r="E17" s="805" t="s">
        <v>649</v>
      </c>
      <c r="F17" s="806">
        <f>'数据-取费表'!B33</f>
        <v>0.03</v>
      </c>
      <c r="G17" s="1576"/>
      <c r="H17" s="802" t="s">
        <v>2062</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650</v>
      </c>
      <c r="C18" s="53">
        <f ca="1">ROUND(INDIRECT("'数据-取费表'!m"&amp;$G$1)*F18,0)</f>
        <v>0</v>
      </c>
      <c r="D18" s="783" t="s">
        <v>648</v>
      </c>
      <c r="E18" s="783" t="s">
        <v>649</v>
      </c>
      <c r="F18" s="808">
        <f ca="1">IF(INDIRECT("'数据-取费表'!c"&amp;$G$1)="住宅",'数据-取费表'!B34,0)</f>
        <v>0</v>
      </c>
      <c r="G18" s="1575"/>
      <c r="H18" s="796" t="s">
        <v>1821</v>
      </c>
      <c r="I18" s="797" t="s">
        <v>651</v>
      </c>
      <c r="J18" s="798">
        <f ca="1">ROUND(J19+J24+J25+J26,0)</f>
        <v>0</v>
      </c>
      <c r="K18" s="26" t="s">
        <v>652</v>
      </c>
      <c r="L18" s="1964"/>
      <c r="M18" s="56"/>
    </row>
    <row r="19" spans="1:25" s="2046" customFormat="1" ht="18" customHeight="1">
      <c r="A19" s="802" t="s">
        <v>1845</v>
      </c>
      <c r="B19" s="783" t="s">
        <v>653</v>
      </c>
      <c r="C19" s="53">
        <f ca="1">ROUND(F19*(INDIRECT("'数据-取费表'!k"&amp;$G$1)+INDIRECT("'数据-取费表'!S"&amp;$G$1))/10000,0)</f>
        <v>0</v>
      </c>
      <c r="D19" s="783" t="s">
        <v>654</v>
      </c>
      <c r="E19" s="783" t="s">
        <v>655</v>
      </c>
      <c r="F19" s="56">
        <f>'数据-取费表'!B35</f>
        <v>180</v>
      </c>
      <c r="G19" s="1576"/>
      <c r="H19" s="802" t="s">
        <v>2061</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659</v>
      </c>
      <c r="C20" s="53">
        <f ca="1">ROUND(C16*F20,0)</f>
        <v>0</v>
      </c>
      <c r="D20" s="783" t="s">
        <v>648</v>
      </c>
      <c r="E20" s="783" t="s">
        <v>649</v>
      </c>
      <c r="F20" s="808">
        <f>'数据-取费表'!B36</f>
        <v>1.4999999999999999E-2</v>
      </c>
      <c r="G20" s="1576"/>
      <c r="H20" s="802" t="s">
        <v>1825</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1870</v>
      </c>
      <c r="B21" s="783" t="s">
        <v>662</v>
      </c>
      <c r="C21" s="53">
        <f ca="1">SUM(C16:C20)</f>
        <v>0</v>
      </c>
      <c r="D21" s="260" t="s">
        <v>663</v>
      </c>
      <c r="E21" s="1964"/>
      <c r="F21" s="56"/>
      <c r="G21" s="1575"/>
      <c r="H21" s="1812" t="s">
        <v>1843</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1871</v>
      </c>
      <c r="B22" s="783" t="s">
        <v>666</v>
      </c>
      <c r="C22" s="53">
        <f ca="1">ROUND(C21*F22,0)</f>
        <v>0</v>
      </c>
      <c r="D22" s="811" t="s">
        <v>667</v>
      </c>
      <c r="E22" s="783" t="s">
        <v>649</v>
      </c>
      <c r="F22" s="808">
        <f>'数据-取费表'!B37</f>
        <v>0.02</v>
      </c>
      <c r="G22" s="1576"/>
      <c r="H22" s="1814" t="s">
        <v>1844</v>
      </c>
      <c r="I22" s="1804" t="s">
        <v>668</v>
      </c>
      <c r="J22" s="54">
        <f ca="1">ROUND(M22*M23/10000,0)</f>
        <v>0</v>
      </c>
      <c r="K22" s="813" t="s">
        <v>669</v>
      </c>
      <c r="L22" s="783" t="s">
        <v>670</v>
      </c>
      <c r="M22" s="639">
        <f>'数据-取费表'!B52</f>
        <v>8</v>
      </c>
      <c r="N22" s="2045"/>
      <c r="O22" s="2045"/>
      <c r="P22" s="2045"/>
      <c r="Q22" s="2045"/>
      <c r="R22" s="2045"/>
      <c r="S22" s="2045"/>
      <c r="T22" s="2045"/>
      <c r="U22" s="2045"/>
      <c r="V22" s="2045"/>
      <c r="W22" s="2045"/>
      <c r="X22" s="2045"/>
      <c r="Y22" s="2045"/>
    </row>
    <row r="23" spans="1:25" s="2046" customFormat="1" ht="18" customHeight="1">
      <c r="A23" s="802" t="s">
        <v>1872</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675</v>
      </c>
      <c r="C24" s="53"/>
      <c r="D24" s="2533" t="str">
        <f>IF(F25&lt;=1,"单利计息。","复利计息。")&amp;"建造成本、管理费用、销售费用产生的利息。"</f>
        <v>复利计息。建造成本、管理费用、销售费用产生的利息。</v>
      </c>
      <c r="E24" s="1964"/>
      <c r="F24" s="56"/>
      <c r="G24" s="1575"/>
      <c r="H24" s="1813" t="s">
        <v>2062</v>
      </c>
      <c r="I24" s="783" t="s">
        <v>676</v>
      </c>
      <c r="J24" s="53">
        <f ca="1">ROUND(J16*M24,0)</f>
        <v>0</v>
      </c>
      <c r="K24" s="1959" t="s">
        <v>677</v>
      </c>
      <c r="L24" s="783" t="s">
        <v>649</v>
      </c>
      <c r="M24" s="816">
        <f ca="1">INDIRECT("'数据-取费表'!Ak"&amp;$G$1)</f>
        <v>0</v>
      </c>
    </row>
    <row r="25" spans="1:25" s="2046" customFormat="1" ht="18" customHeight="1">
      <c r="A25" s="802" t="s">
        <v>1869</v>
      </c>
      <c r="B25" s="783" t="s">
        <v>2428</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6"/>
      <c r="H25" s="802" t="s">
        <v>1872</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1873</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684</v>
      </c>
      <c r="C27" s="53"/>
      <c r="D27" s="260" t="s">
        <v>685</v>
      </c>
      <c r="E27" s="1964"/>
      <c r="F27" s="56"/>
      <c r="G27" s="1575"/>
      <c r="H27" s="796" t="s">
        <v>1822</v>
      </c>
      <c r="I27" s="2843" t="s">
        <v>2812</v>
      </c>
      <c r="J27" s="798">
        <f ca="1">J7-J18</f>
        <v>0</v>
      </c>
      <c r="K27" s="1961" t="s">
        <v>700</v>
      </c>
      <c r="L27" s="1963"/>
      <c r="M27" s="819"/>
    </row>
    <row r="28" spans="1:25" ht="18" customHeight="1">
      <c r="A28" s="802" t="s">
        <v>1869</v>
      </c>
      <c r="B28" s="783" t="s">
        <v>2429</v>
      </c>
      <c r="C28" s="53">
        <f ca="1">ROUND((C21+C22)*F28,0)</f>
        <v>0</v>
      </c>
      <c r="D28" s="811" t="s">
        <v>701</v>
      </c>
      <c r="E28" s="794" t="s">
        <v>702</v>
      </c>
      <c r="F28" s="793">
        <f ca="1">INDIRECT("'数据-取费表'!q"&amp;$G$1)</f>
        <v>0</v>
      </c>
      <c r="G28" s="1575"/>
      <c r="H28" s="780" t="s">
        <v>1831</v>
      </c>
      <c r="I28" s="781" t="s">
        <v>703</v>
      </c>
      <c r="J28" s="782">
        <f ca="1">IF(J7&lt;&gt;0,ROUND(J27*(1-((1+M30)/(1+M28))^M29)/(M28-M30),0),0)</f>
        <v>0</v>
      </c>
      <c r="K28" s="813" t="s">
        <v>704</v>
      </c>
      <c r="L28" s="783" t="s">
        <v>705</v>
      </c>
      <c r="M28" s="793">
        <f ca="1">INDIRECT("'数据-取费表'!I"&amp;$G$1)</f>
        <v>0</v>
      </c>
    </row>
    <row r="29" spans="1:25" ht="18" customHeight="1">
      <c r="A29" s="802" t="s">
        <v>1843</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1876</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2813</v>
      </c>
      <c r="C31" s="2505">
        <f ca="1">ROUND((C21+C22+C25+C28)/(1-F23-C26-C29-C30),0)</f>
        <v>0</v>
      </c>
      <c r="D31" s="2506"/>
      <c r="E31" s="2507"/>
      <c r="F31" s="2508"/>
      <c r="G31" s="1576"/>
      <c r="H31" s="822" t="s">
        <v>1866</v>
      </c>
      <c r="I31" s="2844" t="s">
        <v>2814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1870</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1843</v>
      </c>
      <c r="B35" s="783" t="s">
        <v>664</v>
      </c>
      <c r="C35" s="53">
        <f ca="1">IF(D35="按租金收入计税",ROUND(C8*F35/(1+'数据-取费表'!C42),1),IF(D35="按房产原值计税",ROUND(C31*F35*0.7,1),INDIRECT("'数据-取费表'!Aj"&amp;$G$1)))</f>
        <v>0</v>
      </c>
      <c r="D35" s="810" t="s">
        <v>1677</v>
      </c>
      <c r="E35" s="783" t="s">
        <v>649</v>
      </c>
      <c r="F35" s="808">
        <f>IF(D35="按租金收入计税",'数据-取费表'!B51,'数据-取费表'!B50)</f>
        <v>1.2E-2</v>
      </c>
      <c r="G35" s="2044"/>
      <c r="H35" s="2059"/>
      <c r="I35" s="2059"/>
      <c r="J35" s="2059"/>
      <c r="K35" s="2060"/>
      <c r="L35" s="2059"/>
      <c r="M35" s="2059"/>
    </row>
    <row r="36" spans="1:18" ht="18" customHeight="1">
      <c r="A36" s="812" t="s">
        <v>1874</v>
      </c>
      <c r="B36" s="340" t="s">
        <v>668</v>
      </c>
      <c r="C36" s="54">
        <f ca="1">ROUND(F36*F37/10000,1)</f>
        <v>0</v>
      </c>
      <c r="D36" s="813" t="s">
        <v>669</v>
      </c>
      <c r="E36" s="783" t="s">
        <v>670</v>
      </c>
      <c r="F36" s="639">
        <f>'数据-取费表'!B52</f>
        <v>8</v>
      </c>
      <c r="G36" s="2044"/>
      <c r="H36" s="2047"/>
      <c r="I36" s="3599"/>
      <c r="J36" s="2061"/>
      <c r="K36" s="2062"/>
      <c r="L36" s="2061"/>
      <c r="M36" s="2061"/>
    </row>
    <row r="37" spans="1:18" ht="18" customHeight="1">
      <c r="A37" s="814"/>
      <c r="B37" s="792"/>
      <c r="C37" s="69"/>
      <c r="D37" s="815"/>
      <c r="E37" s="783" t="s">
        <v>674</v>
      </c>
      <c r="F37" s="784">
        <f ca="1">INDIRECT("'数据-取费表'!r"&amp;$G$1)</f>
        <v>0</v>
      </c>
      <c r="G37" s="2044"/>
      <c r="H37" s="2047"/>
      <c r="I37" s="3599"/>
      <c r="J37" s="2059"/>
      <c r="K37" s="2060"/>
      <c r="L37" s="2059"/>
      <c r="M37" s="2059"/>
    </row>
    <row r="38" spans="1:18" ht="18" customHeight="1">
      <c r="A38" s="802" t="s">
        <v>1871</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1872</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1873</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1870</v>
      </c>
      <c r="B42" s="834" t="s">
        <v>693</v>
      </c>
      <c r="C42" s="828">
        <f ca="1">C7-C32</f>
        <v>0</v>
      </c>
      <c r="D42" s="1961" t="s">
        <v>694</v>
      </c>
      <c r="E42" s="1963"/>
      <c r="F42" s="819"/>
      <c r="G42" s="2044"/>
      <c r="H42" s="2044"/>
      <c r="I42" s="2044"/>
      <c r="J42" s="2044"/>
      <c r="K42" s="2065"/>
      <c r="L42" s="2044"/>
      <c r="M42" s="2044"/>
    </row>
    <row r="43" spans="1:18" ht="18" customHeight="1">
      <c r="A43" s="802" t="s">
        <v>1871</v>
      </c>
      <c r="B43" s="834" t="s">
        <v>711</v>
      </c>
      <c r="C43" s="835">
        <f ca="1">ROUND(C15*F43,0)</f>
        <v>0</v>
      </c>
      <c r="D43" s="1350" t="s">
        <v>712</v>
      </c>
      <c r="E43" s="2941" t="s">
        <v>2951</v>
      </c>
      <c r="F43" s="2942">
        <f ca="1">INDIRECT("'数据-取费表'!j"&amp;$G$1)</f>
        <v>0</v>
      </c>
      <c r="G43" s="2044"/>
      <c r="H43" s="2044"/>
      <c r="I43" s="2044"/>
      <c r="J43" s="2044"/>
      <c r="K43" s="2065"/>
      <c r="L43" s="2044"/>
      <c r="M43" s="2044"/>
    </row>
    <row r="44" spans="1:18" ht="18" customHeight="1">
      <c r="A44" s="802" t="s">
        <v>1872</v>
      </c>
      <c r="B44" s="834" t="s">
        <v>713</v>
      </c>
      <c r="C44" s="1351">
        <f ca="1">C42-C43</f>
        <v>0</v>
      </c>
      <c r="D44" s="462" t="s">
        <v>714</v>
      </c>
      <c r="E44" s="463"/>
      <c r="F44" s="464"/>
      <c r="G44" s="2044"/>
      <c r="H44" s="2044"/>
      <c r="I44" s="2044"/>
      <c r="J44" s="2044"/>
      <c r="K44" s="2065"/>
      <c r="L44" s="2044"/>
      <c r="M44" s="2044"/>
    </row>
    <row r="45" spans="1:18" ht="18" customHeight="1">
      <c r="A45" s="802" t="s">
        <v>1873</v>
      </c>
      <c r="B45" s="1350" t="s">
        <v>715</v>
      </c>
      <c r="C45" s="2870">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2943" t="s">
        <v>2954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2334</v>
      </c>
      <c r="J47" s="2340"/>
      <c r="K47" s="2341"/>
      <c r="L47" s="2957" t="str">
        <f ca="1">IF(M48="住宅",0,IF(L49&gt;J52,L61,J61))</f>
        <v>0</v>
      </c>
      <c r="O47" s="2355" t="s">
        <v>2401</v>
      </c>
      <c r="P47" s="1575"/>
      <c r="Q47" s="1586"/>
      <c r="R47" s="1575"/>
    </row>
    <row r="48" spans="1:18" s="2041" customFormat="1" ht="18" customHeight="1" thickBot="1">
      <c r="A48" s="2066"/>
      <c r="C48" s="2069"/>
      <c r="D48" s="2070"/>
      <c r="E48" s="2070"/>
      <c r="F48" s="2071"/>
      <c r="G48" s="2072"/>
      <c r="I48" s="2948" t="s">
        <v>2335</v>
      </c>
      <c r="J48" s="2342"/>
      <c r="K48" s="2954" t="s">
        <v>2340</v>
      </c>
      <c r="L48" s="2958">
        <f ca="1">INDIRECT("'数据-取费表'!d"&amp;$G$1)</f>
        <v>0</v>
      </c>
      <c r="M48" s="2940" t="str">
        <f>IF(ISNUMBER(FIND("住宅",C1)),"住宅","非住宅")</f>
        <v>非住宅</v>
      </c>
      <c r="O48" s="2356" t="s">
        <v>2366</v>
      </c>
      <c r="P48" s="2357" t="s">
        <v>2367</v>
      </c>
      <c r="Q48" s="2358" t="s">
        <v>2368</v>
      </c>
      <c r="R48" s="2357" t="s">
        <v>2369</v>
      </c>
    </row>
    <row r="49" spans="1:18" s="2041" customFormat="1" ht="18" customHeight="1" thickBot="1">
      <c r="A49" s="2066"/>
      <c r="D49" s="2073"/>
      <c r="E49" s="2074"/>
      <c r="F49" s="2071"/>
      <c r="G49" s="2072"/>
      <c r="H49" s="2075"/>
      <c r="I49" s="2944" t="s">
        <v>2336</v>
      </c>
      <c r="J49" s="2343"/>
      <c r="K49" s="2955" t="s">
        <v>2342</v>
      </c>
      <c r="L49" s="1890">
        <f ca="1">INDIRECT("'数据-取费表'!f"&amp;$G$1)</f>
        <v>0</v>
      </c>
      <c r="O49" s="2359" t="s">
        <v>2370</v>
      </c>
      <c r="P49" s="2360" t="s">
        <v>2396</v>
      </c>
      <c r="Q49" s="2361">
        <f ca="1">C41+J31</f>
        <v>0</v>
      </c>
      <c r="R49" s="2360" t="s">
        <v>2371</v>
      </c>
    </row>
    <row r="50" spans="1:18" s="2041" customFormat="1" ht="18" customHeight="1" thickBot="1">
      <c r="A50" s="2066"/>
      <c r="D50" s="2076"/>
      <c r="E50" s="2076"/>
      <c r="F50" s="2070"/>
      <c r="G50" s="2077"/>
      <c r="H50" s="2075"/>
      <c r="I50" s="2944" t="s">
        <v>2337</v>
      </c>
      <c r="J50" s="2344"/>
      <c r="K50" s="2956" t="s">
        <v>2343</v>
      </c>
      <c r="L50" s="2345"/>
      <c r="O50" s="2359" t="s">
        <v>2372</v>
      </c>
      <c r="P50" s="2360" t="s">
        <v>2397</v>
      </c>
      <c r="Q50" s="2361" t="str">
        <f ca="1">J61</f>
        <v>0</v>
      </c>
      <c r="R50" s="2360" t="s">
        <v>2373</v>
      </c>
    </row>
    <row r="51" spans="1:18" s="2041" customFormat="1" ht="18" customHeight="1" thickBot="1">
      <c r="A51" s="2078"/>
      <c r="D51" s="2076"/>
      <c r="E51" s="2076"/>
      <c r="F51" s="2067"/>
      <c r="H51" s="2075"/>
      <c r="I51" s="2944" t="s">
        <v>2338</v>
      </c>
      <c r="J51" s="2952">
        <f>SUMPRODUCT((I64:I66=J48)*(J63:L63=J49)*(J64:L66))</f>
        <v>0</v>
      </c>
      <c r="K51" s="2956" t="s">
        <v>2344</v>
      </c>
      <c r="L51" s="2345"/>
      <c r="O51" s="2362" t="s">
        <v>2374</v>
      </c>
      <c r="P51" s="2360" t="s">
        <v>2398</v>
      </c>
      <c r="Q51" s="2361">
        <f ca="1">C31</f>
        <v>0</v>
      </c>
      <c r="R51" s="2360" t="s">
        <v>2371</v>
      </c>
    </row>
    <row r="52" spans="1:18" s="2041" customFormat="1" ht="18" customHeight="1" thickBot="1">
      <c r="A52" s="2078"/>
      <c r="F52" s="2067"/>
      <c r="I52" s="2949" t="s">
        <v>2339</v>
      </c>
      <c r="J52" s="2953">
        <f>IF(J50="",J51,J50+J51-YEAR('数据-取费表'!B3))</f>
        <v>0</v>
      </c>
      <c r="K52" s="2944" t="s">
        <v>2345</v>
      </c>
      <c r="L52" s="2959">
        <f ca="1">C45</f>
        <v>0</v>
      </c>
      <c r="O52" s="2362" t="s">
        <v>2375</v>
      </c>
      <c r="P52" s="2360" t="s">
        <v>2376</v>
      </c>
      <c r="Q52" s="2363" t="e">
        <f ca="1">J59</f>
        <v>#VALUE!</v>
      </c>
      <c r="R52" s="2364"/>
    </row>
    <row r="53" spans="1:18" s="2041" customFormat="1" ht="18" customHeight="1" thickBot="1">
      <c r="A53" s="2078"/>
      <c r="F53" s="2067"/>
      <c r="I53" s="2950" t="s">
        <v>2412</v>
      </c>
      <c r="J53" s="2346"/>
      <c r="K53" s="2950" t="s">
        <v>2411</v>
      </c>
      <c r="L53" s="2346"/>
      <c r="O53" s="2362" t="s">
        <v>2377</v>
      </c>
      <c r="P53" s="2360" t="s">
        <v>2378</v>
      </c>
      <c r="Q53" s="2363">
        <f>J53</f>
        <v>0</v>
      </c>
      <c r="R53" s="2364"/>
    </row>
    <row r="54" spans="1:18" s="2041" customFormat="1" ht="29.25" thickBot="1">
      <c r="A54" s="2078"/>
      <c r="I54" s="2951" t="s">
        <v>2967</v>
      </c>
      <c r="J54" s="3028">
        <f ca="1">IF(M48="住宅",MAX(J52,L49-'数据-取费表'!B20),MIN(J52,L49-'数据-取费表'!B20))</f>
        <v>-3</v>
      </c>
      <c r="K54" s="3604"/>
      <c r="L54" s="3605"/>
      <c r="O54" s="2362" t="s">
        <v>2379</v>
      </c>
      <c r="P54" s="2360" t="s">
        <v>2380</v>
      </c>
      <c r="Q54" s="2361">
        <f ca="1">J54</f>
        <v>-3</v>
      </c>
      <c r="R54" s="2360" t="s">
        <v>2381</v>
      </c>
    </row>
    <row r="55" spans="1:18" s="2041" customFormat="1" ht="18" customHeight="1" thickBot="1">
      <c r="A55" s="2078"/>
      <c r="I55" s="29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0"/>
      <c r="K55" s="2961"/>
      <c r="O55" s="2359" t="s">
        <v>2382</v>
      </c>
      <c r="P55" s="2360" t="s">
        <v>2399</v>
      </c>
      <c r="Q55" s="2361">
        <f ca="1">Q49+Q50</f>
        <v>0</v>
      </c>
      <c r="R55" s="2364" t="s">
        <v>2383</v>
      </c>
    </row>
    <row r="56" spans="1:18" s="2041" customFormat="1" ht="16.5" thickBot="1">
      <c r="A56" s="2078"/>
      <c r="B56" s="2079"/>
      <c r="C56" s="2079"/>
      <c r="I56" s="2962" t="s">
        <v>2346</v>
      </c>
      <c r="J56" s="2927" t="e">
        <f ca="1">ROUND(IF(J48="钢混",J58/J51,1-(1-2%)*(J51-J58)/J51),3)</f>
        <v>#VALUE!</v>
      </c>
      <c r="K56" s="2963" t="s">
        <v>2347</v>
      </c>
      <c r="L56" s="2347"/>
      <c r="O56" s="2365" t="s">
        <v>2402</v>
      </c>
      <c r="P56" s="1575"/>
      <c r="Q56" s="1586"/>
      <c r="R56" s="1575"/>
    </row>
    <row r="57" spans="1:18" s="2041" customFormat="1" ht="43.5" thickBot="1">
      <c r="A57" s="2078"/>
      <c r="B57" s="2079"/>
      <c r="C57" s="2079"/>
      <c r="I57" s="2964" t="s">
        <v>2348</v>
      </c>
      <c r="J57" s="2974" t="s">
        <v>1675</v>
      </c>
      <c r="K57" s="2944" t="s">
        <v>2353</v>
      </c>
      <c r="L57" s="1890">
        <f ca="1">IF(L49&lt;J52,"——",L49-J52)</f>
        <v>0</v>
      </c>
      <c r="O57" s="2356" t="s">
        <v>2366</v>
      </c>
      <c r="P57" s="2357" t="s">
        <v>2367</v>
      </c>
      <c r="Q57" s="2358" t="s">
        <v>2368</v>
      </c>
      <c r="R57" s="2357" t="s">
        <v>2369</v>
      </c>
    </row>
    <row r="58" spans="1:18" s="2041" customFormat="1" ht="29.25" thickBot="1">
      <c r="A58" s="2078"/>
      <c r="B58" s="2079"/>
      <c r="C58" s="2079"/>
      <c r="I58" s="2965" t="s">
        <v>2349</v>
      </c>
      <c r="J58" s="2966" t="str">
        <f ca="1">IF(OR(M48="住宅",J52&lt;L49,J57="是"),"——",J52-L49)</f>
        <v>——</v>
      </c>
      <c r="K58" s="2944" t="s">
        <v>2354</v>
      </c>
      <c r="L58" s="1890">
        <f ca="1">IF(L49&lt;J52,"——",IF(L56="比较法",L50,IF(L56="基准地价",L51,L52)))</f>
        <v>0</v>
      </c>
      <c r="O58" s="2359" t="s">
        <v>2370</v>
      </c>
      <c r="P58" s="2360" t="s">
        <v>2396</v>
      </c>
      <c r="Q58" s="2361">
        <f ca="1">C41+J31</f>
        <v>0</v>
      </c>
      <c r="R58" s="2360" t="s">
        <v>2371</v>
      </c>
    </row>
    <row r="59" spans="1:18" s="2041" customFormat="1" ht="29.25" thickBot="1">
      <c r="A59" s="2078"/>
      <c r="B59" s="2079"/>
      <c r="C59" s="2079"/>
      <c r="I59" s="2965" t="s">
        <v>2350</v>
      </c>
      <c r="J59" s="2928" t="e">
        <f ca="1">IF(J56&lt;0.4,0.4,J56)</f>
        <v>#VALUE!</v>
      </c>
      <c r="K59" s="2944" t="s">
        <v>2355</v>
      </c>
      <c r="L59" s="1890">
        <f ca="1">IF(ISERROR(POWER(1+L53,L48-L49)*(POWER(1+L53,L49)-1)/(POWER(1+L53,L48)-1)),0,POWER(1+L53,L48-L49)*(POWER(1+L53,L49)-1)/(POWER(1+L53,L48)-1))</f>
        <v>0</v>
      </c>
      <c r="O59" s="2359" t="s">
        <v>2372</v>
      </c>
      <c r="P59" s="2360" t="s">
        <v>2403</v>
      </c>
      <c r="Q59" s="2361" t="e">
        <f ca="1">L61</f>
        <v>#DIV/0!</v>
      </c>
      <c r="R59" s="2364" t="s">
        <v>2405</v>
      </c>
    </row>
    <row r="60" spans="1:18" s="2041" customFormat="1" ht="29.25" thickBot="1">
      <c r="A60" s="2078"/>
      <c r="B60" s="2079"/>
      <c r="C60" s="2079"/>
      <c r="I60" s="2965" t="s">
        <v>2351</v>
      </c>
      <c r="J60" s="2966" t="str">
        <f ca="1">IF(OR(M48="住宅",J52&lt;L49,J57="是"),"——",ROUND(C30*J59,0))</f>
        <v>——</v>
      </c>
      <c r="K60" s="2944" t="s">
        <v>2356</v>
      </c>
      <c r="L60" s="1890">
        <f ca="1">IF(ISERROR(POWER(1+L53,L48-J52)*(POWER(1+L53,J52)-1)/(POWER(1+L53,L48)-1)),0,POWER(1+L53,L48-J52)*(POWER(1+L53,J52)-1)/(POWER(1+L53,L48)-1))</f>
        <v>0</v>
      </c>
      <c r="O60" s="2362" t="s">
        <v>2374</v>
      </c>
      <c r="P60" s="2360" t="s">
        <v>2404</v>
      </c>
      <c r="Q60" s="2361">
        <f>IF(L56="比较法",L50,IF(L56="基准地价",L51,0))</f>
        <v>0</v>
      </c>
      <c r="R60" s="2360" t="s">
        <v>2371</v>
      </c>
    </row>
    <row r="61" spans="1:18" s="2041" customFormat="1" ht="15.75" thickBot="1">
      <c r="A61" s="2078"/>
      <c r="B61" s="2079"/>
      <c r="C61" s="2079"/>
      <c r="I61" s="2967" t="s">
        <v>2352</v>
      </c>
      <c r="J61" s="2968" t="str">
        <f ca="1">IF(OR(M48="住宅",J52&lt;L49,J57="是"),"0",ROUND(J60/(1+J53)^J54,0))</f>
        <v>0</v>
      </c>
      <c r="K61" s="2969" t="s">
        <v>2357</v>
      </c>
      <c r="L61" s="2968" t="e">
        <f ca="1">IF(OR(M48="住宅",L49&lt;J52),0,ROUND(L58*(L59/L60-1),0))</f>
        <v>#DIV/0!</v>
      </c>
      <c r="O61" s="2362" t="s">
        <v>2375</v>
      </c>
      <c r="P61" s="2360" t="s">
        <v>2384</v>
      </c>
      <c r="Q61" s="2363">
        <f>L53</f>
        <v>0</v>
      </c>
      <c r="R61" s="2364"/>
    </row>
    <row r="62" spans="1:18" s="2041" customFormat="1" ht="20.25" thickBot="1">
      <c r="A62" s="2078"/>
      <c r="B62" s="2079"/>
      <c r="C62" s="2079"/>
      <c r="K62" s="2068"/>
      <c r="O62" s="2362" t="s">
        <v>2377</v>
      </c>
      <c r="P62" s="2360" t="s">
        <v>2385</v>
      </c>
      <c r="Q62" s="2361">
        <f ca="1">L59</f>
        <v>0</v>
      </c>
      <c r="R62" s="2364" t="s">
        <v>2386</v>
      </c>
    </row>
    <row r="63" spans="1:18" s="2041" customFormat="1" ht="20.25" thickBot="1">
      <c r="A63" s="2078"/>
      <c r="B63" s="2079"/>
      <c r="C63" s="2079"/>
      <c r="I63" s="2970" t="s">
        <v>2358</v>
      </c>
      <c r="J63" s="2971" t="s">
        <v>2359</v>
      </c>
      <c r="K63" s="2971" t="s">
        <v>2360</v>
      </c>
      <c r="L63" s="2971" t="s">
        <v>2341</v>
      </c>
      <c r="M63" s="2972" t="s">
        <v>2932</v>
      </c>
      <c r="O63" s="2362" t="s">
        <v>2379</v>
      </c>
      <c r="P63" s="2360" t="s">
        <v>2387</v>
      </c>
      <c r="Q63" s="2361">
        <f ca="1">L60</f>
        <v>0</v>
      </c>
      <c r="R63" s="2364" t="s">
        <v>2388</v>
      </c>
    </row>
    <row r="64" spans="1:18" s="2041" customFormat="1" ht="15.75" thickBot="1">
      <c r="A64" s="2078"/>
      <c r="B64" s="2079"/>
      <c r="C64" s="2079"/>
      <c r="I64" s="2970" t="s">
        <v>2361</v>
      </c>
      <c r="J64" s="2971">
        <v>70</v>
      </c>
      <c r="K64" s="2971">
        <v>50</v>
      </c>
      <c r="L64" s="2971">
        <v>80</v>
      </c>
      <c r="M64" s="2973">
        <v>0.02</v>
      </c>
      <c r="O64" s="2359" t="s">
        <v>2382</v>
      </c>
      <c r="P64" s="2360" t="s">
        <v>2399</v>
      </c>
      <c r="Q64" s="2361" t="e">
        <f ca="1">Q58+Q59</f>
        <v>#DIV/0!</v>
      </c>
      <c r="R64" s="2364" t="s">
        <v>2383</v>
      </c>
    </row>
    <row r="65" spans="1:18" s="2041" customFormat="1" ht="16.5" thickBot="1">
      <c r="A65" s="2078"/>
      <c r="B65" s="2079"/>
      <c r="C65" s="2079"/>
      <c r="I65" s="2970" t="s">
        <v>2362</v>
      </c>
      <c r="J65" s="2971">
        <v>50</v>
      </c>
      <c r="K65" s="2971">
        <v>35</v>
      </c>
      <c r="L65" s="2971">
        <v>60</v>
      </c>
      <c r="M65" s="845">
        <v>0</v>
      </c>
      <c r="O65" s="2365" t="s">
        <v>2406</v>
      </c>
      <c r="P65" s="1575"/>
      <c r="Q65" s="1586"/>
      <c r="R65" s="1575"/>
    </row>
    <row r="66" spans="1:18" s="2041" customFormat="1" ht="15.75" thickBot="1">
      <c r="A66" s="2078"/>
      <c r="B66" s="2079"/>
      <c r="C66" s="2079"/>
      <c r="I66" s="2970" t="s">
        <v>2363</v>
      </c>
      <c r="J66" s="2971">
        <v>40</v>
      </c>
      <c r="K66" s="2971">
        <v>30</v>
      </c>
      <c r="L66" s="2971">
        <v>50</v>
      </c>
      <c r="M66" s="2973">
        <v>0.02</v>
      </c>
      <c r="O66" s="2356" t="s">
        <v>2366</v>
      </c>
      <c r="P66" s="2357" t="s">
        <v>2367</v>
      </c>
      <c r="Q66" s="2358" t="s">
        <v>2368</v>
      </c>
      <c r="R66" s="2357" t="s">
        <v>2369</v>
      </c>
    </row>
    <row r="67" spans="1:18" s="2041" customFormat="1" ht="15.75" thickBot="1">
      <c r="A67" s="2078"/>
      <c r="B67" s="2079"/>
      <c r="C67" s="2079"/>
      <c r="K67" s="2068"/>
      <c r="O67" s="2359" t="s">
        <v>2370</v>
      </c>
      <c r="P67" s="2360" t="s">
        <v>2396</v>
      </c>
      <c r="Q67" s="2361">
        <f ca="1">C41+J31</f>
        <v>0</v>
      </c>
      <c r="R67" s="2360" t="s">
        <v>2371</v>
      </c>
    </row>
    <row r="68" spans="1:18" s="2041" customFormat="1" ht="20.25" thickBot="1">
      <c r="A68" s="2078"/>
      <c r="B68" s="2079"/>
      <c r="C68" s="2079"/>
      <c r="K68" s="2068"/>
      <c r="O68" s="2359" t="s">
        <v>2372</v>
      </c>
      <c r="P68" s="2360" t="s">
        <v>2403</v>
      </c>
      <c r="Q68" s="2361" t="e">
        <f ca="1">L61</f>
        <v>#DIV/0!</v>
      </c>
      <c r="R68" s="2364" t="s">
        <v>2405</v>
      </c>
    </row>
    <row r="69" spans="1:18" s="2041" customFormat="1" ht="21.75" thickBot="1">
      <c r="A69" s="2078"/>
      <c r="B69" s="2079"/>
      <c r="C69" s="2079"/>
      <c r="K69" s="2068"/>
      <c r="O69" s="2362" t="s">
        <v>2374</v>
      </c>
      <c r="P69" s="2360" t="s">
        <v>2404</v>
      </c>
      <c r="Q69" s="2366">
        <f ca="1">L52</f>
        <v>0</v>
      </c>
      <c r="R69" s="2367" t="s">
        <v>2407</v>
      </c>
    </row>
    <row r="70" spans="1:18" s="2041" customFormat="1" ht="20.25" thickBot="1">
      <c r="A70" s="2078"/>
      <c r="B70" s="2079"/>
      <c r="C70" s="2079"/>
      <c r="K70" s="2068"/>
      <c r="O70" s="2362" t="s">
        <v>2375</v>
      </c>
      <c r="P70" s="2368" t="s">
        <v>2389</v>
      </c>
      <c r="Q70" s="2361">
        <f ca="1">ROUND(Q71-Q72*Q73,0)</f>
        <v>0</v>
      </c>
      <c r="R70" s="2364"/>
    </row>
    <row r="71" spans="1:18" s="2041" customFormat="1" ht="15.75" thickBot="1">
      <c r="A71" s="2078"/>
      <c r="B71" s="2079"/>
      <c r="C71" s="2079"/>
      <c r="K71" s="2068"/>
      <c r="O71" s="2362" t="s">
        <v>2390</v>
      </c>
      <c r="P71" s="2368" t="s">
        <v>2391</v>
      </c>
      <c r="Q71" s="2361">
        <f ca="1">C42</f>
        <v>0</v>
      </c>
      <c r="R71" s="2360" t="s">
        <v>2371</v>
      </c>
    </row>
    <row r="72" spans="1:18" s="2041" customFormat="1" ht="15.75" thickBot="1">
      <c r="A72" s="2078"/>
      <c r="B72" s="2079"/>
      <c r="C72" s="2079"/>
      <c r="K72" s="2068"/>
      <c r="O72" s="2362" t="s">
        <v>2392</v>
      </c>
      <c r="P72" s="2368" t="s">
        <v>2393</v>
      </c>
      <c r="Q72" s="2361">
        <f ca="1">C15</f>
        <v>0</v>
      </c>
      <c r="R72" s="2360" t="s">
        <v>2371</v>
      </c>
    </row>
    <row r="73" spans="1:18" s="2041" customFormat="1" ht="15.75" thickBot="1">
      <c r="A73" s="2078"/>
      <c r="B73" s="2079"/>
      <c r="C73" s="2079"/>
      <c r="K73" s="2068"/>
      <c r="O73" s="2362" t="s">
        <v>2394</v>
      </c>
      <c r="P73" s="2368" t="s">
        <v>2395</v>
      </c>
      <c r="Q73" s="2363">
        <f ca="1">F43</f>
        <v>0</v>
      </c>
      <c r="R73" s="2364"/>
    </row>
    <row r="74" spans="1:18" s="2041" customFormat="1" ht="15.75" thickBot="1">
      <c r="A74" s="2078"/>
      <c r="B74" s="2079"/>
      <c r="C74" s="2079"/>
      <c r="K74" s="2068"/>
      <c r="O74" s="2362" t="s">
        <v>2377</v>
      </c>
      <c r="P74" s="2360" t="s">
        <v>2384</v>
      </c>
      <c r="Q74" s="2363">
        <f>L53</f>
        <v>0</v>
      </c>
      <c r="R74" s="2364"/>
    </row>
    <row r="75" spans="1:18" s="2041" customFormat="1" ht="20.25" thickBot="1">
      <c r="A75" s="2078"/>
      <c r="B75" s="2079"/>
      <c r="C75" s="2079"/>
      <c r="K75" s="2068"/>
      <c r="O75" s="2362" t="s">
        <v>2379</v>
      </c>
      <c r="P75" s="2360" t="s">
        <v>2385</v>
      </c>
      <c r="Q75" s="2361">
        <f ca="1">L59</f>
        <v>0</v>
      </c>
      <c r="R75" s="2364" t="s">
        <v>2386</v>
      </c>
    </row>
    <row r="76" spans="1:18" s="2041" customFormat="1" ht="20.25" thickBot="1">
      <c r="A76" s="2078"/>
      <c r="B76" s="2079"/>
      <c r="C76" s="2079"/>
      <c r="K76" s="2068"/>
      <c r="O76" s="2362" t="s">
        <v>2408</v>
      </c>
      <c r="P76" s="2360" t="s">
        <v>2387</v>
      </c>
      <c r="Q76" s="2361">
        <f ca="1">L60</f>
        <v>0</v>
      </c>
      <c r="R76" s="2364" t="s">
        <v>2388</v>
      </c>
    </row>
    <row r="77" spans="1:18" s="2041" customFormat="1" ht="15.75" thickBot="1">
      <c r="A77" s="2078"/>
      <c r="B77" s="2079"/>
      <c r="C77" s="2079"/>
      <c r="K77" s="2068"/>
      <c r="O77" s="2359" t="s">
        <v>2382</v>
      </c>
      <c r="P77" s="2360" t="s">
        <v>2399</v>
      </c>
      <c r="Q77" s="2361" t="e">
        <f ca="1">Q67+Q68</f>
        <v>#DIV/0!</v>
      </c>
      <c r="R77" s="2364" t="s">
        <v>2383</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2" t="s">
        <v>2462</v>
      </c>
      <c r="B1" s="3623"/>
      <c r="C1" s="3624"/>
      <c r="D1" s="3625">
        <f>SUM(I10,I15,I20,I21,I23)</f>
        <v>0</v>
      </c>
      <c r="E1" s="3625"/>
      <c r="F1" s="3625"/>
      <c r="G1" s="3625"/>
      <c r="H1" s="3625"/>
      <c r="I1" s="3626"/>
    </row>
    <row r="2" spans="1:9">
      <c r="A2" s="3612" t="s">
        <v>2463</v>
      </c>
      <c r="B2" s="3613" t="s">
        <v>2464</v>
      </c>
      <c r="C2" s="3613"/>
      <c r="D2" s="2468" t="s">
        <v>2465</v>
      </c>
      <c r="E2" s="2468" t="s">
        <v>2466</v>
      </c>
      <c r="F2" s="2468" t="s">
        <v>2467</v>
      </c>
      <c r="G2" s="2468" t="s">
        <v>2468</v>
      </c>
      <c r="H2" s="2468" t="s">
        <v>2469</v>
      </c>
      <c r="I2" s="2469" t="s">
        <v>2470</v>
      </c>
    </row>
    <row r="3" spans="1:9">
      <c r="A3" s="3612"/>
      <c r="B3" s="3613" t="s">
        <v>2471</v>
      </c>
      <c r="C3" s="3613"/>
      <c r="D3" s="2470"/>
      <c r="E3" s="2468"/>
      <c r="F3" s="2471"/>
      <c r="G3" s="2471"/>
      <c r="H3" s="2472"/>
      <c r="I3" s="2473">
        <f>ROUND(D3*E3*F3*G3*H3/10000,0)</f>
        <v>0</v>
      </c>
    </row>
    <row r="4" spans="1:9">
      <c r="A4" s="3612"/>
      <c r="B4" s="3613" t="s">
        <v>2472</v>
      </c>
      <c r="C4" s="3613"/>
      <c r="D4" s="2470"/>
      <c r="E4" s="2468"/>
      <c r="F4" s="2471"/>
      <c r="G4" s="2471"/>
      <c r="H4" s="2472"/>
      <c r="I4" s="2473">
        <f t="shared" ref="I4:I9" si="0">ROUND(D4*E4*F4*G4*H4/10000,0)</f>
        <v>0</v>
      </c>
    </row>
    <row r="5" spans="1:9">
      <c r="A5" s="3612"/>
      <c r="B5" s="3613" t="s">
        <v>2473</v>
      </c>
      <c r="C5" s="3613"/>
      <c r="D5" s="2470"/>
      <c r="E5" s="2468"/>
      <c r="F5" s="2471"/>
      <c r="G5" s="2471"/>
      <c r="H5" s="2472"/>
      <c r="I5" s="2473">
        <f t="shared" si="0"/>
        <v>0</v>
      </c>
    </row>
    <row r="6" spans="1:9">
      <c r="A6" s="3612"/>
      <c r="B6" s="3613" t="s">
        <v>2474</v>
      </c>
      <c r="C6" s="3613"/>
      <c r="D6" s="2470"/>
      <c r="E6" s="2468"/>
      <c r="F6" s="2471"/>
      <c r="G6" s="2471"/>
      <c r="H6" s="2472"/>
      <c r="I6" s="2473">
        <f t="shared" si="0"/>
        <v>0</v>
      </c>
    </row>
    <row r="7" spans="1:9">
      <c r="A7" s="3612"/>
      <c r="B7" s="3613" t="s">
        <v>2475</v>
      </c>
      <c r="C7" s="3613"/>
      <c r="D7" s="2470"/>
      <c r="E7" s="2468"/>
      <c r="F7" s="2471"/>
      <c r="G7" s="2471"/>
      <c r="H7" s="2472"/>
      <c r="I7" s="2473">
        <f t="shared" si="0"/>
        <v>0</v>
      </c>
    </row>
    <row r="8" spans="1:9">
      <c r="A8" s="3612"/>
      <c r="B8" s="3613" t="s">
        <v>2476</v>
      </c>
      <c r="C8" s="3613"/>
      <c r="D8" s="2470"/>
      <c r="E8" s="2468"/>
      <c r="F8" s="2471"/>
      <c r="G8" s="2471"/>
      <c r="H8" s="2472"/>
      <c r="I8" s="2473">
        <f t="shared" si="0"/>
        <v>0</v>
      </c>
    </row>
    <row r="9" spans="1:9">
      <c r="A9" s="3612"/>
      <c r="B9" s="3613" t="s">
        <v>2477</v>
      </c>
      <c r="C9" s="3613"/>
      <c r="D9" s="2470"/>
      <c r="E9" s="2468"/>
      <c r="F9" s="2471"/>
      <c r="G9" s="2471"/>
      <c r="H9" s="2472"/>
      <c r="I9" s="2473">
        <f t="shared" si="0"/>
        <v>0</v>
      </c>
    </row>
    <row r="10" spans="1:9">
      <c r="A10" s="3612"/>
      <c r="B10" s="3614" t="s">
        <v>2478</v>
      </c>
      <c r="C10" s="3614"/>
      <c r="D10" s="2474">
        <v>527</v>
      </c>
      <c r="E10" s="2474" t="e">
        <f>ROUND(D1*10000/D10/H9,0)</f>
        <v>#DIV/0!</v>
      </c>
      <c r="F10" s="2475"/>
      <c r="G10" s="2475"/>
      <c r="H10" s="2476"/>
      <c r="I10" s="2477">
        <f>SUM(I3:I9)</f>
        <v>0</v>
      </c>
    </row>
    <row r="11" spans="1:9" ht="14.25">
      <c r="A11" s="3612" t="s">
        <v>2479</v>
      </c>
      <c r="B11" s="3613" t="s">
        <v>2480</v>
      </c>
      <c r="C11" s="3613"/>
      <c r="D11" s="2470" t="s">
        <v>2481</v>
      </c>
      <c r="E11" s="2470" t="s">
        <v>2482</v>
      </c>
      <c r="F11" s="2471" t="s">
        <v>2483</v>
      </c>
      <c r="G11" s="2471" t="s">
        <v>2484</v>
      </c>
      <c r="H11" s="2478" t="s">
        <v>2485</v>
      </c>
      <c r="I11" s="2469" t="s">
        <v>2486</v>
      </c>
    </row>
    <row r="12" spans="1:9">
      <c r="A12" s="3612"/>
      <c r="B12" s="3613" t="s">
        <v>2487</v>
      </c>
      <c r="C12" s="3613"/>
      <c r="D12" s="2470"/>
      <c r="E12" s="2470"/>
      <c r="F12" s="2471"/>
      <c r="G12" s="2472"/>
      <c r="H12" s="2479"/>
      <c r="I12" s="2469">
        <f>ROUND(D12*E12*F12*G12/10000,0)</f>
        <v>0</v>
      </c>
    </row>
    <row r="13" spans="1:9">
      <c r="A13" s="3612"/>
      <c r="B13" s="3613" t="s">
        <v>2488</v>
      </c>
      <c r="C13" s="3613"/>
      <c r="D13" s="2470"/>
      <c r="E13" s="2470"/>
      <c r="F13" s="2471"/>
      <c r="G13" s="2472"/>
      <c r="H13" s="2479"/>
      <c r="I13" s="2469">
        <f>ROUND(D13*E13*F13*G13/10000,0)</f>
        <v>0</v>
      </c>
    </row>
    <row r="14" spans="1:9">
      <c r="A14" s="3612"/>
      <c r="B14" s="3613" t="s">
        <v>2489</v>
      </c>
      <c r="C14" s="3613"/>
      <c r="D14" s="2470"/>
      <c r="E14" s="2470"/>
      <c r="F14" s="2471"/>
      <c r="G14" s="2472"/>
      <c r="H14" s="2479"/>
      <c r="I14" s="2469">
        <f>ROUND(D14*E14*F14*G14/10000,0)</f>
        <v>0</v>
      </c>
    </row>
    <row r="15" spans="1:9">
      <c r="A15" s="3612"/>
      <c r="B15" s="3614" t="s">
        <v>2478</v>
      </c>
      <c r="C15" s="3614"/>
      <c r="D15" s="2474"/>
      <c r="E15" s="2474">
        <f>SUM(E12:E14)</f>
        <v>0</v>
      </c>
      <c r="F15" s="2475"/>
      <c r="G15" s="2472"/>
      <c r="H15" s="2479"/>
      <c r="I15" s="2480">
        <f>SUM(I12:I14)</f>
        <v>0</v>
      </c>
    </row>
    <row r="16" spans="1:9" ht="24">
      <c r="A16" s="3612" t="s">
        <v>2490</v>
      </c>
      <c r="B16" s="3613" t="s">
        <v>2491</v>
      </c>
      <c r="C16" s="3613"/>
      <c r="D16" s="2470" t="s">
        <v>2492</v>
      </c>
      <c r="E16" s="2481" t="s">
        <v>2493</v>
      </c>
      <c r="F16" s="2471" t="s">
        <v>2494</v>
      </c>
      <c r="G16" s="2472" t="s">
        <v>2484</v>
      </c>
      <c r="H16" s="2478" t="s">
        <v>2485</v>
      </c>
      <c r="I16" s="2469" t="s">
        <v>2486</v>
      </c>
    </row>
    <row r="17" spans="1:9" ht="14.25">
      <c r="A17" s="3612"/>
      <c r="B17" s="3613" t="s">
        <v>2495</v>
      </c>
      <c r="C17" s="3613"/>
      <c r="D17" s="2470"/>
      <c r="E17" s="2470"/>
      <c r="F17" s="2471"/>
      <c r="G17" s="2472"/>
      <c r="H17" s="2482"/>
      <c r="I17" s="2483">
        <f>ROUND(D17*E17*F17*G17/10000,0)</f>
        <v>0</v>
      </c>
    </row>
    <row r="18" spans="1:9" ht="14.25">
      <c r="A18" s="3612"/>
      <c r="B18" s="3613" t="s">
        <v>2496</v>
      </c>
      <c r="C18" s="3613"/>
      <c r="D18" s="2470"/>
      <c r="E18" s="2470"/>
      <c r="F18" s="2471"/>
      <c r="G18" s="2472"/>
      <c r="H18" s="2482"/>
      <c r="I18" s="2483">
        <f>ROUND(D18*E18*F18*G18/10000,0)</f>
        <v>0</v>
      </c>
    </row>
    <row r="19" spans="1:9" ht="14.25">
      <c r="A19" s="3612"/>
      <c r="B19" s="3613" t="s">
        <v>2497</v>
      </c>
      <c r="C19" s="3613"/>
      <c r="D19" s="2470"/>
      <c r="E19" s="2470"/>
      <c r="F19" s="2471"/>
      <c r="G19" s="2472"/>
      <c r="H19" s="2482"/>
      <c r="I19" s="2483">
        <f>ROUND(D19*E19*F19*G19/10000,0)</f>
        <v>0</v>
      </c>
    </row>
    <row r="20" spans="1:9">
      <c r="A20" s="3612"/>
      <c r="B20" s="3614" t="s">
        <v>2478</v>
      </c>
      <c r="C20" s="3614"/>
      <c r="D20" s="2474">
        <f>SUM(D17:D19)</f>
        <v>0</v>
      </c>
      <c r="E20" s="2474"/>
      <c r="F20" s="2475"/>
      <c r="G20" s="2472"/>
      <c r="H20" s="2479"/>
      <c r="I20" s="2480">
        <f>SUM(I17:I19)</f>
        <v>0</v>
      </c>
    </row>
    <row r="21" spans="1:9">
      <c r="A21" s="3612" t="s">
        <v>2498</v>
      </c>
      <c r="B21" s="3615"/>
      <c r="C21" s="3615"/>
      <c r="D21" s="3615"/>
      <c r="E21" s="3615"/>
      <c r="F21" s="3615"/>
      <c r="G21" s="3615"/>
      <c r="H21" s="2484">
        <v>0.1</v>
      </c>
      <c r="I21" s="2477">
        <f>ROUND(I10*H21,0)</f>
        <v>0</v>
      </c>
    </row>
    <row r="22" spans="1:9" ht="14.25">
      <c r="A22" s="3616" t="s">
        <v>2499</v>
      </c>
      <c r="B22" s="3617"/>
      <c r="C22" s="3618"/>
      <c r="D22" s="2485" t="s">
        <v>2500</v>
      </c>
      <c r="E22" s="2485" t="s">
        <v>2501</v>
      </c>
      <c r="F22" s="2486" t="s">
        <v>2502</v>
      </c>
      <c r="G22" s="2486" t="s">
        <v>2503</v>
      </c>
      <c r="H22" s="2478" t="s">
        <v>2504</v>
      </c>
      <c r="I22" s="2469" t="s">
        <v>2505</v>
      </c>
    </row>
    <row r="23" spans="1:9" ht="14.25" thickBot="1">
      <c r="A23" s="3619"/>
      <c r="B23" s="3620"/>
      <c r="C23" s="3621"/>
      <c r="D23" s="2487"/>
      <c r="E23" s="2487"/>
      <c r="F23" s="2487"/>
      <c r="G23" s="2488"/>
      <c r="H23" s="2489"/>
      <c r="I23" s="2490">
        <f>ROUND(E23*D23*F23*(1-G23)/10000,0)</f>
        <v>0</v>
      </c>
    </row>
    <row r="26" spans="1:9">
      <c r="A26" s="2491" t="s">
        <v>2506</v>
      </c>
      <c r="B26" s="2491"/>
      <c r="C26" s="2491"/>
      <c r="D26" s="2491"/>
      <c r="E26" s="3609">
        <f>C27-C30-C31-C32</f>
        <v>0</v>
      </c>
      <c r="F26" s="3609"/>
      <c r="G26" s="3609"/>
      <c r="H26" s="2875" t="s">
        <v>2833</v>
      </c>
    </row>
    <row r="27" spans="1:9">
      <c r="A27" s="2492">
        <v>1</v>
      </c>
      <c r="B27" s="2493" t="s">
        <v>2507</v>
      </c>
      <c r="C27" s="2493"/>
      <c r="D27" s="2493"/>
      <c r="E27" s="3610"/>
      <c r="F27" s="3610"/>
      <c r="G27" s="3610"/>
    </row>
    <row r="28" spans="1:9">
      <c r="A28" s="2494" t="s">
        <v>2508</v>
      </c>
      <c r="B28" s="2493" t="s">
        <v>2509</v>
      </c>
      <c r="C28" s="2493"/>
      <c r="D28" s="2493"/>
      <c r="E28" s="3610"/>
      <c r="F28" s="3610"/>
      <c r="G28" s="3610"/>
    </row>
    <row r="29" spans="1:9">
      <c r="A29" s="2494" t="s">
        <v>2510</v>
      </c>
      <c r="B29" s="2493" t="s">
        <v>2451</v>
      </c>
      <c r="C29" s="2493"/>
      <c r="D29" s="2493"/>
      <c r="E29" s="2493" t="s">
        <v>2511</v>
      </c>
      <c r="F29" s="2493"/>
      <c r="G29" s="2493"/>
    </row>
    <row r="30" spans="1:9">
      <c r="A30" s="2492">
        <v>2</v>
      </c>
      <c r="B30" s="2493" t="s">
        <v>2512</v>
      </c>
      <c r="C30" s="2493">
        <f>C27*D30</f>
        <v>0</v>
      </c>
      <c r="D30" s="2495">
        <v>0.2</v>
      </c>
      <c r="E30" s="2493" t="s">
        <v>2513</v>
      </c>
      <c r="F30" s="2493"/>
      <c r="G30" s="2493"/>
    </row>
    <row r="31" spans="1:9">
      <c r="A31" s="2492">
        <v>3</v>
      </c>
      <c r="B31" s="2493" t="s">
        <v>2514</v>
      </c>
      <c r="C31" s="2493">
        <f>C25*D31</f>
        <v>0</v>
      </c>
      <c r="D31" s="2495">
        <v>0.15</v>
      </c>
      <c r="E31" s="2493" t="s">
        <v>2515</v>
      </c>
      <c r="F31" s="2493"/>
      <c r="G31" s="2493"/>
    </row>
    <row r="32" spans="1:9">
      <c r="A32" s="2492">
        <v>4</v>
      </c>
      <c r="B32" s="2493" t="s">
        <v>2516</v>
      </c>
      <c r="C32" s="2493">
        <f>C27*D32</f>
        <v>0</v>
      </c>
      <c r="D32" s="2495">
        <v>0.05</v>
      </c>
      <c r="E32" s="3611"/>
      <c r="F32" s="3611"/>
      <c r="G32" s="3611"/>
    </row>
    <row r="33" spans="1:7" hidden="1">
      <c r="A33" s="3606" t="s">
        <v>2517</v>
      </c>
      <c r="B33" s="3607"/>
      <c r="C33" s="3607"/>
      <c r="D33" s="3608"/>
      <c r="E33" s="3609"/>
      <c r="F33" s="3609"/>
      <c r="G33" s="3609"/>
    </row>
    <row r="34" spans="1:7" hidden="1">
      <c r="A34" s="2496">
        <v>1</v>
      </c>
      <c r="B34" s="2493" t="s">
        <v>2518</v>
      </c>
      <c r="C34" s="2493"/>
      <c r="D34" s="2493"/>
      <c r="E34" s="3610"/>
      <c r="F34" s="3610"/>
      <c r="G34" s="3610"/>
    </row>
    <row r="35" spans="1:7" hidden="1">
      <c r="A35" s="2496">
        <v>2</v>
      </c>
      <c r="B35" s="2493" t="s">
        <v>2519</v>
      </c>
      <c r="C35" s="2493"/>
      <c r="D35" s="2493"/>
      <c r="E35" s="3610"/>
      <c r="F35" s="3610"/>
      <c r="G35" s="3610"/>
    </row>
    <row r="36" spans="1:7" hidden="1">
      <c r="A36" s="2496">
        <v>3</v>
      </c>
      <c r="B36" s="2493" t="s">
        <v>2520</v>
      </c>
      <c r="C36" s="2493"/>
      <c r="D36" s="2493"/>
      <c r="E36" s="3610"/>
      <c r="F36" s="3610"/>
      <c r="G36" s="3610"/>
    </row>
    <row r="37" spans="1:7" hidden="1">
      <c r="A37" s="2496">
        <v>4</v>
      </c>
      <c r="B37" s="2493" t="s">
        <v>2521</v>
      </c>
      <c r="C37" s="2493"/>
      <c r="D37" s="2493"/>
      <c r="E37" s="3610"/>
      <c r="F37" s="3610"/>
      <c r="G37" s="3610"/>
    </row>
    <row r="38" spans="1:7" hidden="1">
      <c r="A38" s="3606" t="s">
        <v>2522</v>
      </c>
      <c r="B38" s="3607"/>
      <c r="C38" s="3607"/>
      <c r="D38" s="3608"/>
      <c r="E38" s="3609"/>
      <c r="F38" s="3609"/>
      <c r="G38" s="36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2431</v>
      </c>
      <c r="B8" s="2433" t="s">
        <v>2433</v>
      </c>
      <c r="C8" s="2434"/>
      <c r="D8" s="748"/>
      <c r="E8" s="749"/>
      <c r="F8" s="749"/>
      <c r="G8" s="750"/>
    </row>
    <row r="9" spans="1:25" s="2165" customFormat="1" ht="13.5" customHeight="1">
      <c r="A9" s="2430" t="s">
        <v>2432</v>
      </c>
      <c r="B9" s="2433" t="s">
        <v>2434</v>
      </c>
      <c r="C9" s="2434"/>
      <c r="D9" s="748"/>
      <c r="E9" s="749"/>
      <c r="F9" s="749"/>
      <c r="G9" s="750"/>
    </row>
    <row r="10" spans="1:25" s="2165" customFormat="1" ht="36">
      <c r="A10" s="2430">
        <v>2</v>
      </c>
      <c r="B10" s="747" t="s">
        <v>613</v>
      </c>
      <c r="C10" s="748">
        <f>C11+C14+C15</f>
        <v>0</v>
      </c>
      <c r="D10" s="759">
        <f>'数据-汇总表'!E3</f>
        <v>472085.52</v>
      </c>
      <c r="E10" s="748">
        <f>'数据-取费表'!B31</f>
        <v>180</v>
      </c>
      <c r="F10" s="760"/>
      <c r="G10" s="758" t="s">
        <v>614</v>
      </c>
    </row>
    <row r="11" spans="1:25" s="2165" customFormat="1" ht="13.5" customHeight="1">
      <c r="A11" s="2430" t="s">
        <v>2431</v>
      </c>
      <c r="B11" s="751" t="s">
        <v>610</v>
      </c>
      <c r="C11" s="752">
        <f>'数据-取费表'!B29</f>
        <v>0</v>
      </c>
      <c r="D11" s="753"/>
      <c r="E11" s="752"/>
      <c r="F11" s="754"/>
      <c r="G11" s="2439" t="s">
        <v>2442</v>
      </c>
    </row>
    <row r="12" spans="1:25" s="2165" customFormat="1" ht="13.5" customHeight="1">
      <c r="A12" s="2437" t="s">
        <v>2439</v>
      </c>
      <c r="B12" s="755" t="s">
        <v>611</v>
      </c>
      <c r="C12" s="756">
        <f>ROUND(D12*E12/10000,0)</f>
        <v>2705</v>
      </c>
      <c r="D12" s="757">
        <f>'数据-汇总表'!E5</f>
        <v>257657.15</v>
      </c>
      <c r="E12" s="756">
        <f>'数据-取费表'!B27</f>
        <v>105</v>
      </c>
      <c r="F12" s="754"/>
      <c r="G12" s="758"/>
    </row>
    <row r="13" spans="1:25" s="2165" customFormat="1" ht="13.5" customHeight="1">
      <c r="A13" s="2437" t="s">
        <v>2438</v>
      </c>
      <c r="B13" s="755" t="s">
        <v>612</v>
      </c>
      <c r="C13" s="756">
        <f>ROUND(D13*E13/10000,0)</f>
        <v>2251</v>
      </c>
      <c r="D13" s="757">
        <f>'数据-汇总表'!E6</f>
        <v>214428.37000000002</v>
      </c>
      <c r="E13" s="756">
        <f>'数据-取费表'!B28</f>
        <v>105</v>
      </c>
      <c r="F13" s="754"/>
      <c r="G13" s="758"/>
    </row>
    <row r="14" spans="1:25" s="2165" customFormat="1" ht="13.5" customHeight="1">
      <c r="A14" s="2430" t="s">
        <v>2432</v>
      </c>
      <c r="B14" s="2436" t="s">
        <v>2435</v>
      </c>
      <c r="C14" s="2434"/>
      <c r="D14" s="757"/>
      <c r="E14" s="756"/>
      <c r="F14" s="2435"/>
      <c r="G14" s="2438" t="s">
        <v>2440</v>
      </c>
    </row>
    <row r="15" spans="1:25" s="2165" customFormat="1" ht="13.5" customHeight="1">
      <c r="A15" s="2430" t="s">
        <v>2437</v>
      </c>
      <c r="B15" s="2436" t="s">
        <v>2436</v>
      </c>
      <c r="C15" s="2434"/>
      <c r="D15" s="757"/>
      <c r="E15" s="756"/>
      <c r="F15" s="2435"/>
      <c r="G15" s="2438" t="s">
        <v>2441</v>
      </c>
    </row>
    <row r="16" spans="1:25" s="2166" customFormat="1" ht="48">
      <c r="A16" s="2430">
        <v>3</v>
      </c>
      <c r="B16" s="747" t="s">
        <v>615</v>
      </c>
      <c r="C16" s="2434"/>
      <c r="D16" s="759"/>
      <c r="E16" s="748"/>
      <c r="F16" s="760"/>
      <c r="G16" s="758" t="s">
        <v>2443</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0.13</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0.88900000000000001</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3" sqref="K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3017</v>
      </c>
      <c r="E1" s="2587"/>
      <c r="F1" s="2643" t="s">
        <v>3283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281634</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14409</v>
      </c>
      <c r="C3" s="851" t="s">
        <v>722</v>
      </c>
      <c r="D3" s="850">
        <f>SUMIF('数据-汇总表'!$C19:$C33,D1,'数据-汇总表'!$E19:$E33)</f>
        <v>195457.31999999998</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532" t="s">
        <v>522</v>
      </c>
      <c r="D4" s="3533"/>
      <c r="E4" s="3556" t="s">
        <v>523</v>
      </c>
      <c r="F4" s="3557"/>
      <c r="G4" s="3532" t="s">
        <v>524</v>
      </c>
      <c r="H4" s="3533"/>
      <c r="I4" s="3532" t="s">
        <v>525</v>
      </c>
      <c r="J4" s="3533"/>
      <c r="K4" s="852" t="s">
        <v>526</v>
      </c>
      <c r="L4" s="2115"/>
      <c r="M4" s="2116"/>
      <c r="N4" s="2116"/>
      <c r="O4" s="2116"/>
      <c r="P4" s="3534" t="s">
        <v>527</v>
      </c>
      <c r="Q4" s="3535"/>
      <c r="R4" s="3520" t="s">
        <v>523</v>
      </c>
      <c r="S4" s="3521"/>
      <c r="T4" s="3520" t="s">
        <v>524</v>
      </c>
      <c r="U4" s="3521"/>
      <c r="V4" s="3540" t="s">
        <v>525</v>
      </c>
      <c r="W4" s="3540"/>
      <c r="X4" s="1550"/>
      <c r="Y4" s="3520" t="s">
        <v>527</v>
      </c>
      <c r="Z4" s="3521"/>
      <c r="AA4" s="3515" t="s">
        <v>523</v>
      </c>
      <c r="AB4" s="3515" t="s">
        <v>524</v>
      </c>
      <c r="AC4" s="3515" t="s">
        <v>525</v>
      </c>
    </row>
    <row r="5" spans="1:29" ht="15">
      <c r="A5" s="514"/>
      <c r="B5" s="515"/>
      <c r="C5" s="3543" t="s">
        <v>2919</v>
      </c>
      <c r="D5" s="3544"/>
      <c r="E5" s="3627" t="s">
        <v>3273</v>
      </c>
      <c r="F5" s="3559"/>
      <c r="G5" s="3628" t="s">
        <v>3280</v>
      </c>
      <c r="H5" s="3544"/>
      <c r="I5" s="3628" t="s">
        <v>3279</v>
      </c>
      <c r="J5" s="3544"/>
      <c r="K5" s="853"/>
      <c r="L5" s="2115"/>
      <c r="M5" s="2116"/>
      <c r="N5" s="2116"/>
      <c r="O5" s="2116"/>
      <c r="P5" s="3536"/>
      <c r="Q5" s="3537"/>
      <c r="R5" s="3522"/>
      <c r="S5" s="3523"/>
      <c r="T5" s="3522"/>
      <c r="U5" s="3523"/>
      <c r="V5" s="3540"/>
      <c r="W5" s="3540"/>
      <c r="X5" s="1550"/>
      <c r="Y5" s="3522"/>
      <c r="Z5" s="3523"/>
      <c r="AA5" s="3516"/>
      <c r="AB5" s="3516"/>
      <c r="AC5" s="3516"/>
    </row>
    <row r="6" spans="1:29" ht="15.75" thickBot="1">
      <c r="A6" s="516"/>
      <c r="B6" s="517"/>
      <c r="C6" s="3541" t="s">
        <v>2923</v>
      </c>
      <c r="D6" s="3542"/>
      <c r="E6" s="3560" t="s">
        <v>2923</v>
      </c>
      <c r="F6" s="3561"/>
      <c r="G6" s="3541" t="s">
        <v>2923</v>
      </c>
      <c r="H6" s="3542"/>
      <c r="I6" s="3541" t="s">
        <v>2923</v>
      </c>
      <c r="J6" s="3542"/>
      <c r="K6" s="853" t="s">
        <v>528</v>
      </c>
      <c r="L6" s="2115"/>
      <c r="M6" s="2116"/>
      <c r="N6" s="2116"/>
      <c r="O6" s="2116"/>
      <c r="P6" s="3538"/>
      <c r="Q6" s="3539"/>
      <c r="R6" s="3522"/>
      <c r="S6" s="3523"/>
      <c r="T6" s="3524"/>
      <c r="U6" s="3525"/>
      <c r="V6" s="3540"/>
      <c r="W6" s="3540"/>
      <c r="X6" s="1550"/>
      <c r="Y6" s="3524"/>
      <c r="Z6" s="3525"/>
      <c r="AA6" s="3517"/>
      <c r="AB6" s="3517"/>
      <c r="AC6" s="3517"/>
    </row>
    <row r="7" spans="1:29" s="1214" customFormat="1" ht="15.75" thickBot="1">
      <c r="A7" s="2748"/>
      <c r="B7" s="2755" t="s">
        <v>529</v>
      </c>
      <c r="C7" s="518">
        <f>'数据-取费表'!B2</f>
        <v>44050</v>
      </c>
      <c r="D7" s="519">
        <v>100</v>
      </c>
      <c r="E7" s="520">
        <f>C7</f>
        <v>44050</v>
      </c>
      <c r="F7" s="521">
        <f>SUMIF(58:58,YEAR(E7)&amp;"-"&amp;MONTH(E7),59:59)</f>
        <v>100</v>
      </c>
      <c r="G7" s="522">
        <f>C7</f>
        <v>44050</v>
      </c>
      <c r="H7" s="519">
        <f>SUMIF(58:58,YEAR(G7)&amp;"-"&amp;MONTH(G7),59:59)</f>
        <v>100</v>
      </c>
      <c r="I7" s="522">
        <f>C7</f>
        <v>44050</v>
      </c>
      <c r="J7" s="519">
        <f>SUMIF(58:58,YEAR(I7)&amp;"-"&amp;MONTH(I7),59:59)</f>
        <v>100</v>
      </c>
      <c r="K7" s="854"/>
      <c r="L7" s="2117"/>
      <c r="M7" s="2118"/>
      <c r="N7" s="2118"/>
      <c r="O7" s="2118"/>
      <c r="P7" s="3518" t="s">
        <v>530</v>
      </c>
      <c r="Q7" s="3527"/>
      <c r="R7" s="1551" t="s">
        <v>13</v>
      </c>
      <c r="S7" s="1552">
        <f t="shared" ref="S7:S15" si="0">F7</f>
        <v>100</v>
      </c>
      <c r="T7" s="1551" t="s">
        <v>13</v>
      </c>
      <c r="U7" s="1552">
        <f t="shared" ref="U7:U15" si="1">H7</f>
        <v>100</v>
      </c>
      <c r="V7" s="1551" t="s">
        <v>13</v>
      </c>
      <c r="W7" s="1552">
        <f t="shared" ref="W7:W15" si="2">J7</f>
        <v>100</v>
      </c>
      <c r="X7" s="1553"/>
      <c r="Y7" s="3518" t="s">
        <v>530</v>
      </c>
      <c r="Z7" s="3519"/>
      <c r="AA7" s="1554">
        <f>D7/F7</f>
        <v>1</v>
      </c>
      <c r="AB7" s="1554">
        <f>D7/H7</f>
        <v>1</v>
      </c>
      <c r="AC7" s="1554">
        <f>D7/J7</f>
        <v>1</v>
      </c>
    </row>
    <row r="8" spans="1:29" s="1214" customFormat="1" ht="15.75" thickBot="1">
      <c r="A8" s="2749"/>
      <c r="B8" s="2756" t="s">
        <v>531</v>
      </c>
      <c r="C8" s="524" t="s">
        <v>576</v>
      </c>
      <c r="D8" s="519">
        <v>100</v>
      </c>
      <c r="E8" s="855" t="s">
        <v>3034</v>
      </c>
      <c r="F8" s="521">
        <f>SUMIF(61:61,E8,62:62)-SUMIF(61:61,C8,62:62)+100</f>
        <v>100</v>
      </c>
      <c r="G8" s="524" t="s">
        <v>3034</v>
      </c>
      <c r="H8" s="519">
        <f>SUMIF(61:61,G8,62:62)-SUMIF(61:61,C8,62:62)+100</f>
        <v>100</v>
      </c>
      <c r="I8" s="855" t="s">
        <v>3034</v>
      </c>
      <c r="J8" s="519">
        <f>SUMIF(61:61,I8,62:62)-SUMIF(61:61,C8,62:62)+100</f>
        <v>100</v>
      </c>
      <c r="K8" s="854"/>
      <c r="L8" s="2117"/>
      <c r="M8" s="2118"/>
      <c r="N8" s="2118"/>
      <c r="O8" s="2118"/>
      <c r="P8" s="3518" t="s">
        <v>533</v>
      </c>
      <c r="Q8" s="3519"/>
      <c r="R8" s="1551" t="s">
        <v>13</v>
      </c>
      <c r="S8" s="1552">
        <f t="shared" si="0"/>
        <v>100</v>
      </c>
      <c r="T8" s="1551" t="s">
        <v>13</v>
      </c>
      <c r="U8" s="1552">
        <f t="shared" si="1"/>
        <v>100</v>
      </c>
      <c r="V8" s="1551" t="s">
        <v>13</v>
      </c>
      <c r="W8" s="1552">
        <f t="shared" si="2"/>
        <v>100</v>
      </c>
      <c r="X8" s="1553"/>
      <c r="Y8" s="3518" t="s">
        <v>533</v>
      </c>
      <c r="Z8" s="3519"/>
      <c r="AA8" s="1554">
        <f t="shared" ref="AA8:AA46" si="3">D8/F8</f>
        <v>1</v>
      </c>
      <c r="AB8" s="1554">
        <f t="shared" ref="AB8:AB46" si="4">D8/H8</f>
        <v>1</v>
      </c>
      <c r="AC8" s="1554">
        <f t="shared" ref="AC8:AC46" si="5">D8/J8</f>
        <v>1</v>
      </c>
    </row>
    <row r="9" spans="1:29" s="1214" customFormat="1" ht="15">
      <c r="A9" s="2750"/>
      <c r="B9" s="2757" t="s">
        <v>2746</v>
      </c>
      <c r="C9" s="3199" t="s">
        <v>3274</v>
      </c>
      <c r="D9" s="253">
        <v>100</v>
      </c>
      <c r="E9" s="857" t="s">
        <v>920</v>
      </c>
      <c r="F9" s="858">
        <f>SUMIF(63:63,E9,64:64)-SUMIF(63:63,C9,64:64)+100</f>
        <v>100</v>
      </c>
      <c r="G9" s="859" t="s">
        <v>920</v>
      </c>
      <c r="H9" s="253">
        <f>SUMIF(63:63,G9,64:64)-SUMIF(63:63,C9,64:64)+100</f>
        <v>100</v>
      </c>
      <c r="I9" s="859" t="s">
        <v>920</v>
      </c>
      <c r="J9" s="253">
        <f>SUMIF(63:63,I9,64:64)-SUMIF(63:63,C9,64:64)+100</f>
        <v>100</v>
      </c>
      <c r="K9" s="854"/>
      <c r="L9" s="2117"/>
      <c r="M9" s="2118"/>
      <c r="N9" s="2118"/>
      <c r="O9" s="2119"/>
      <c r="P9" s="3526" t="s">
        <v>535</v>
      </c>
      <c r="Q9" s="1145" t="str">
        <f t="shared" ref="Q9:Q15" si="6">B9</f>
        <v>用途</v>
      </c>
      <c r="R9" s="1551" t="s">
        <v>8</v>
      </c>
      <c r="S9" s="1552">
        <f t="shared" si="0"/>
        <v>100</v>
      </c>
      <c r="T9" s="1551" t="s">
        <v>8</v>
      </c>
      <c r="U9" s="1552">
        <f t="shared" si="1"/>
        <v>100</v>
      </c>
      <c r="V9" s="1551" t="s">
        <v>8</v>
      </c>
      <c r="W9" s="1552">
        <f t="shared" si="2"/>
        <v>100</v>
      </c>
      <c r="X9" s="1553"/>
      <c r="Y9" s="3480" t="s">
        <v>536</v>
      </c>
      <c r="Z9" s="1144" t="str">
        <f t="shared" ref="Z9:Z15" si="7">Q9</f>
        <v>用途</v>
      </c>
      <c r="AA9" s="1554">
        <f t="shared" si="3"/>
        <v>1</v>
      </c>
      <c r="AB9" s="1554">
        <f t="shared" si="4"/>
        <v>1</v>
      </c>
      <c r="AC9" s="1554">
        <f t="shared" si="5"/>
        <v>1</v>
      </c>
    </row>
    <row r="10" spans="1:29" s="1332" customFormat="1" ht="27">
      <c r="A10" s="2751"/>
      <c r="B10" s="2756" t="s">
        <v>2747</v>
      </c>
      <c r="C10" s="860" t="s">
        <v>3275</v>
      </c>
      <c r="D10" s="254">
        <v>100</v>
      </c>
      <c r="E10" s="861" t="s">
        <v>3275</v>
      </c>
      <c r="F10" s="862">
        <f>SUMIF(65:65,E10,66:66)-SUMIF(65:65,C10,66:66)+100</f>
        <v>100</v>
      </c>
      <c r="G10" s="860" t="s">
        <v>3275</v>
      </c>
      <c r="H10" s="254">
        <f>SUMIF(65:65,G10,66:66)-SUMIF(65:65,C10,66:66)+100</f>
        <v>100</v>
      </c>
      <c r="I10" s="860" t="s">
        <v>3275</v>
      </c>
      <c r="J10" s="254">
        <f>SUMIF(65:65,I10,66:66)-SUMIF(65:65,C10,66:66)+100</f>
        <v>100</v>
      </c>
      <c r="K10" s="863">
        <v>2</v>
      </c>
      <c r="L10" s="2120"/>
      <c r="M10" s="2160"/>
      <c r="N10" s="2160"/>
      <c r="O10" s="2121"/>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2"/>
      <c r="B11" s="2756" t="s">
        <v>2748</v>
      </c>
      <c r="C11" s="532">
        <v>1.87</v>
      </c>
      <c r="D11" s="254">
        <v>100</v>
      </c>
      <c r="E11" s="533">
        <v>1.4</v>
      </c>
      <c r="F11" s="862">
        <f>LOOKUP(E11,68:68,69:69)-LOOKUP(C11,68:68,69:69)+100</f>
        <v>103</v>
      </c>
      <c r="G11" s="532">
        <v>2.1</v>
      </c>
      <c r="H11" s="254">
        <f>LOOKUP(G11,68:68,69:69)-LOOKUP(C11,68:68,69:69)+100</f>
        <v>97</v>
      </c>
      <c r="I11" s="532">
        <v>1</v>
      </c>
      <c r="J11" s="254">
        <f>LOOKUP(I11,68:68,69:69)-LOOKUP(C11,68:68,69:69)+100</f>
        <v>103</v>
      </c>
      <c r="K11" s="863">
        <v>3</v>
      </c>
      <c r="L11" s="2122"/>
      <c r="M11" s="2116"/>
      <c r="N11" s="2116"/>
      <c r="O11" s="2123"/>
      <c r="P11" s="3526"/>
      <c r="Q11" s="1145" t="str">
        <f t="shared" si="6"/>
        <v>容积率</v>
      </c>
      <c r="R11" s="1551" t="s">
        <v>11</v>
      </c>
      <c r="S11" s="1552">
        <f t="shared" si="0"/>
        <v>103</v>
      </c>
      <c r="T11" s="1551" t="s">
        <v>11</v>
      </c>
      <c r="U11" s="1552">
        <f t="shared" si="1"/>
        <v>97</v>
      </c>
      <c r="V11" s="1551" t="s">
        <v>11</v>
      </c>
      <c r="W11" s="1552">
        <f t="shared" si="2"/>
        <v>103</v>
      </c>
      <c r="X11" s="1553"/>
      <c r="Y11" s="3480"/>
      <c r="Z11" s="1144" t="str">
        <f t="shared" si="7"/>
        <v>容积率</v>
      </c>
      <c r="AA11" s="1554">
        <f t="shared" si="3"/>
        <v>0.970873786407767</v>
      </c>
      <c r="AB11" s="1554">
        <f t="shared" si="4"/>
        <v>1.0309278350515463</v>
      </c>
      <c r="AC11" s="1554">
        <f t="shared" si="5"/>
        <v>0.970873786407767</v>
      </c>
    </row>
    <row r="12" spans="1:29" s="1214" customFormat="1" ht="15">
      <c r="A12" s="2753"/>
      <c r="B12" s="2759">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526"/>
      <c r="Q12" s="1145">
        <f t="shared" si="6"/>
        <v>111</v>
      </c>
      <c r="R12" s="1551" t="s">
        <v>11</v>
      </c>
      <c r="S12" s="1552">
        <f t="shared" si="0"/>
        <v>100</v>
      </c>
      <c r="T12" s="1551" t="s">
        <v>11</v>
      </c>
      <c r="U12" s="1552">
        <f t="shared" si="1"/>
        <v>100</v>
      </c>
      <c r="V12" s="1551" t="s">
        <v>11</v>
      </c>
      <c r="W12" s="1552">
        <f t="shared" si="2"/>
        <v>100</v>
      </c>
      <c r="X12" s="1553"/>
      <c r="Y12" s="3480"/>
      <c r="Z12" s="1144">
        <f t="shared" si="7"/>
        <v>111</v>
      </c>
      <c r="AA12" s="1554">
        <f>D12/F12</f>
        <v>1</v>
      </c>
      <c r="AB12" s="1554">
        <f>D12/H12</f>
        <v>1</v>
      </c>
      <c r="AC12" s="1554">
        <f>D12/J12</f>
        <v>1</v>
      </c>
    </row>
    <row r="13" spans="1:29" ht="15">
      <c r="A13" s="2753"/>
      <c r="B13" s="2759">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526"/>
      <c r="Q13" s="1145">
        <f t="shared" si="6"/>
        <v>111</v>
      </c>
      <c r="R13" s="1551" t="s">
        <v>11</v>
      </c>
      <c r="S13" s="1552">
        <f t="shared" si="0"/>
        <v>100</v>
      </c>
      <c r="T13" s="1551" t="s">
        <v>11</v>
      </c>
      <c r="U13" s="1552">
        <f t="shared" si="1"/>
        <v>100</v>
      </c>
      <c r="V13" s="1551" t="s">
        <v>11</v>
      </c>
      <c r="W13" s="1552">
        <f t="shared" si="2"/>
        <v>100</v>
      </c>
      <c r="X13" s="1553"/>
      <c r="Y13" s="3480"/>
      <c r="Z13" s="1144">
        <f t="shared" si="7"/>
        <v>111</v>
      </c>
      <c r="AA13" s="1554">
        <f t="shared" si="3"/>
        <v>1</v>
      </c>
      <c r="AB13" s="1554">
        <f t="shared" si="4"/>
        <v>1</v>
      </c>
      <c r="AC13" s="1554">
        <f t="shared" si="5"/>
        <v>1</v>
      </c>
    </row>
    <row r="14" spans="1:29" ht="15.75" thickBot="1">
      <c r="A14" s="2754"/>
      <c r="B14" s="2760">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526"/>
      <c r="Q14" s="1145">
        <f t="shared" si="6"/>
        <v>111</v>
      </c>
      <c r="R14" s="1551" t="s">
        <v>11</v>
      </c>
      <c r="S14" s="1552">
        <f t="shared" si="0"/>
        <v>100</v>
      </c>
      <c r="T14" s="1551" t="s">
        <v>11</v>
      </c>
      <c r="U14" s="1552">
        <f t="shared" si="1"/>
        <v>100</v>
      </c>
      <c r="V14" s="1551" t="s">
        <v>11</v>
      </c>
      <c r="W14" s="1552">
        <f t="shared" si="2"/>
        <v>100</v>
      </c>
      <c r="X14" s="1553"/>
      <c r="Y14" s="3480"/>
      <c r="Z14" s="1144">
        <f t="shared" si="7"/>
        <v>111</v>
      </c>
      <c r="AA14" s="1554">
        <f t="shared" si="3"/>
        <v>1</v>
      </c>
      <c r="AB14" s="1554">
        <f t="shared" si="4"/>
        <v>1</v>
      </c>
      <c r="AC14" s="1554">
        <f t="shared" si="5"/>
        <v>1</v>
      </c>
    </row>
    <row r="15" spans="1:29" ht="99.75">
      <c r="A15" s="2746" t="s">
        <v>2744</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98</v>
      </c>
      <c r="K15" s="867">
        <v>2</v>
      </c>
      <c r="L15" s="2124"/>
      <c r="M15" s="2116"/>
      <c r="N15" s="2116"/>
      <c r="O15" s="2123"/>
      <c r="P15" s="3528" t="s">
        <v>540</v>
      </c>
      <c r="Q15" s="1555" t="str">
        <f t="shared" si="6"/>
        <v>居住社区成熟度</v>
      </c>
      <c r="R15" s="1556" t="s">
        <v>11</v>
      </c>
      <c r="S15" s="1557">
        <f t="shared" si="0"/>
        <v>100</v>
      </c>
      <c r="T15" s="1556" t="s">
        <v>11</v>
      </c>
      <c r="U15" s="1557">
        <f t="shared" si="1"/>
        <v>100</v>
      </c>
      <c r="V15" s="1556" t="s">
        <v>11</v>
      </c>
      <c r="W15" s="1557">
        <f t="shared" si="2"/>
        <v>98</v>
      </c>
      <c r="X15" s="1550"/>
      <c r="Y15" s="3528" t="s">
        <v>540</v>
      </c>
      <c r="Z15" s="1558" t="str">
        <f t="shared" si="7"/>
        <v>居住社区成熟度</v>
      </c>
      <c r="AA15" s="1559">
        <f t="shared" si="3"/>
        <v>1</v>
      </c>
      <c r="AB15" s="1559">
        <f t="shared" si="4"/>
        <v>1</v>
      </c>
      <c r="AC15" s="1559">
        <f t="shared" si="5"/>
        <v>1.0204081632653061</v>
      </c>
    </row>
    <row r="16" spans="1:29" ht="15">
      <c r="A16" s="531"/>
      <c r="B16" s="868"/>
      <c r="C16" s="575" t="s">
        <v>3252</v>
      </c>
      <c r="D16" s="554"/>
      <c r="E16" s="555" t="s">
        <v>3252</v>
      </c>
      <c r="F16" s="556"/>
      <c r="G16" s="557" t="s">
        <v>3252</v>
      </c>
      <c r="H16" s="558"/>
      <c r="I16" s="555" t="s">
        <v>3281</v>
      </c>
      <c r="J16" s="554"/>
      <c r="K16" s="869"/>
      <c r="L16" s="2124"/>
      <c r="M16" s="2116"/>
      <c r="N16" s="2116"/>
      <c r="O16" s="2123"/>
      <c r="P16" s="3529"/>
      <c r="Q16" s="1555"/>
      <c r="R16" s="1556"/>
      <c r="S16" s="1557"/>
      <c r="T16" s="1556"/>
      <c r="U16" s="1557"/>
      <c r="V16" s="1556"/>
      <c r="W16" s="1557"/>
      <c r="X16" s="1550"/>
      <c r="Y16" s="3529"/>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529"/>
      <c r="Q17" s="1555" t="str">
        <f>B17</f>
        <v>交通便捷度</v>
      </c>
      <c r="R17" s="1556" t="s">
        <v>11</v>
      </c>
      <c r="S17" s="1557">
        <f>F17</f>
        <v>100</v>
      </c>
      <c r="T17" s="1556" t="s">
        <v>11</v>
      </c>
      <c r="U17" s="1557">
        <f>H17</f>
        <v>100</v>
      </c>
      <c r="V17" s="1556" t="s">
        <v>11</v>
      </c>
      <c r="W17" s="1557">
        <f>J17</f>
        <v>100</v>
      </c>
      <c r="X17" s="1550"/>
      <c r="Y17" s="3529"/>
      <c r="Z17" s="1558" t="str">
        <f>Q17</f>
        <v>交通便捷度</v>
      </c>
      <c r="AA17" s="1559">
        <f t="shared" si="3"/>
        <v>1</v>
      </c>
      <c r="AB17" s="1559">
        <f t="shared" si="4"/>
        <v>1</v>
      </c>
      <c r="AC17" s="1559">
        <f t="shared" si="5"/>
        <v>1</v>
      </c>
    </row>
    <row r="18" spans="1:29" ht="15">
      <c r="A18" s="531"/>
      <c r="B18" s="594"/>
      <c r="C18" s="872" t="s">
        <v>3252</v>
      </c>
      <c r="D18" s="558"/>
      <c r="E18" s="567" t="s">
        <v>3252</v>
      </c>
      <c r="F18" s="562"/>
      <c r="G18" s="568" t="s">
        <v>3252</v>
      </c>
      <c r="H18" s="554"/>
      <c r="I18" s="567" t="s">
        <v>3252</v>
      </c>
      <c r="J18" s="554"/>
      <c r="K18" s="869"/>
      <c r="L18" s="2124"/>
      <c r="M18" s="2116"/>
      <c r="N18" s="2116"/>
      <c r="O18" s="2123"/>
      <c r="P18" s="3529"/>
      <c r="Q18" s="1555"/>
      <c r="R18" s="1556"/>
      <c r="S18" s="1557"/>
      <c r="T18" s="1556"/>
      <c r="U18" s="1557"/>
      <c r="V18" s="1556"/>
      <c r="W18" s="1557"/>
      <c r="X18" s="1550"/>
      <c r="Y18" s="3529"/>
      <c r="Z18" s="1558"/>
      <c r="AA18" s="1559">
        <v>1</v>
      </c>
      <c r="AB18" s="1559">
        <v>1</v>
      </c>
      <c r="AC18" s="1559">
        <v>1</v>
      </c>
    </row>
    <row r="19" spans="1:29" ht="42.75">
      <c r="A19" s="531"/>
      <c r="B19" s="2561" t="s">
        <v>2537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4"/>
      <c r="M19" s="2116"/>
      <c r="N19" s="2116"/>
      <c r="O19" s="2123"/>
      <c r="P19" s="3529"/>
      <c r="Q19" s="1555" t="str">
        <f>B19</f>
        <v>公共配套设施</v>
      </c>
      <c r="R19" s="1556" t="s">
        <v>11</v>
      </c>
      <c r="S19" s="1557">
        <f>F19</f>
        <v>100</v>
      </c>
      <c r="T19" s="1556" t="s">
        <v>11</v>
      </c>
      <c r="U19" s="1557">
        <f>H19</f>
        <v>100</v>
      </c>
      <c r="V19" s="1556" t="s">
        <v>11</v>
      </c>
      <c r="W19" s="1557">
        <f>J19</f>
        <v>100</v>
      </c>
      <c r="X19" s="1550"/>
      <c r="Y19" s="3529"/>
      <c r="Z19" s="1558" t="str">
        <f>Q19</f>
        <v>公共配套设施</v>
      </c>
      <c r="AA19" s="1559">
        <f t="shared" si="3"/>
        <v>1</v>
      </c>
      <c r="AB19" s="1559">
        <f t="shared" si="4"/>
        <v>1</v>
      </c>
      <c r="AC19" s="1559">
        <f t="shared" si="5"/>
        <v>1</v>
      </c>
    </row>
    <row r="20" spans="1:29" ht="15">
      <c r="A20" s="531"/>
      <c r="B20" s="594"/>
      <c r="C20" s="575" t="s">
        <v>3281</v>
      </c>
      <c r="D20" s="554"/>
      <c r="E20" s="555" t="s">
        <v>3281</v>
      </c>
      <c r="F20" s="556"/>
      <c r="G20" s="557" t="s">
        <v>3281</v>
      </c>
      <c r="H20" s="554"/>
      <c r="I20" s="555" t="s">
        <v>3281</v>
      </c>
      <c r="J20" s="554"/>
      <c r="K20" s="869"/>
      <c r="L20" s="2124"/>
      <c r="M20" s="2116"/>
      <c r="N20" s="2116"/>
      <c r="O20" s="2123"/>
      <c r="P20" s="3529"/>
      <c r="Q20" s="1555"/>
      <c r="R20" s="1556"/>
      <c r="S20" s="1557"/>
      <c r="T20" s="1556"/>
      <c r="U20" s="1557"/>
      <c r="V20" s="1556"/>
      <c r="W20" s="1557"/>
      <c r="X20" s="1550"/>
      <c r="Y20" s="3529"/>
      <c r="Z20" s="1558"/>
      <c r="AA20" s="1559">
        <v>1</v>
      </c>
      <c r="AB20" s="1559">
        <v>1</v>
      </c>
      <c r="AC20" s="1559">
        <v>1</v>
      </c>
    </row>
    <row r="21" spans="1:29" ht="28.5">
      <c r="A21" s="531"/>
      <c r="B21" s="2554"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529"/>
      <c r="Q21" s="2540" t="str">
        <f>B21</f>
        <v>基础设施水平</v>
      </c>
      <c r="R21" s="1556" t="s">
        <v>11</v>
      </c>
      <c r="S21" s="1557">
        <f>F21</f>
        <v>100</v>
      </c>
      <c r="T21" s="1556" t="s">
        <v>11</v>
      </c>
      <c r="U21" s="1557">
        <f>H21</f>
        <v>100</v>
      </c>
      <c r="V21" s="1556" t="s">
        <v>11</v>
      </c>
      <c r="W21" s="1557">
        <f>J21</f>
        <v>100</v>
      </c>
      <c r="X21" s="2542"/>
      <c r="Y21" s="3529"/>
      <c r="Z21" s="2541" t="str">
        <f>Q21</f>
        <v>基础设施水平</v>
      </c>
      <c r="AA21" s="1559">
        <f t="shared" ref="AA21" si="8">D21/F21</f>
        <v>1</v>
      </c>
      <c r="AB21" s="1559">
        <f t="shared" ref="AB21" si="9">D21/H21</f>
        <v>1</v>
      </c>
      <c r="AC21" s="1559">
        <f t="shared" ref="AC21" si="10">D21/J21</f>
        <v>1</v>
      </c>
    </row>
    <row r="22" spans="1:29" ht="15">
      <c r="A22" s="531"/>
      <c r="B22" s="921"/>
      <c r="C22" s="872" t="s">
        <v>3254</v>
      </c>
      <c r="D22" s="554"/>
      <c r="E22" s="575" t="s">
        <v>3254</v>
      </c>
      <c r="F22" s="556"/>
      <c r="G22" s="575" t="s">
        <v>3254</v>
      </c>
      <c r="H22" s="554"/>
      <c r="I22" s="575" t="s">
        <v>3254</v>
      </c>
      <c r="J22" s="554"/>
      <c r="K22" s="2560"/>
      <c r="L22" s="2124"/>
      <c r="M22" s="2116"/>
      <c r="N22" s="2116"/>
      <c r="O22" s="2123"/>
      <c r="P22" s="3529"/>
      <c r="Q22" s="2540"/>
      <c r="R22" s="1556"/>
      <c r="S22" s="1557"/>
      <c r="T22" s="1556"/>
      <c r="U22" s="1557"/>
      <c r="V22" s="1556"/>
      <c r="W22" s="1557"/>
      <c r="X22" s="2542"/>
      <c r="Y22" s="3529"/>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529"/>
      <c r="Q23" s="1555" t="str">
        <f>B23</f>
        <v>自然及人文环境</v>
      </c>
      <c r="R23" s="1556" t="s">
        <v>11</v>
      </c>
      <c r="S23" s="1557">
        <f>F23</f>
        <v>100</v>
      </c>
      <c r="T23" s="1556" t="s">
        <v>11</v>
      </c>
      <c r="U23" s="1557">
        <f>H23</f>
        <v>100</v>
      </c>
      <c r="V23" s="1556" t="s">
        <v>11</v>
      </c>
      <c r="W23" s="1557">
        <f>J23</f>
        <v>100</v>
      </c>
      <c r="X23" s="1550"/>
      <c r="Y23" s="3529"/>
      <c r="Z23" s="1558" t="str">
        <f>Q23</f>
        <v>自然及人文环境</v>
      </c>
      <c r="AA23" s="1559">
        <f t="shared" si="3"/>
        <v>1</v>
      </c>
      <c r="AB23" s="1559">
        <f t="shared" si="4"/>
        <v>1</v>
      </c>
      <c r="AC23" s="1559">
        <f t="shared" si="5"/>
        <v>1</v>
      </c>
    </row>
    <row r="24" spans="1:29" ht="15">
      <c r="A24" s="531"/>
      <c r="B24" s="594"/>
      <c r="C24" s="575" t="s">
        <v>3281</v>
      </c>
      <c r="D24" s="554"/>
      <c r="E24" s="555" t="s">
        <v>3281</v>
      </c>
      <c r="F24" s="556"/>
      <c r="G24" s="557" t="s">
        <v>3281</v>
      </c>
      <c r="H24" s="554"/>
      <c r="I24" s="555" t="s">
        <v>3281</v>
      </c>
      <c r="J24" s="554"/>
      <c r="K24" s="869"/>
      <c r="L24" s="2124"/>
      <c r="M24" s="2116"/>
      <c r="N24" s="2116"/>
      <c r="O24" s="2123"/>
      <c r="P24" s="3529"/>
      <c r="Q24" s="1555"/>
      <c r="R24" s="1556"/>
      <c r="S24" s="1557"/>
      <c r="T24" s="1556"/>
      <c r="U24" s="1557"/>
      <c r="V24" s="1556"/>
      <c r="W24" s="1557"/>
      <c r="X24" s="1550"/>
      <c r="Y24" s="3529"/>
      <c r="Z24" s="1558"/>
      <c r="AA24" s="1559">
        <v>1</v>
      </c>
      <c r="AB24" s="1559">
        <v>1</v>
      </c>
      <c r="AC24" s="1559">
        <v>1</v>
      </c>
    </row>
    <row r="25" spans="1:29" ht="15">
      <c r="A25" s="531"/>
      <c r="B25" s="1877" t="s">
        <v>2248</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529"/>
      <c r="Q25" s="1555" t="str">
        <f t="shared" ref="Q25:Q46" si="11">B25</f>
        <v>楼层-1</v>
      </c>
      <c r="R25" s="1556" t="s">
        <v>11</v>
      </c>
      <c r="S25" s="1557">
        <f>F25</f>
        <v>100</v>
      </c>
      <c r="T25" s="1556" t="s">
        <v>11</v>
      </c>
      <c r="U25" s="1557">
        <f>H25</f>
        <v>100</v>
      </c>
      <c r="V25" s="1556" t="s">
        <v>11</v>
      </c>
      <c r="W25" s="1557">
        <f>J25</f>
        <v>100</v>
      </c>
      <c r="X25" s="1550"/>
      <c r="Y25" s="3529"/>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529"/>
      <c r="Q26" s="1555" t="str">
        <f t="shared" si="11"/>
        <v>朝向</v>
      </c>
      <c r="R26" s="1556" t="s">
        <v>11</v>
      </c>
      <c r="S26" s="1557">
        <f>F26</f>
        <v>100</v>
      </c>
      <c r="T26" s="1556" t="s">
        <v>11</v>
      </c>
      <c r="U26" s="1557">
        <f>H26</f>
        <v>100</v>
      </c>
      <c r="V26" s="1556" t="s">
        <v>11</v>
      </c>
      <c r="W26" s="1557">
        <f>J26</f>
        <v>100</v>
      </c>
      <c r="X26" s="1550"/>
      <c r="Y26" s="3529"/>
      <c r="Z26" s="1558" t="str">
        <f>Q26</f>
        <v>朝向</v>
      </c>
      <c r="AA26" s="1559">
        <f t="shared" si="3"/>
        <v>1</v>
      </c>
      <c r="AB26" s="1559">
        <f t="shared" si="4"/>
        <v>1</v>
      </c>
      <c r="AC26" s="1559">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529"/>
      <c r="Q27" s="1145" t="str">
        <f t="shared" si="11"/>
        <v>道路级别</v>
      </c>
      <c r="R27" s="1551" t="s">
        <v>11</v>
      </c>
      <c r="S27" s="1552">
        <f>F27</f>
        <v>100</v>
      </c>
      <c r="T27" s="1551" t="s">
        <v>11</v>
      </c>
      <c r="U27" s="1552">
        <f>H27</f>
        <v>100</v>
      </c>
      <c r="V27" s="1551" t="s">
        <v>11</v>
      </c>
      <c r="W27" s="1552">
        <f>J27</f>
        <v>100</v>
      </c>
      <c r="X27" s="1553"/>
      <c r="Y27" s="3529"/>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529"/>
      <c r="Q28" s="1555">
        <f t="shared" si="11"/>
        <v>111</v>
      </c>
      <c r="R28" s="1556" t="s">
        <v>11</v>
      </c>
      <c r="S28" s="1557">
        <f t="shared" ref="S28:S46" si="12">F28</f>
        <v>100</v>
      </c>
      <c r="T28" s="1556" t="s">
        <v>11</v>
      </c>
      <c r="U28" s="1557">
        <f t="shared" ref="U28:U46" si="13">H28</f>
        <v>100</v>
      </c>
      <c r="V28" s="1556" t="s">
        <v>11</v>
      </c>
      <c r="W28" s="1557">
        <f t="shared" ref="W28:W46" si="14">J28</f>
        <v>100</v>
      </c>
      <c r="X28" s="1550"/>
      <c r="Y28" s="3529"/>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529"/>
      <c r="Q29" s="1555">
        <f t="shared" si="11"/>
        <v>111</v>
      </c>
      <c r="R29" s="1556" t="s">
        <v>11</v>
      </c>
      <c r="S29" s="1557">
        <f t="shared" si="12"/>
        <v>100</v>
      </c>
      <c r="T29" s="1556" t="s">
        <v>11</v>
      </c>
      <c r="U29" s="1557">
        <f t="shared" si="13"/>
        <v>100</v>
      </c>
      <c r="V29" s="1556" t="s">
        <v>11</v>
      </c>
      <c r="W29" s="1557">
        <f t="shared" si="14"/>
        <v>100</v>
      </c>
      <c r="X29" s="1550"/>
      <c r="Y29" s="3529"/>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529"/>
      <c r="Q30" s="1555">
        <f t="shared" si="11"/>
        <v>111</v>
      </c>
      <c r="R30" s="1556" t="s">
        <v>11</v>
      </c>
      <c r="S30" s="1557">
        <f t="shared" si="12"/>
        <v>100</v>
      </c>
      <c r="T30" s="1556" t="s">
        <v>11</v>
      </c>
      <c r="U30" s="1557">
        <f t="shared" si="13"/>
        <v>100</v>
      </c>
      <c r="V30" s="1556" t="s">
        <v>11</v>
      </c>
      <c r="W30" s="1557">
        <f t="shared" si="14"/>
        <v>100</v>
      </c>
      <c r="X30" s="1550"/>
      <c r="Y30" s="3529"/>
      <c r="Z30" s="1558">
        <f t="shared" si="15"/>
        <v>111</v>
      </c>
      <c r="AA30" s="1559">
        <f t="shared" si="3"/>
        <v>1</v>
      </c>
      <c r="AB30" s="1559">
        <f t="shared" si="4"/>
        <v>1</v>
      </c>
      <c r="AC30" s="1559">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529"/>
      <c r="Q31" s="1555">
        <f t="shared" si="11"/>
        <v>111</v>
      </c>
      <c r="R31" s="1556" t="s">
        <v>11</v>
      </c>
      <c r="S31" s="1557">
        <f t="shared" si="12"/>
        <v>100</v>
      </c>
      <c r="T31" s="1556" t="s">
        <v>11</v>
      </c>
      <c r="U31" s="1557">
        <f t="shared" si="13"/>
        <v>100</v>
      </c>
      <c r="V31" s="1556" t="s">
        <v>11</v>
      </c>
      <c r="W31" s="1557">
        <f t="shared" si="14"/>
        <v>100</v>
      </c>
      <c r="X31" s="1550"/>
      <c r="Y31" s="3529"/>
      <c r="Z31" s="1558">
        <f t="shared" si="15"/>
        <v>111</v>
      </c>
      <c r="AA31" s="1559">
        <f t="shared" si="3"/>
        <v>1</v>
      </c>
      <c r="AB31" s="1559">
        <f t="shared" si="4"/>
        <v>1</v>
      </c>
      <c r="AC31" s="1559">
        <f t="shared" si="5"/>
        <v>1</v>
      </c>
    </row>
    <row r="32" spans="1:29" ht="15">
      <c r="A32" s="2743" t="s">
        <v>2745</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530" t="s">
        <v>550</v>
      </c>
      <c r="Q32" s="1555" t="str">
        <f t="shared" si="11"/>
        <v>建筑类型</v>
      </c>
      <c r="R32" s="1556" t="s">
        <v>11</v>
      </c>
      <c r="S32" s="1557">
        <f t="shared" si="12"/>
        <v>100</v>
      </c>
      <c r="T32" s="1556" t="s">
        <v>11</v>
      </c>
      <c r="U32" s="1557">
        <f t="shared" si="13"/>
        <v>100</v>
      </c>
      <c r="V32" s="1556" t="s">
        <v>11</v>
      </c>
      <c r="W32" s="1557">
        <f t="shared" si="14"/>
        <v>100</v>
      </c>
      <c r="X32" s="1550"/>
      <c r="Y32" s="3531" t="s">
        <v>550</v>
      </c>
      <c r="Z32" s="1558" t="str">
        <f t="shared" si="15"/>
        <v>建筑类型</v>
      </c>
      <c r="AA32" s="1559">
        <f t="shared" si="3"/>
        <v>1</v>
      </c>
      <c r="AB32" s="1559">
        <f t="shared" si="4"/>
        <v>1</v>
      </c>
      <c r="AC32" s="1559">
        <f t="shared" si="5"/>
        <v>1</v>
      </c>
    </row>
    <row r="33" spans="1:29" s="1333" customFormat="1" ht="15">
      <c r="A33" s="602"/>
      <c r="B33" s="526" t="s">
        <v>726</v>
      </c>
      <c r="C33" s="879">
        <f>'数据-基础表'!B3</f>
        <v>472085.52</v>
      </c>
      <c r="D33" s="254">
        <v>100</v>
      </c>
      <c r="E33" s="533">
        <v>280000</v>
      </c>
      <c r="F33" s="862">
        <f>LOOKUP(E33,103:103,104:104)-LOOKUP(C33,103:103,104:104)+100</f>
        <v>99</v>
      </c>
      <c r="G33" s="532">
        <v>480000</v>
      </c>
      <c r="H33" s="254">
        <f>LOOKUP(G33,103:103,104:104)-LOOKUP(C33,103:103,104:104)+100</f>
        <v>100</v>
      </c>
      <c r="I33" s="533">
        <v>392808</v>
      </c>
      <c r="J33" s="254">
        <f>LOOKUP(I33,103:103,104:104)-LOOKUP(C33,103:103,104:104)+100</f>
        <v>99</v>
      </c>
      <c r="K33" s="864"/>
      <c r="L33" s="2122"/>
      <c r="M33" s="2153"/>
      <c r="N33" s="2153"/>
      <c r="O33" s="2125"/>
      <c r="P33" s="3531"/>
      <c r="Q33" s="1587" t="str">
        <f t="shared" si="11"/>
        <v>项目建筑规模</v>
      </c>
      <c r="R33" s="1560" t="s">
        <v>11</v>
      </c>
      <c r="S33" s="1561">
        <f t="shared" si="12"/>
        <v>99</v>
      </c>
      <c r="T33" s="1560" t="s">
        <v>11</v>
      </c>
      <c r="U33" s="1561">
        <f t="shared" si="13"/>
        <v>100</v>
      </c>
      <c r="V33" s="1560" t="s">
        <v>11</v>
      </c>
      <c r="W33" s="1561">
        <f t="shared" si="14"/>
        <v>99</v>
      </c>
      <c r="X33" s="1562"/>
      <c r="Y33" s="3531"/>
      <c r="Z33" s="1563" t="str">
        <f t="shared" si="15"/>
        <v>项目建筑规模</v>
      </c>
      <c r="AA33" s="1559">
        <f t="shared" si="3"/>
        <v>1.0101010101010102</v>
      </c>
      <c r="AB33" s="1559">
        <f t="shared" si="4"/>
        <v>1</v>
      </c>
      <c r="AC33" s="1559">
        <f t="shared" si="5"/>
        <v>1.0101010101010102</v>
      </c>
    </row>
    <row r="34" spans="1:29" ht="15">
      <c r="A34" s="593"/>
      <c r="B34" s="526" t="s">
        <v>727</v>
      </c>
      <c r="C34" s="880" t="s">
        <v>3028</v>
      </c>
      <c r="D34" s="539">
        <v>100</v>
      </c>
      <c r="E34" s="881" t="s">
        <v>3028</v>
      </c>
      <c r="F34" s="574">
        <f>SUMIF(105:105,E34,106:106)-SUMIF(105:105,C34,106:106)+100</f>
        <v>100</v>
      </c>
      <c r="G34" s="880" t="s">
        <v>3028</v>
      </c>
      <c r="H34" s="539">
        <f>SUMIF(105:105,G34,106:106)-SUMIF(105:105,C34,106:106)+100</f>
        <v>100</v>
      </c>
      <c r="I34" s="881" t="s">
        <v>3028</v>
      </c>
      <c r="J34" s="539">
        <f>SUMIF(105:105,I34,106:106)-SUMIF(105:105,C34,106:106)+100</f>
        <v>100</v>
      </c>
      <c r="K34" s="863">
        <v>2</v>
      </c>
      <c r="L34" s="2124"/>
      <c r="M34" s="2116"/>
      <c r="N34" s="2116"/>
      <c r="O34" s="2123"/>
      <c r="P34" s="3531"/>
      <c r="Q34" s="1555" t="str">
        <f t="shared" si="11"/>
        <v>建筑结构</v>
      </c>
      <c r="R34" s="1556" t="s">
        <v>11</v>
      </c>
      <c r="S34" s="1557">
        <f t="shared" si="12"/>
        <v>100</v>
      </c>
      <c r="T34" s="1556" t="s">
        <v>11</v>
      </c>
      <c r="U34" s="1557">
        <f t="shared" si="13"/>
        <v>100</v>
      </c>
      <c r="V34" s="1556" t="s">
        <v>11</v>
      </c>
      <c r="W34" s="1557">
        <f t="shared" si="14"/>
        <v>100</v>
      </c>
      <c r="X34" s="1550"/>
      <c r="Y34" s="3531"/>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531"/>
      <c r="Q35" s="1555" t="str">
        <f t="shared" si="11"/>
        <v>建筑品质</v>
      </c>
      <c r="R35" s="1556" t="s">
        <v>11</v>
      </c>
      <c r="S35" s="1557">
        <f t="shared" si="12"/>
        <v>100</v>
      </c>
      <c r="T35" s="1556" t="s">
        <v>11</v>
      </c>
      <c r="U35" s="1557">
        <f t="shared" si="13"/>
        <v>100</v>
      </c>
      <c r="V35" s="1556" t="s">
        <v>11</v>
      </c>
      <c r="W35" s="1557">
        <f t="shared" si="14"/>
        <v>100</v>
      </c>
      <c r="X35" s="1550"/>
      <c r="Y35" s="3531"/>
      <c r="Z35" s="1558" t="str">
        <f t="shared" si="15"/>
        <v>建筑品质</v>
      </c>
      <c r="AA35" s="1559">
        <f t="shared" si="3"/>
        <v>1</v>
      </c>
      <c r="AB35" s="1559">
        <f t="shared" si="4"/>
        <v>1</v>
      </c>
      <c r="AC35" s="1559">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v>2</v>
      </c>
      <c r="L36" s="2124"/>
      <c r="M36" s="2116"/>
      <c r="N36" s="2116"/>
      <c r="O36" s="2123"/>
      <c r="P36" s="3531"/>
      <c r="Q36" s="1555" t="str">
        <f t="shared" si="11"/>
        <v>公共部分装修</v>
      </c>
      <c r="R36" s="1556" t="s">
        <v>11</v>
      </c>
      <c r="S36" s="1557">
        <f t="shared" si="12"/>
        <v>100</v>
      </c>
      <c r="T36" s="1556" t="s">
        <v>11</v>
      </c>
      <c r="U36" s="1557">
        <f t="shared" si="13"/>
        <v>100</v>
      </c>
      <c r="V36" s="1556" t="s">
        <v>11</v>
      </c>
      <c r="W36" s="1557">
        <f t="shared" si="14"/>
        <v>100</v>
      </c>
      <c r="X36" s="1550"/>
      <c r="Y36" s="3531"/>
      <c r="Z36" s="1558" t="str">
        <f t="shared" si="15"/>
        <v>公共部分装修</v>
      </c>
      <c r="AA36" s="1559">
        <f t="shared" si="3"/>
        <v>1</v>
      </c>
      <c r="AB36" s="1559">
        <f t="shared" si="4"/>
        <v>1</v>
      </c>
      <c r="AC36" s="1559">
        <f t="shared" si="5"/>
        <v>1</v>
      </c>
    </row>
    <row r="37" spans="1:29" s="1214"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17"/>
      <c r="M37" s="2118"/>
      <c r="N37" s="2118"/>
      <c r="O37" s="2119"/>
      <c r="P37" s="3531"/>
      <c r="Q37" s="1145" t="str">
        <f t="shared" si="11"/>
        <v>成新度</v>
      </c>
      <c r="R37" s="1551" t="s">
        <v>11</v>
      </c>
      <c r="S37" s="1552">
        <f t="shared" si="12"/>
        <v>100</v>
      </c>
      <c r="T37" s="1551" t="s">
        <v>11</v>
      </c>
      <c r="U37" s="1552">
        <f t="shared" si="13"/>
        <v>100</v>
      </c>
      <c r="V37" s="1551" t="s">
        <v>11</v>
      </c>
      <c r="W37" s="1552">
        <f t="shared" si="14"/>
        <v>100</v>
      </c>
      <c r="X37" s="1553"/>
      <c r="Y37" s="3531"/>
      <c r="Z37" s="1144"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531" t="s">
        <v>550</v>
      </c>
      <c r="Q38" s="1555" t="str">
        <f t="shared" si="11"/>
        <v>物业管理</v>
      </c>
      <c r="R38" s="1556" t="s">
        <v>11</v>
      </c>
      <c r="S38" s="1557">
        <f t="shared" si="12"/>
        <v>100</v>
      </c>
      <c r="T38" s="1556" t="s">
        <v>11</v>
      </c>
      <c r="U38" s="1557">
        <f t="shared" si="13"/>
        <v>100</v>
      </c>
      <c r="V38" s="1556" t="s">
        <v>11</v>
      </c>
      <c r="W38" s="1557">
        <f t="shared" si="14"/>
        <v>100</v>
      </c>
      <c r="X38" s="1550"/>
      <c r="Y38" s="3531" t="s">
        <v>550</v>
      </c>
      <c r="Z38" s="1558" t="str">
        <f t="shared" si="15"/>
        <v>物业管理</v>
      </c>
      <c r="AA38" s="1559">
        <f t="shared" si="3"/>
        <v>1</v>
      </c>
      <c r="AB38" s="1559">
        <f t="shared" si="4"/>
        <v>1</v>
      </c>
      <c r="AC38" s="1559">
        <f t="shared" si="5"/>
        <v>1</v>
      </c>
    </row>
    <row r="39" spans="1:29" ht="15">
      <c r="A39" s="593"/>
      <c r="B39" s="1877" t="s">
        <v>2555</v>
      </c>
      <c r="C39" s="598" t="s">
        <v>3254</v>
      </c>
      <c r="D39" s="539">
        <v>100</v>
      </c>
      <c r="E39" s="598" t="s">
        <v>3254</v>
      </c>
      <c r="F39" s="574">
        <f>SUMIF(116:116,E39,117:117)-SUMIF(116:116,C39,117:117)+100</f>
        <v>100</v>
      </c>
      <c r="G39" s="598" t="s">
        <v>3254</v>
      </c>
      <c r="H39" s="539">
        <f>SUMIF(116:116,G39,117:117)-SUMIF(116:116,C39,117:117)+100</f>
        <v>100</v>
      </c>
      <c r="I39" s="598" t="s">
        <v>3254</v>
      </c>
      <c r="J39" s="539">
        <f>SUMIF(116:116,I39,117:117)-SUMIF(116:116,C39,117:117)+100</f>
        <v>100</v>
      </c>
      <c r="K39" s="863">
        <v>1</v>
      </c>
      <c r="L39" s="2124"/>
      <c r="M39" s="2116"/>
      <c r="N39" s="2116"/>
      <c r="O39" s="2123"/>
      <c r="P39" s="3531"/>
      <c r="Q39" s="1555" t="str">
        <f t="shared" si="11"/>
        <v>市政基础设施</v>
      </c>
      <c r="R39" s="1556" t="s">
        <v>11</v>
      </c>
      <c r="S39" s="1557">
        <f t="shared" si="12"/>
        <v>100</v>
      </c>
      <c r="T39" s="1556" t="s">
        <v>11</v>
      </c>
      <c r="U39" s="1557">
        <f t="shared" si="13"/>
        <v>100</v>
      </c>
      <c r="V39" s="1556" t="s">
        <v>11</v>
      </c>
      <c r="W39" s="1557">
        <f t="shared" si="14"/>
        <v>100</v>
      </c>
      <c r="X39" s="1550"/>
      <c r="Y39" s="3531"/>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531"/>
      <c r="Q40" s="1555" t="str">
        <f t="shared" si="11"/>
        <v>房型</v>
      </c>
      <c r="R40" s="1556" t="s">
        <v>11</v>
      </c>
      <c r="S40" s="1557">
        <f t="shared" si="12"/>
        <v>100</v>
      </c>
      <c r="T40" s="1556" t="s">
        <v>11</v>
      </c>
      <c r="U40" s="1557">
        <f t="shared" si="13"/>
        <v>100</v>
      </c>
      <c r="V40" s="1556" t="s">
        <v>11</v>
      </c>
      <c r="W40" s="1557">
        <f t="shared" si="14"/>
        <v>100</v>
      </c>
      <c r="X40" s="1550"/>
      <c r="Y40" s="3531"/>
      <c r="Z40" s="1558" t="str">
        <f t="shared" si="15"/>
        <v>房型</v>
      </c>
      <c r="AA40" s="1559">
        <f t="shared" si="3"/>
        <v>1</v>
      </c>
      <c r="AB40" s="1559">
        <f t="shared" si="4"/>
        <v>1</v>
      </c>
      <c r="AC40" s="1559">
        <f t="shared" si="5"/>
        <v>1</v>
      </c>
    </row>
    <row r="41" spans="1:29" s="1333"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531"/>
      <c r="Q41" s="1587" t="str">
        <f t="shared" si="11"/>
        <v>单套/主力户型建筑面积</v>
      </c>
      <c r="R41" s="1560" t="s">
        <v>11</v>
      </c>
      <c r="S41" s="1561">
        <f t="shared" si="12"/>
        <v>100</v>
      </c>
      <c r="T41" s="1560" t="s">
        <v>11</v>
      </c>
      <c r="U41" s="1561">
        <f t="shared" si="13"/>
        <v>100</v>
      </c>
      <c r="V41" s="1560" t="s">
        <v>11</v>
      </c>
      <c r="W41" s="1561">
        <f t="shared" si="14"/>
        <v>100</v>
      </c>
      <c r="X41" s="1562"/>
      <c r="Y41" s="3531"/>
      <c r="Z41" s="1563" t="str">
        <f t="shared" si="15"/>
        <v>单套/主力户型建筑面积</v>
      </c>
      <c r="AA41" s="1559">
        <f t="shared" si="3"/>
        <v>1</v>
      </c>
      <c r="AB41" s="1559">
        <f t="shared" si="4"/>
        <v>1</v>
      </c>
      <c r="AC41" s="1559">
        <f t="shared" si="5"/>
        <v>1</v>
      </c>
    </row>
    <row r="42" spans="1:29" ht="15">
      <c r="A42" s="593"/>
      <c r="B42" s="526" t="s">
        <v>734</v>
      </c>
      <c r="C42" s="598" t="s">
        <v>3278</v>
      </c>
      <c r="D42" s="539">
        <v>100</v>
      </c>
      <c r="E42" s="873" t="s">
        <v>3278</v>
      </c>
      <c r="F42" s="574">
        <f>SUMIF(122:122,E42,123:123)-SUMIF(122:122,C42,123:123)+100</f>
        <v>100</v>
      </c>
      <c r="G42" s="598" t="s">
        <v>3278</v>
      </c>
      <c r="H42" s="539">
        <f>SUMIF(122:122,G42,123:123)-SUMIF(122:122,C42,123:123)+100</f>
        <v>100</v>
      </c>
      <c r="I42" s="873" t="s">
        <v>3276</v>
      </c>
      <c r="J42" s="539">
        <f>SUMIF(122:122,I42,123:123)-SUMIF(122:122,C42,123:123)+100</f>
        <v>110</v>
      </c>
      <c r="K42" s="863">
        <v>10</v>
      </c>
      <c r="L42" s="2124"/>
      <c r="M42" s="2116"/>
      <c r="N42" s="2116"/>
      <c r="O42" s="2123"/>
      <c r="P42" s="3531"/>
      <c r="Q42" s="1555" t="str">
        <f t="shared" si="11"/>
        <v>内部装修</v>
      </c>
      <c r="R42" s="1556" t="s">
        <v>11</v>
      </c>
      <c r="S42" s="1557">
        <f t="shared" si="12"/>
        <v>100</v>
      </c>
      <c r="T42" s="1556" t="s">
        <v>11</v>
      </c>
      <c r="U42" s="1557">
        <f t="shared" si="13"/>
        <v>100</v>
      </c>
      <c r="V42" s="1556" t="s">
        <v>11</v>
      </c>
      <c r="W42" s="1557">
        <f t="shared" si="14"/>
        <v>110</v>
      </c>
      <c r="X42" s="1550"/>
      <c r="Y42" s="3531"/>
      <c r="Z42" s="1558" t="str">
        <f t="shared" si="15"/>
        <v>内部装修</v>
      </c>
      <c r="AA42" s="1559">
        <f t="shared" si="3"/>
        <v>1</v>
      </c>
      <c r="AB42" s="1559">
        <f t="shared" si="4"/>
        <v>1</v>
      </c>
      <c r="AC42" s="1559">
        <f t="shared" si="5"/>
        <v>0.90909090909090906</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531"/>
      <c r="Q43" s="1555" t="str">
        <f t="shared" si="11"/>
        <v>内部装修维护情况</v>
      </c>
      <c r="R43" s="1556" t="s">
        <v>11</v>
      </c>
      <c r="S43" s="1557">
        <f t="shared" si="12"/>
        <v>100</v>
      </c>
      <c r="T43" s="1556" t="s">
        <v>11</v>
      </c>
      <c r="U43" s="1557">
        <f t="shared" si="13"/>
        <v>100</v>
      </c>
      <c r="V43" s="1556" t="s">
        <v>11</v>
      </c>
      <c r="W43" s="1557">
        <f t="shared" si="14"/>
        <v>100</v>
      </c>
      <c r="X43" s="1550"/>
      <c r="Y43" s="3531"/>
      <c r="Z43" s="1558" t="str">
        <f t="shared" si="15"/>
        <v>内部装修维护情况</v>
      </c>
      <c r="AA43" s="1559">
        <f t="shared" si="3"/>
        <v>1</v>
      </c>
      <c r="AB43" s="1559">
        <f t="shared" si="4"/>
        <v>1</v>
      </c>
      <c r="AC43" s="1559">
        <f t="shared" si="5"/>
        <v>1</v>
      </c>
    </row>
    <row r="44" spans="1:29" s="1214"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531"/>
      <c r="Q44" s="1145">
        <f t="shared" si="11"/>
        <v>111</v>
      </c>
      <c r="R44" s="1551" t="s">
        <v>11</v>
      </c>
      <c r="S44" s="1552">
        <f t="shared" si="12"/>
        <v>100</v>
      </c>
      <c r="T44" s="1551" t="s">
        <v>11</v>
      </c>
      <c r="U44" s="1552">
        <f t="shared" si="13"/>
        <v>100</v>
      </c>
      <c r="V44" s="1551" t="s">
        <v>11</v>
      </c>
      <c r="W44" s="1552">
        <f t="shared" si="14"/>
        <v>100</v>
      </c>
      <c r="X44" s="1553"/>
      <c r="Y44" s="353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531"/>
      <c r="Q45" s="1555">
        <f t="shared" si="11"/>
        <v>111</v>
      </c>
      <c r="R45" s="1556" t="s">
        <v>11</v>
      </c>
      <c r="S45" s="1557">
        <f t="shared" si="12"/>
        <v>100</v>
      </c>
      <c r="T45" s="1556" t="s">
        <v>11</v>
      </c>
      <c r="U45" s="1557">
        <f t="shared" si="13"/>
        <v>100</v>
      </c>
      <c r="V45" s="1556" t="s">
        <v>11</v>
      </c>
      <c r="W45" s="1557">
        <f t="shared" si="14"/>
        <v>100</v>
      </c>
      <c r="X45" s="1550"/>
      <c r="Y45" s="3531"/>
      <c r="Z45" s="1558">
        <f t="shared" si="15"/>
        <v>111</v>
      </c>
      <c r="AA45" s="1559">
        <f t="shared" si="3"/>
        <v>1</v>
      </c>
      <c r="AB45" s="1559">
        <f t="shared" si="4"/>
        <v>1</v>
      </c>
      <c r="AC45" s="1559">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631"/>
      <c r="Q46" s="1555">
        <f t="shared" si="11"/>
        <v>111</v>
      </c>
      <c r="R46" s="1556" t="s">
        <v>10</v>
      </c>
      <c r="S46" s="1557">
        <f t="shared" si="12"/>
        <v>100</v>
      </c>
      <c r="T46" s="1556" t="s">
        <v>10</v>
      </c>
      <c r="U46" s="1557">
        <f t="shared" si="13"/>
        <v>100</v>
      </c>
      <c r="V46" s="1556" t="s">
        <v>10</v>
      </c>
      <c r="W46" s="1557">
        <f t="shared" si="14"/>
        <v>100</v>
      </c>
      <c r="X46" s="1550"/>
      <c r="Y46" s="3631"/>
      <c r="Z46" s="1558">
        <f t="shared" si="15"/>
        <v>111</v>
      </c>
      <c r="AA46" s="1559">
        <f t="shared" si="3"/>
        <v>1</v>
      </c>
      <c r="AB46" s="1559">
        <f t="shared" si="4"/>
        <v>1</v>
      </c>
      <c r="AC46" s="1559">
        <f t="shared" si="5"/>
        <v>1</v>
      </c>
    </row>
    <row r="47" spans="1:29" ht="15">
      <c r="A47" s="606" t="s">
        <v>736</v>
      </c>
      <c r="B47" s="886"/>
      <c r="C47" s="2588" t="s">
        <v>9</v>
      </c>
      <c r="D47" s="2589"/>
      <c r="E47" s="2590">
        <v>15000</v>
      </c>
      <c r="F47" s="2591"/>
      <c r="G47" s="2592">
        <v>14600</v>
      </c>
      <c r="H47" s="2593"/>
      <c r="I47" s="2590">
        <v>14800</v>
      </c>
      <c r="J47" s="2593"/>
      <c r="K47" s="1588"/>
      <c r="L47" s="2126"/>
      <c r="M47" s="2127"/>
      <c r="N47" s="2116"/>
      <c r="O47" s="2127"/>
      <c r="P47" s="3526" t="str">
        <f>A47</f>
        <v>成交单价（元/平方米）</v>
      </c>
      <c r="Q47" s="3526"/>
      <c r="R47" s="3630">
        <f>E47</f>
        <v>15000</v>
      </c>
      <c r="S47" s="3630"/>
      <c r="T47" s="3630">
        <f>G47</f>
        <v>14600</v>
      </c>
      <c r="U47" s="3630"/>
      <c r="V47" s="3630">
        <f>I47</f>
        <v>14800</v>
      </c>
      <c r="W47" s="3630"/>
      <c r="X47" s="1542"/>
      <c r="Y47" s="1564"/>
      <c r="Z47" s="1542"/>
      <c r="AA47" s="1542"/>
      <c r="AB47" s="1542"/>
      <c r="AC47" s="1542"/>
    </row>
    <row r="48" spans="1:29" ht="15.75" thickBot="1">
      <c r="A48" s="614" t="s">
        <v>2750</v>
      </c>
      <c r="B48" s="887"/>
      <c r="C48" s="2594">
        <f>R49</f>
        <v>14409</v>
      </c>
      <c r="D48" s="2595"/>
      <c r="E48" s="2596">
        <f>R48</f>
        <v>14710</v>
      </c>
      <c r="F48" s="2596"/>
      <c r="G48" s="2594">
        <f>T48</f>
        <v>15052</v>
      </c>
      <c r="H48" s="2595"/>
      <c r="I48" s="2596">
        <f>V48</f>
        <v>13464</v>
      </c>
      <c r="J48" s="2595"/>
      <c r="K48" s="1589"/>
      <c r="L48" s="2126"/>
      <c r="M48" s="2127"/>
      <c r="N48" s="2127"/>
      <c r="O48" s="2127"/>
      <c r="P48" s="3526" t="str">
        <f>A48</f>
        <v>比较价格（元/平方米）</v>
      </c>
      <c r="Q48" s="3526"/>
      <c r="R48" s="3630">
        <f>IF(F1="售价",ROUND(PRODUCT(R47,AA7:AA46),0),ROUND(PRODUCT(R47,AA7:AA46),1))</f>
        <v>14710</v>
      </c>
      <c r="S48" s="3630"/>
      <c r="T48" s="3630">
        <f>IF(F1="售价",ROUND(PRODUCT(T47,AB7:AB46),0),ROUND(PRODUCT(T47,AB7:AB46),1))</f>
        <v>15052</v>
      </c>
      <c r="U48" s="3630"/>
      <c r="V48" s="3630">
        <f>IF(F1="售价",ROUND(PRODUCT(V47,AC7:AC46),0),ROUND(PRODUCT(V47,AC7:AC46),1))</f>
        <v>13464</v>
      </c>
      <c r="W48" s="3630"/>
      <c r="X48" s="1542"/>
      <c r="Y48" s="1542"/>
      <c r="Z48" s="1542"/>
      <c r="AA48" s="1542"/>
      <c r="AB48" s="1542"/>
      <c r="AC48" s="1542"/>
    </row>
    <row r="49" spans="1:29" ht="15.75" thickBot="1">
      <c r="A49" s="620" t="s">
        <v>2925</v>
      </c>
      <c r="B49" s="621"/>
      <c r="C49" s="2597">
        <f>R49</f>
        <v>14409</v>
      </c>
      <c r="D49" s="2597"/>
      <c r="E49" s="2597"/>
      <c r="F49" s="2597"/>
      <c r="G49" s="2597"/>
      <c r="H49" s="2597"/>
      <c r="I49" s="2597"/>
      <c r="J49" s="2597"/>
      <c r="K49" s="1590"/>
      <c r="L49" s="2126"/>
      <c r="M49" s="2127"/>
      <c r="N49" s="2127"/>
      <c r="O49" s="2127"/>
      <c r="P49" s="3547" t="str">
        <f>A49</f>
        <v>估价对象XX用房的比较价格（楼面单价，元/平方米）</v>
      </c>
      <c r="Q49" s="3548"/>
      <c r="R49" s="3629">
        <f>IF(F1="售价",ROUND(AVERAGE(R48:V48),0),ROUND(AVERAGE(R48:V48),1))</f>
        <v>14409</v>
      </c>
      <c r="S49" s="3629"/>
      <c r="T49" s="3629"/>
      <c r="U49" s="3629"/>
      <c r="V49" s="3629"/>
      <c r="W49" s="362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1.971447994561526E-2</v>
      </c>
      <c r="F52" s="626" t="str">
        <f>IF(OR(E52&gt;=0.3,E52&lt;=-0.3),"超过30%","")</f>
        <v/>
      </c>
      <c r="G52" s="625">
        <f>IF(G47&lt;G48,G48/G47-1,G47/G48-1)</f>
        <v>3.0958904109589014E-2</v>
      </c>
      <c r="H52" s="626" t="str">
        <f>IF(OR(G52&gt;=0.3,G52&lt;=-0.3),"超过30%","")</f>
        <v/>
      </c>
      <c r="I52" s="625">
        <f>IF(I47&lt;I48,I48/I47-1,I47/I48-1)</f>
        <v>9.9227569815805161E-2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2.324949014276001E-2</v>
      </c>
      <c r="F53" s="626" t="str">
        <f>IF(OR(E53&gt;=0.2,E53&lt;=-0.2),"超过20%","")</f>
        <v/>
      </c>
      <c r="G53" s="625">
        <f>IF(G48&lt;I48,I48/G48-1,G48/I48-1)</f>
        <v>0.11794414735591197</v>
      </c>
      <c r="H53" s="626" t="str">
        <f>IF(OR(G53&gt;=0.2,G53&lt;=-0.2),"超过20%","")</f>
        <v/>
      </c>
      <c r="I53" s="625">
        <f>IF(I48&lt;E48,E48/I48-1,I48/E48-1)</f>
        <v>9.2543077837195398E-2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2.7397260273972712E-2</v>
      </c>
      <c r="F54" s="626" t="str">
        <f>IF(OR(E54&gt;=0.3,E54&lt;=-0.3),"超过30%","")</f>
        <v/>
      </c>
      <c r="G54" s="625">
        <f>IF(G47&lt;I47,I47/G47-1,G47/I47-1)</f>
        <v>1.3698630136986356E-2</v>
      </c>
      <c r="H54" s="626" t="str">
        <f>IF(OR(G54&gt;=0.3,G54&lt;=-0.3),"超过30%","")</f>
        <v/>
      </c>
      <c r="I54" s="625">
        <f>IF(I47&lt;E47,E47/I47-1,I47/E47-1)</f>
        <v>1.3513513513513598E-2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640" t="str">
        <f>YEAR(C7)&amp;"-"&amp;MONTH(C7)</f>
        <v>2020-8</v>
      </c>
      <c r="D58" s="2640">
        <f>EDATE(C58,-1)</f>
        <v>44013</v>
      </c>
      <c r="E58" s="2640">
        <f t="shared" ref="E58:O58" si="16">EDATE(D58,-1)</f>
        <v>43983</v>
      </c>
      <c r="F58" s="2640">
        <f t="shared" si="16"/>
        <v>43952</v>
      </c>
      <c r="G58" s="2640">
        <f t="shared" si="16"/>
        <v>43922</v>
      </c>
      <c r="H58" s="2640">
        <f t="shared" si="16"/>
        <v>43891</v>
      </c>
      <c r="I58" s="2640">
        <f t="shared" si="16"/>
        <v>43862</v>
      </c>
      <c r="J58" s="2640">
        <f t="shared" si="16"/>
        <v>43831</v>
      </c>
      <c r="K58" s="2640">
        <f t="shared" si="16"/>
        <v>43800</v>
      </c>
      <c r="L58" s="2640">
        <f t="shared" si="16"/>
        <v>43770</v>
      </c>
      <c r="M58" s="2640">
        <f t="shared" si="16"/>
        <v>43739</v>
      </c>
      <c r="N58" s="2640">
        <f t="shared" si="16"/>
        <v>43709</v>
      </c>
      <c r="O58" s="2640">
        <f t="shared" si="16"/>
        <v>43678</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0（含）-0.5</v>
      </c>
      <c r="D67" s="681" t="str">
        <f t="shared" ref="D67:L67" si="18">D68&amp;"（含）"&amp;"-"&amp;E68</f>
        <v>0.5（含）-1</v>
      </c>
      <c r="E67" s="681" t="str">
        <f t="shared" si="18"/>
        <v>1（含）-1.5</v>
      </c>
      <c r="F67" s="681" t="str">
        <f t="shared" si="18"/>
        <v>1.5（含）-2</v>
      </c>
      <c r="G67" s="681" t="str">
        <f t="shared" si="18"/>
        <v>2（含）-2.5</v>
      </c>
      <c r="H67" s="681" t="str">
        <f t="shared" si="18"/>
        <v>2.5（含）-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v>0.5</v>
      </c>
      <c r="E68" s="540">
        <v>1</v>
      </c>
      <c r="F68" s="540">
        <v>1.5</v>
      </c>
      <c r="G68" s="540">
        <v>2</v>
      </c>
      <c r="H68" s="540">
        <v>2.5</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2548</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2549</v>
      </c>
      <c r="C82" s="2559" t="s">
        <v>2550</v>
      </c>
      <c r="D82" s="2559" t="s">
        <v>2551</v>
      </c>
      <c r="E82" s="2559" t="s">
        <v>2552</v>
      </c>
      <c r="F82" s="2559" t="s">
        <v>2553</v>
      </c>
      <c r="G82" s="2559" t="s">
        <v>2554</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1878" t="s">
        <v>2249</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200000</v>
      </c>
      <c r="E103" s="729">
        <v>400000</v>
      </c>
      <c r="F103" s="729">
        <v>600000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v>101</v>
      </c>
      <c r="E104" s="670">
        <v>102</v>
      </c>
      <c r="F104" s="670">
        <v>103</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93" t="s">
        <v>3284</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2547</v>
      </c>
      <c r="C116" s="3193" t="s">
        <v>3282</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93" t="s">
        <v>3277</v>
      </c>
      <c r="D122" s="3193" t="s">
        <v>3313</v>
      </c>
      <c r="E122" s="3193"/>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90</v>
      </c>
      <c r="E123" s="678">
        <f t="shared" si="29"/>
        <v>80</v>
      </c>
      <c r="F123" s="678">
        <f t="shared" si="29"/>
        <v>70</v>
      </c>
      <c r="G123" s="678">
        <f t="shared" si="29"/>
        <v>60</v>
      </c>
      <c r="H123" s="678">
        <f t="shared" si="29"/>
        <v>50</v>
      </c>
      <c r="I123" s="678">
        <f t="shared" si="29"/>
        <v>40</v>
      </c>
      <c r="J123" s="678">
        <f t="shared" si="29"/>
        <v>30</v>
      </c>
      <c r="K123" s="678">
        <f t="shared" si="29"/>
        <v>20</v>
      </c>
      <c r="L123" s="678">
        <f t="shared" si="29"/>
        <v>10</v>
      </c>
      <c r="M123" s="678">
        <f t="shared" si="29"/>
        <v>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2250</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2251</v>
      </c>
      <c r="C137" s="1901"/>
      <c r="D137" s="1901"/>
      <c r="E137" s="1901"/>
      <c r="F137" s="1901"/>
      <c r="G137" s="1902"/>
      <c r="H137" s="1903"/>
      <c r="I137" s="1904" t="s">
        <v>2252</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2253</v>
      </c>
      <c r="D138" s="1907" t="s">
        <v>2254</v>
      </c>
      <c r="E138" s="1908" t="s">
        <v>2255</v>
      </c>
      <c r="F138" s="1909" t="s">
        <v>2256</v>
      </c>
      <c r="G138" s="1907" t="s">
        <v>2257</v>
      </c>
      <c r="H138" s="1910" t="s">
        <v>2258</v>
      </c>
      <c r="I138" s="1911"/>
      <c r="J138" s="1907" t="s">
        <v>2259</v>
      </c>
      <c r="K138" s="1910" t="s">
        <v>2260</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2261</v>
      </c>
      <c r="E139" s="1881">
        <v>100</v>
      </c>
      <c r="F139" s="1882">
        <v>102.5</v>
      </c>
      <c r="G139" s="1912" t="s">
        <v>2262</v>
      </c>
      <c r="H139" s="1883">
        <v>105</v>
      </c>
      <c r="I139" s="1913" t="s">
        <v>2263</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2264</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2265</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2266</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2267</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2268</v>
      </c>
      <c r="E144" s="1887">
        <v>102</v>
      </c>
      <c r="F144" s="1893">
        <v>100</v>
      </c>
      <c r="G144" s="1916" t="s">
        <v>2268</v>
      </c>
      <c r="H144" s="1889">
        <v>105</v>
      </c>
      <c r="I144" s="1915" t="s">
        <v>2267</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2269</v>
      </c>
      <c r="C145" s="1894">
        <f>ROUND(MAX(C139:C144)/MIN(C139:C144)-1,3)</f>
        <v>7.2999999999999995E-2</v>
      </c>
      <c r="D145" s="1918"/>
      <c r="E145" s="1918"/>
      <c r="F145" s="1919" t="s">
        <v>2270</v>
      </c>
      <c r="G145" s="1920"/>
      <c r="H145" s="1921"/>
      <c r="I145" s="1922" t="s">
        <v>2267</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2278</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2279</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3:N45"/>
  <sheetViews>
    <sheetView workbookViewId="0">
      <selection activeCell="P37" sqref="P37"/>
    </sheetView>
  </sheetViews>
  <sheetFormatPr defaultRowHeight="13.5"/>
  <sheetData>
    <row r="43" spans="14:14">
      <c r="N43" s="3206" t="s">
        <v>3305</v>
      </c>
    </row>
    <row r="44" spans="14:14">
      <c r="N44" s="3206" t="s">
        <v>3316</v>
      </c>
    </row>
    <row r="45" spans="14:14">
      <c r="N45" s="3206" t="s">
        <v>3306</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F16" sqref="F16"/>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2294</v>
      </c>
      <c r="C1" s="3635" t="s">
        <v>2295</v>
      </c>
      <c r="D1" s="3636"/>
      <c r="E1" s="3636"/>
      <c r="F1" s="3636"/>
      <c r="G1" s="3636"/>
      <c r="H1" s="3636"/>
      <c r="I1" s="3636"/>
      <c r="J1" s="3636"/>
      <c r="K1" s="3636"/>
      <c r="L1" s="3636"/>
      <c r="M1" s="3636"/>
      <c r="N1" s="3636"/>
      <c r="O1" s="3636"/>
      <c r="P1" s="3636"/>
      <c r="Q1" s="3636"/>
      <c r="R1" s="3636"/>
      <c r="S1" s="3637"/>
      <c r="T1" s="2216" t="s">
        <v>2296</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038" t="s">
        <v>2297</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v>0</v>
      </c>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02" t="s">
        <v>3293</v>
      </c>
      <c r="C5" s="3203" t="s">
        <v>3294</v>
      </c>
      <c r="D5" s="3204" t="s">
        <v>3295</v>
      </c>
      <c r="E5" s="3204" t="s">
        <v>3296</v>
      </c>
      <c r="F5" s="3204" t="s">
        <v>3297</v>
      </c>
      <c r="G5" s="2235"/>
      <c r="H5" s="2235"/>
      <c r="I5" s="2235"/>
      <c r="J5" s="2235"/>
      <c r="K5" s="2235"/>
      <c r="L5" s="2236"/>
      <c r="M5" s="2237"/>
      <c r="N5" s="2237"/>
      <c r="O5" s="2235"/>
      <c r="P5" s="2235"/>
      <c r="Q5" s="2235"/>
      <c r="R5" s="2235"/>
      <c r="S5" s="2238"/>
      <c r="T5" s="2239">
        <v>2</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98</v>
      </c>
      <c r="E6" s="1951">
        <f t="shared" ref="E6:S6" si="7">D6-$T5</f>
        <v>96</v>
      </c>
      <c r="F6" s="1951">
        <f t="shared" si="7"/>
        <v>94</v>
      </c>
      <c r="G6" s="1951">
        <f t="shared" si="7"/>
        <v>92</v>
      </c>
      <c r="H6" s="1951">
        <f t="shared" si="7"/>
        <v>90</v>
      </c>
      <c r="I6" s="1951">
        <f t="shared" si="7"/>
        <v>88</v>
      </c>
      <c r="J6" s="1951">
        <f t="shared" si="7"/>
        <v>86</v>
      </c>
      <c r="K6" s="1951">
        <f t="shared" si="7"/>
        <v>84</v>
      </c>
      <c r="L6" s="1951">
        <f t="shared" si="7"/>
        <v>82</v>
      </c>
      <c r="M6" s="1951">
        <f t="shared" si="7"/>
        <v>80</v>
      </c>
      <c r="N6" s="1951">
        <f t="shared" si="7"/>
        <v>78</v>
      </c>
      <c r="O6" s="1951">
        <f t="shared" si="7"/>
        <v>76</v>
      </c>
      <c r="P6" s="1951">
        <f t="shared" si="7"/>
        <v>74</v>
      </c>
      <c r="Q6" s="1951">
        <f t="shared" si="7"/>
        <v>72</v>
      </c>
      <c r="R6" s="1951">
        <f t="shared" si="7"/>
        <v>70</v>
      </c>
      <c r="S6" s="1951">
        <f t="shared" si="7"/>
        <v>68</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2917" t="s">
        <v>2918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2917" t="s">
        <v>2917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291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2915" t="s">
        <v>2929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t="36">
      <c r="A13" s="2233"/>
      <c r="B13" s="3202" t="s">
        <v>3289</v>
      </c>
      <c r="C13" s="3203" t="s">
        <v>3290</v>
      </c>
      <c r="D13" s="3204" t="s">
        <v>3291</v>
      </c>
      <c r="E13" s="3204" t="s">
        <v>3292</v>
      </c>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v>100</v>
      </c>
      <c r="D14" s="3210">
        <v>130</v>
      </c>
      <c r="E14" s="3210">
        <v>200</v>
      </c>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2915" t="s">
        <v>2916</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2298</v>
      </c>
      <c r="B17" s="2260" t="s">
        <v>2299</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397052</v>
      </c>
      <c r="C20" s="1972"/>
      <c r="D20" s="1972"/>
      <c r="E20" s="1972"/>
      <c r="F20" s="1972"/>
      <c r="G20" s="1972"/>
      <c r="H20" s="1972"/>
      <c r="I20" s="1972"/>
      <c r="J20" s="1972"/>
      <c r="K20" s="1972"/>
      <c r="L20" s="1972"/>
      <c r="M20" s="1972"/>
      <c r="N20" s="1972"/>
      <c r="O20" s="1972"/>
      <c r="P20" s="1972"/>
      <c r="Q20" s="1972"/>
      <c r="R20" s="2207"/>
      <c r="S20" s="2010"/>
    </row>
    <row r="21" spans="1:45" ht="15.75">
      <c r="A21" s="958" t="str">
        <f>IF(B23="土地面积","地面单价","楼面单价")</f>
        <v>楼面单价</v>
      </c>
      <c r="B21" s="774">
        <f>R22</f>
        <v>15887</v>
      </c>
      <c r="C21" s="1972"/>
      <c r="D21" s="1972"/>
      <c r="E21" s="1972"/>
      <c r="F21" s="1972"/>
      <c r="G21" s="1972"/>
      <c r="H21" s="1972"/>
      <c r="I21" s="1972"/>
      <c r="J21" s="1972"/>
      <c r="K21" s="1972"/>
      <c r="L21" s="1972"/>
      <c r="M21" s="1972"/>
      <c r="N21" s="1972"/>
      <c r="O21" s="1972"/>
      <c r="P21" s="1972"/>
      <c r="Q21" s="1972"/>
      <c r="R21" s="2207"/>
      <c r="S21" s="2010"/>
    </row>
    <row r="22" spans="1:45">
      <c r="A22" s="798" t="s">
        <v>829</v>
      </c>
      <c r="B22" s="53">
        <f>SUM(B24:B10000)</f>
        <v>249927.44</v>
      </c>
      <c r="C22" s="3632" t="s">
        <v>20</v>
      </c>
      <c r="D22" s="3633"/>
      <c r="E22" s="3633"/>
      <c r="F22" s="3633"/>
      <c r="G22" s="3633"/>
      <c r="H22" s="3633"/>
      <c r="I22" s="3633"/>
      <c r="J22" s="3633"/>
      <c r="K22" s="3633"/>
      <c r="L22" s="3633"/>
      <c r="M22" s="3633"/>
      <c r="N22" s="3633"/>
      <c r="O22" s="3633"/>
      <c r="P22" s="3633"/>
      <c r="Q22" s="3634"/>
      <c r="R22" s="489">
        <f>ROUND(S22*10000/B22,0)</f>
        <v>15887</v>
      </c>
      <c r="S22" s="53">
        <f>SUM(S24:S10000)</f>
        <v>397052</v>
      </c>
    </row>
    <row r="23" spans="1:45" s="1596" customFormat="1" ht="24">
      <c r="A23" s="17" t="s">
        <v>830</v>
      </c>
      <c r="B23" s="3039" t="s">
        <v>2937</v>
      </c>
      <c r="C23" s="17" t="s">
        <v>831</v>
      </c>
      <c r="D23" s="17" t="str">
        <f>B5</f>
        <v>装修</v>
      </c>
      <c r="E23" s="17" t="s">
        <v>831</v>
      </c>
      <c r="F23" s="17" t="str">
        <f>B7</f>
        <v>修正项3</v>
      </c>
      <c r="G23" s="17" t="s">
        <v>831</v>
      </c>
      <c r="H23" s="17" t="str">
        <f>B9</f>
        <v>修正项4</v>
      </c>
      <c r="I23" s="17" t="s">
        <v>831</v>
      </c>
      <c r="J23" s="17" t="str">
        <f>B11</f>
        <v>修正项5</v>
      </c>
      <c r="K23" s="17" t="s">
        <v>831</v>
      </c>
      <c r="L23" s="17" t="str">
        <f>B13</f>
        <v>建筑类型</v>
      </c>
      <c r="M23" s="17" t="s">
        <v>831</v>
      </c>
      <c r="N23" s="17" t="str">
        <f>B15</f>
        <v>修正项7</v>
      </c>
      <c r="O23" s="17" t="s">
        <v>831</v>
      </c>
      <c r="P23" s="17" t="str">
        <f>B17</f>
        <v>楼层</v>
      </c>
      <c r="Q23" s="17" t="s">
        <v>831</v>
      </c>
      <c r="R23" s="490" t="s">
        <v>832</v>
      </c>
      <c r="S23" s="17" t="s">
        <v>833</v>
      </c>
      <c r="T23" s="18"/>
      <c r="U23" s="18"/>
      <c r="V23" s="18"/>
      <c r="W23" s="18"/>
      <c r="X23" s="18"/>
      <c r="Y23" s="18"/>
      <c r="Z23" s="18"/>
      <c r="AA23" s="18"/>
      <c r="AB23" s="18"/>
      <c r="AC23" s="18"/>
      <c r="AD23" s="18"/>
      <c r="AE23" s="18"/>
      <c r="AF23" s="18"/>
      <c r="AG23" s="18"/>
      <c r="AH23" s="18"/>
      <c r="AI23" s="18"/>
    </row>
    <row r="24" spans="1:45" s="1597" customFormat="1">
      <c r="A24" s="3200" t="s">
        <v>3286</v>
      </c>
      <c r="B24" s="959">
        <f>'数据-基础表'!I13</f>
        <v>195457.31999999998</v>
      </c>
      <c r="C24" s="960">
        <v>1</v>
      </c>
      <c r="D24" s="961" t="s">
        <v>3278</v>
      </c>
      <c r="E24" s="960">
        <v>1</v>
      </c>
      <c r="F24" s="961"/>
      <c r="G24" s="960">
        <v>1</v>
      </c>
      <c r="H24" s="961"/>
      <c r="I24" s="960">
        <v>1</v>
      </c>
      <c r="J24" s="961"/>
      <c r="K24" s="960">
        <v>1</v>
      </c>
      <c r="L24" s="961" t="s">
        <v>3285</v>
      </c>
      <c r="M24" s="960">
        <v>1</v>
      </c>
      <c r="N24" s="961"/>
      <c r="O24" s="960">
        <v>1</v>
      </c>
      <c r="P24" s="961"/>
      <c r="Q24" s="960">
        <v>1</v>
      </c>
      <c r="R24" s="962">
        <f>'不动产比较法-住宅'!C48</f>
        <v>14409</v>
      </c>
      <c r="S24" s="960">
        <f t="shared" ref="S24:S54" si="11">ROUND(R24*B24/10000,0)</f>
        <v>281634</v>
      </c>
      <c r="T24" s="1955"/>
      <c r="U24" s="1955"/>
      <c r="V24" s="1955"/>
      <c r="W24" s="1955"/>
      <c r="X24" s="1955"/>
      <c r="Y24" s="1955"/>
      <c r="Z24" s="1955"/>
      <c r="AA24" s="1955"/>
      <c r="AB24" s="1955"/>
      <c r="AC24" s="1955"/>
      <c r="AD24" s="1955"/>
      <c r="AE24" s="1955"/>
      <c r="AF24" s="1955"/>
      <c r="AG24" s="1955"/>
      <c r="AH24" s="1955"/>
      <c r="AI24" s="1955"/>
    </row>
    <row r="25" spans="1:45">
      <c r="A25" s="3201" t="s">
        <v>3287</v>
      </c>
      <c r="B25" s="137">
        <f>'数据-基础表'!K13</f>
        <v>41200.360000000008</v>
      </c>
      <c r="C25" s="53">
        <f>IF(B25="",1,(LOOKUP(B25,$3:$3,$4:$4)-LOOKUP($B$24,$3:$3,$4:$4)+100)/100)</f>
        <v>1</v>
      </c>
      <c r="D25" s="961" t="s">
        <v>3278</v>
      </c>
      <c r="E25" s="53">
        <f>(SUMIF($5:$5,D25,$6:$6)-SUMIF($5:$5,$D$24,$6:$6)+100)/100</f>
        <v>1</v>
      </c>
      <c r="F25" s="961"/>
      <c r="G25" s="53">
        <f>(SUMIF($7:$7,F25,$8:$8)-SUMIF($7:$7,$F$24,$8:$8)+100)/100</f>
        <v>1</v>
      </c>
      <c r="H25" s="961"/>
      <c r="I25" s="53">
        <f>(SUMIF($9:$9,H25,$10:$10)-SUMIF($9:$9,$H$24,$10:$10)+100)/100</f>
        <v>1</v>
      </c>
      <c r="J25" s="961"/>
      <c r="K25" s="53">
        <f>(SUMIF($11:$11,J25,$12:$12)-SUMIF($11:$11,$J$24,$12:$12)+100)/100</f>
        <v>1</v>
      </c>
      <c r="L25" s="961" t="s">
        <v>3013</v>
      </c>
      <c r="M25" s="53">
        <f>(SUMIF($13:$13,L25,$14:$14)-SUMIF($13:$13,$L$24,$14:$14)+100)/100</f>
        <v>1.3</v>
      </c>
      <c r="N25" s="961"/>
      <c r="O25" s="53">
        <f>(SUMIF($15:$15,N25,$16:$16)-SUMIF($15:$15,$N$24,$16:$16)+100)/100</f>
        <v>1</v>
      </c>
      <c r="P25" s="961"/>
      <c r="Q25" s="53">
        <f>(SUMIF($17:$17,P25,$18:$18)-SUMIF($17:$17,$P$24,$18:$18)+100)/100</f>
        <v>1</v>
      </c>
      <c r="R25" s="489">
        <f>IF(B25="",0,ROUND($R$24*C25*E25*G25*I25*K25*M25*O25*Q25,0))</f>
        <v>18732</v>
      </c>
      <c r="S25" s="798">
        <f t="shared" si="11"/>
        <v>77177</v>
      </c>
    </row>
    <row r="26" spans="1:45">
      <c r="A26" s="3201" t="s">
        <v>3288</v>
      </c>
      <c r="B26" s="137">
        <f>'数据-基础表'!M13</f>
        <v>13269.76</v>
      </c>
      <c r="C26" s="53">
        <f t="shared" ref="C26:C89" si="12">IF(B26="",1,(LOOKUP(B26,$3:$3,$4:$4)-LOOKUP($B$24,$3:$3,$4:$4)+100)/100)</f>
        <v>1</v>
      </c>
      <c r="D26" s="961" t="s">
        <v>3278</v>
      </c>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t="s">
        <v>3011</v>
      </c>
      <c r="M26" s="53">
        <f t="shared" ref="M26:M89" si="17">(SUMIF($13:$13,L26,$14:$14)-SUMIF($13:$13,$L$24,$14:$14)+100)/100</f>
        <v>2</v>
      </c>
      <c r="N26" s="961"/>
      <c r="O26" s="53">
        <f t="shared" ref="O26:O89" si="18">(SUMIF($15:$15,N26,$16:$16)-SUMIF($15:$15,$N$24,$16:$16)+100)/100</f>
        <v>1</v>
      </c>
      <c r="P26" s="961"/>
      <c r="Q26" s="53">
        <f t="shared" ref="Q26:Q89" si="19">(SUMIF($17:$17,P26,$18:$18)-SUMIF($17:$17,$P$24,$18:$18)+100)/100</f>
        <v>1</v>
      </c>
      <c r="R26" s="489">
        <f t="shared" ref="R26:R89" si="20">IF(B26="",0,ROUND($R$24*C26*E26*G26*I26*K26*M26*O26*Q26,0))</f>
        <v>28818</v>
      </c>
      <c r="S26" s="798">
        <f t="shared" si="11"/>
        <v>38241</v>
      </c>
    </row>
    <row r="27" spans="1:45">
      <c r="A27" s="963"/>
      <c r="B27" s="137"/>
      <c r="C27" s="53">
        <f t="shared" si="12"/>
        <v>1</v>
      </c>
      <c r="D27" s="961"/>
      <c r="E27" s="53">
        <f t="shared" si="13"/>
        <v>0.06</v>
      </c>
      <c r="F27" s="961"/>
      <c r="G27" s="53">
        <f t="shared" si="14"/>
        <v>1</v>
      </c>
      <c r="H27" s="961"/>
      <c r="I27" s="53">
        <f t="shared" si="15"/>
        <v>1</v>
      </c>
      <c r="J27" s="961"/>
      <c r="K27" s="53">
        <f t="shared" si="16"/>
        <v>1</v>
      </c>
      <c r="L27" s="961"/>
      <c r="M27" s="53">
        <f t="shared" si="17"/>
        <v>0</v>
      </c>
      <c r="N27" s="961"/>
      <c r="O27" s="53">
        <f t="shared" si="18"/>
        <v>1</v>
      </c>
      <c r="P27" s="961"/>
      <c r="Q27" s="53">
        <f t="shared" si="19"/>
        <v>1</v>
      </c>
      <c r="R27" s="489">
        <f t="shared" si="20"/>
        <v>0</v>
      </c>
      <c r="S27" s="798">
        <f t="shared" si="11"/>
        <v>0</v>
      </c>
    </row>
    <row r="28" spans="1:45">
      <c r="A28" s="963"/>
      <c r="B28" s="137"/>
      <c r="C28" s="53">
        <f t="shared" si="12"/>
        <v>1</v>
      </c>
      <c r="D28" s="961"/>
      <c r="E28" s="53">
        <f t="shared" si="13"/>
        <v>0.06</v>
      </c>
      <c r="F28" s="961"/>
      <c r="G28" s="53">
        <f t="shared" si="14"/>
        <v>1</v>
      </c>
      <c r="H28" s="961"/>
      <c r="I28" s="53">
        <f t="shared" si="15"/>
        <v>1</v>
      </c>
      <c r="J28" s="961"/>
      <c r="K28" s="53">
        <f t="shared" si="16"/>
        <v>1</v>
      </c>
      <c r="L28" s="961"/>
      <c r="M28" s="53">
        <f t="shared" si="17"/>
        <v>0</v>
      </c>
      <c r="N28" s="961"/>
      <c r="O28" s="53">
        <f t="shared" si="18"/>
        <v>1</v>
      </c>
      <c r="P28" s="961"/>
      <c r="Q28" s="53">
        <f t="shared" si="19"/>
        <v>1</v>
      </c>
      <c r="R28" s="489">
        <f t="shared" si="20"/>
        <v>0</v>
      </c>
      <c r="S28" s="798">
        <f t="shared" si="11"/>
        <v>0</v>
      </c>
    </row>
    <row r="29" spans="1:45">
      <c r="A29" s="963"/>
      <c r="B29" s="137"/>
      <c r="C29" s="53">
        <f t="shared" si="12"/>
        <v>1</v>
      </c>
      <c r="D29" s="961"/>
      <c r="E29" s="53">
        <f t="shared" si="13"/>
        <v>0.06</v>
      </c>
      <c r="F29" s="961"/>
      <c r="G29" s="53">
        <f t="shared" si="14"/>
        <v>1</v>
      </c>
      <c r="H29" s="961"/>
      <c r="I29" s="53">
        <f t="shared" si="15"/>
        <v>1</v>
      </c>
      <c r="J29" s="961"/>
      <c r="K29" s="53">
        <f t="shared" si="16"/>
        <v>1</v>
      </c>
      <c r="L29" s="961"/>
      <c r="M29" s="53">
        <f t="shared" si="17"/>
        <v>0</v>
      </c>
      <c r="N29" s="961"/>
      <c r="O29" s="53">
        <f t="shared" si="18"/>
        <v>1</v>
      </c>
      <c r="P29" s="961"/>
      <c r="Q29" s="53">
        <f t="shared" si="19"/>
        <v>1</v>
      </c>
      <c r="R29" s="489">
        <f t="shared" si="20"/>
        <v>0</v>
      </c>
      <c r="S29" s="798">
        <f t="shared" si="11"/>
        <v>0</v>
      </c>
    </row>
    <row r="30" spans="1:45">
      <c r="A30" s="963"/>
      <c r="B30" s="137"/>
      <c r="C30" s="53">
        <f t="shared" si="12"/>
        <v>1</v>
      </c>
      <c r="D30" s="961"/>
      <c r="E30" s="53">
        <f t="shared" si="13"/>
        <v>0.06</v>
      </c>
      <c r="F30" s="961"/>
      <c r="G30" s="53">
        <f t="shared" si="14"/>
        <v>1</v>
      </c>
      <c r="H30" s="961"/>
      <c r="I30" s="53">
        <f t="shared" si="15"/>
        <v>1</v>
      </c>
      <c r="J30" s="961"/>
      <c r="K30" s="53">
        <f t="shared" si="16"/>
        <v>1</v>
      </c>
      <c r="L30" s="961"/>
      <c r="M30" s="53">
        <f t="shared" si="17"/>
        <v>0</v>
      </c>
      <c r="N30" s="961"/>
      <c r="O30" s="53">
        <f t="shared" si="18"/>
        <v>1</v>
      </c>
      <c r="P30" s="961"/>
      <c r="Q30" s="53">
        <f t="shared" si="19"/>
        <v>1</v>
      </c>
      <c r="R30" s="489">
        <f t="shared" si="20"/>
        <v>0</v>
      </c>
      <c r="S30" s="798">
        <f t="shared" si="11"/>
        <v>0</v>
      </c>
    </row>
    <row r="31" spans="1:45">
      <c r="A31" s="963"/>
      <c r="B31" s="137"/>
      <c r="C31" s="53">
        <f t="shared" si="12"/>
        <v>1</v>
      </c>
      <c r="D31" s="961"/>
      <c r="E31" s="53">
        <f t="shared" si="13"/>
        <v>0.06</v>
      </c>
      <c r="F31" s="961"/>
      <c r="G31" s="53">
        <f t="shared" si="14"/>
        <v>1</v>
      </c>
      <c r="H31" s="961"/>
      <c r="I31" s="53">
        <f t="shared" si="15"/>
        <v>1</v>
      </c>
      <c r="J31" s="961"/>
      <c r="K31" s="53">
        <f t="shared" si="16"/>
        <v>1</v>
      </c>
      <c r="L31" s="961"/>
      <c r="M31" s="53">
        <f t="shared" si="17"/>
        <v>0</v>
      </c>
      <c r="N31" s="961"/>
      <c r="O31" s="53">
        <f t="shared" si="18"/>
        <v>1</v>
      </c>
      <c r="P31" s="961"/>
      <c r="Q31" s="53">
        <f t="shared" si="19"/>
        <v>1</v>
      </c>
      <c r="R31" s="489">
        <f t="shared" si="20"/>
        <v>0</v>
      </c>
      <c r="S31" s="798">
        <f t="shared" si="11"/>
        <v>0</v>
      </c>
    </row>
    <row r="32" spans="1:45">
      <c r="A32" s="963"/>
      <c r="B32" s="137"/>
      <c r="C32" s="53">
        <f t="shared" si="12"/>
        <v>1</v>
      </c>
      <c r="D32" s="961"/>
      <c r="E32" s="53">
        <f t="shared" si="13"/>
        <v>0.06</v>
      </c>
      <c r="F32" s="961"/>
      <c r="G32" s="53">
        <f t="shared" si="14"/>
        <v>1</v>
      </c>
      <c r="H32" s="961"/>
      <c r="I32" s="53">
        <f t="shared" si="15"/>
        <v>1</v>
      </c>
      <c r="J32" s="961"/>
      <c r="K32" s="53">
        <f t="shared" si="16"/>
        <v>1</v>
      </c>
      <c r="L32" s="961"/>
      <c r="M32" s="53">
        <f t="shared" si="17"/>
        <v>0</v>
      </c>
      <c r="N32" s="961"/>
      <c r="O32" s="53">
        <f t="shared" si="18"/>
        <v>1</v>
      </c>
      <c r="P32" s="961"/>
      <c r="Q32" s="53">
        <f t="shared" si="19"/>
        <v>1</v>
      </c>
      <c r="R32" s="489">
        <f t="shared" si="20"/>
        <v>0</v>
      </c>
      <c r="S32" s="798">
        <f t="shared" si="11"/>
        <v>0</v>
      </c>
    </row>
    <row r="33" spans="1:19">
      <c r="A33" s="963"/>
      <c r="B33" s="137"/>
      <c r="C33" s="53">
        <f t="shared" si="12"/>
        <v>1</v>
      </c>
      <c r="D33" s="961"/>
      <c r="E33" s="53">
        <f t="shared" si="13"/>
        <v>0.06</v>
      </c>
      <c r="F33" s="961"/>
      <c r="G33" s="53">
        <f t="shared" si="14"/>
        <v>1</v>
      </c>
      <c r="H33" s="961"/>
      <c r="I33" s="53">
        <f t="shared" si="15"/>
        <v>1</v>
      </c>
      <c r="J33" s="961"/>
      <c r="K33" s="53">
        <f t="shared" si="16"/>
        <v>1</v>
      </c>
      <c r="L33" s="961"/>
      <c r="M33" s="53">
        <f t="shared" si="17"/>
        <v>0</v>
      </c>
      <c r="N33" s="961"/>
      <c r="O33" s="53">
        <f t="shared" si="18"/>
        <v>1</v>
      </c>
      <c r="P33" s="961"/>
      <c r="Q33" s="53">
        <f t="shared" si="19"/>
        <v>1</v>
      </c>
      <c r="R33" s="489">
        <f t="shared" si="20"/>
        <v>0</v>
      </c>
      <c r="S33" s="798">
        <f t="shared" si="11"/>
        <v>0</v>
      </c>
    </row>
    <row r="34" spans="1:19">
      <c r="A34" s="963"/>
      <c r="B34" s="137"/>
      <c r="C34" s="53">
        <f t="shared" si="12"/>
        <v>1</v>
      </c>
      <c r="D34" s="961"/>
      <c r="E34" s="53">
        <f t="shared" si="13"/>
        <v>0.06</v>
      </c>
      <c r="F34" s="961"/>
      <c r="G34" s="53">
        <f t="shared" si="14"/>
        <v>1</v>
      </c>
      <c r="H34" s="961"/>
      <c r="I34" s="53">
        <f t="shared" si="15"/>
        <v>1</v>
      </c>
      <c r="J34" s="961"/>
      <c r="K34" s="53">
        <f t="shared" si="16"/>
        <v>1</v>
      </c>
      <c r="L34" s="961"/>
      <c r="M34" s="53">
        <f t="shared" si="17"/>
        <v>0</v>
      </c>
      <c r="N34" s="961"/>
      <c r="O34" s="53">
        <f t="shared" si="18"/>
        <v>1</v>
      </c>
      <c r="P34" s="961"/>
      <c r="Q34" s="53">
        <f t="shared" si="19"/>
        <v>1</v>
      </c>
      <c r="R34" s="489">
        <f t="shared" si="20"/>
        <v>0</v>
      </c>
      <c r="S34" s="798">
        <f t="shared" si="11"/>
        <v>0</v>
      </c>
    </row>
    <row r="35" spans="1:19">
      <c r="A35" s="963"/>
      <c r="B35" s="137"/>
      <c r="C35" s="53">
        <f t="shared" si="12"/>
        <v>1</v>
      </c>
      <c r="D35" s="961"/>
      <c r="E35" s="53">
        <f t="shared" si="13"/>
        <v>0.06</v>
      </c>
      <c r="F35" s="961"/>
      <c r="G35" s="53">
        <f t="shared" si="14"/>
        <v>1</v>
      </c>
      <c r="H35" s="961"/>
      <c r="I35" s="53">
        <f t="shared" si="15"/>
        <v>1</v>
      </c>
      <c r="J35" s="961"/>
      <c r="K35" s="53">
        <f t="shared" si="16"/>
        <v>1</v>
      </c>
      <c r="L35" s="961"/>
      <c r="M35" s="53">
        <f t="shared" si="17"/>
        <v>0</v>
      </c>
      <c r="N35" s="961"/>
      <c r="O35" s="53">
        <f t="shared" si="18"/>
        <v>1</v>
      </c>
      <c r="P35" s="961"/>
      <c r="Q35" s="53">
        <f t="shared" si="19"/>
        <v>1</v>
      </c>
      <c r="R35" s="489">
        <f t="shared" si="20"/>
        <v>0</v>
      </c>
      <c r="S35" s="798">
        <f t="shared" si="11"/>
        <v>0</v>
      </c>
    </row>
    <row r="36" spans="1:19">
      <c r="A36" s="963"/>
      <c r="B36" s="137"/>
      <c r="C36" s="53">
        <f t="shared" si="12"/>
        <v>1</v>
      </c>
      <c r="D36" s="961"/>
      <c r="E36" s="53">
        <f t="shared" si="13"/>
        <v>0.06</v>
      </c>
      <c r="F36" s="961"/>
      <c r="G36" s="53">
        <f t="shared" si="14"/>
        <v>1</v>
      </c>
      <c r="H36" s="961"/>
      <c r="I36" s="53">
        <f t="shared" si="15"/>
        <v>1</v>
      </c>
      <c r="J36" s="961"/>
      <c r="K36" s="53">
        <f t="shared" si="16"/>
        <v>1</v>
      </c>
      <c r="L36" s="961"/>
      <c r="M36" s="53">
        <f t="shared" si="17"/>
        <v>0</v>
      </c>
      <c r="N36" s="961"/>
      <c r="O36" s="53">
        <f t="shared" si="18"/>
        <v>1</v>
      </c>
      <c r="P36" s="961"/>
      <c r="Q36" s="53">
        <f t="shared" si="19"/>
        <v>1</v>
      </c>
      <c r="R36" s="489">
        <f t="shared" si="20"/>
        <v>0</v>
      </c>
      <c r="S36" s="798">
        <f t="shared" si="11"/>
        <v>0</v>
      </c>
    </row>
    <row r="37" spans="1:19">
      <c r="A37" s="963"/>
      <c r="B37" s="137"/>
      <c r="C37" s="53">
        <f t="shared" si="12"/>
        <v>1</v>
      </c>
      <c r="D37" s="961"/>
      <c r="E37" s="53">
        <f t="shared" si="13"/>
        <v>0.06</v>
      </c>
      <c r="F37" s="961"/>
      <c r="G37" s="53">
        <f t="shared" si="14"/>
        <v>1</v>
      </c>
      <c r="H37" s="961"/>
      <c r="I37" s="53">
        <f t="shared" si="15"/>
        <v>1</v>
      </c>
      <c r="J37" s="961"/>
      <c r="K37" s="53">
        <f t="shared" si="16"/>
        <v>1</v>
      </c>
      <c r="L37" s="961"/>
      <c r="M37" s="53">
        <f t="shared" si="17"/>
        <v>0</v>
      </c>
      <c r="N37" s="961"/>
      <c r="O37" s="53">
        <f t="shared" si="18"/>
        <v>1</v>
      </c>
      <c r="P37" s="961"/>
      <c r="Q37" s="53">
        <f t="shared" si="19"/>
        <v>1</v>
      </c>
      <c r="R37" s="489">
        <f t="shared" si="20"/>
        <v>0</v>
      </c>
      <c r="S37" s="798">
        <f t="shared" si="11"/>
        <v>0</v>
      </c>
    </row>
    <row r="38" spans="1:19">
      <c r="A38" s="963"/>
      <c r="B38" s="137"/>
      <c r="C38" s="53">
        <f t="shared" si="12"/>
        <v>1</v>
      </c>
      <c r="D38" s="961"/>
      <c r="E38" s="53">
        <f t="shared" si="13"/>
        <v>0.06</v>
      </c>
      <c r="F38" s="961"/>
      <c r="G38" s="53">
        <f t="shared" si="14"/>
        <v>1</v>
      </c>
      <c r="H38" s="961"/>
      <c r="I38" s="53">
        <f t="shared" si="15"/>
        <v>1</v>
      </c>
      <c r="J38" s="961"/>
      <c r="K38" s="53">
        <f t="shared" si="16"/>
        <v>1</v>
      </c>
      <c r="L38" s="961"/>
      <c r="M38" s="53">
        <f t="shared" si="17"/>
        <v>0</v>
      </c>
      <c r="N38" s="961"/>
      <c r="O38" s="53">
        <f t="shared" si="18"/>
        <v>1</v>
      </c>
      <c r="P38" s="961"/>
      <c r="Q38" s="53">
        <f t="shared" si="19"/>
        <v>1</v>
      </c>
      <c r="R38" s="489">
        <f t="shared" si="20"/>
        <v>0</v>
      </c>
      <c r="S38" s="798">
        <f t="shared" si="11"/>
        <v>0</v>
      </c>
    </row>
    <row r="39" spans="1:19">
      <c r="A39" s="963"/>
      <c r="B39" s="137"/>
      <c r="C39" s="53">
        <f t="shared" si="12"/>
        <v>1</v>
      </c>
      <c r="D39" s="961"/>
      <c r="E39" s="53">
        <f t="shared" si="13"/>
        <v>0.06</v>
      </c>
      <c r="F39" s="961"/>
      <c r="G39" s="53">
        <f t="shared" si="14"/>
        <v>1</v>
      </c>
      <c r="H39" s="961"/>
      <c r="I39" s="53">
        <f t="shared" si="15"/>
        <v>1</v>
      </c>
      <c r="J39" s="961"/>
      <c r="K39" s="53">
        <f t="shared" si="16"/>
        <v>1</v>
      </c>
      <c r="L39" s="961"/>
      <c r="M39" s="53">
        <f t="shared" si="17"/>
        <v>0</v>
      </c>
      <c r="N39" s="961"/>
      <c r="O39" s="53">
        <f t="shared" si="18"/>
        <v>1</v>
      </c>
      <c r="P39" s="961"/>
      <c r="Q39" s="53">
        <f t="shared" si="19"/>
        <v>1</v>
      </c>
      <c r="R39" s="489">
        <f t="shared" si="20"/>
        <v>0</v>
      </c>
      <c r="S39" s="798">
        <f t="shared" si="11"/>
        <v>0</v>
      </c>
    </row>
    <row r="40" spans="1:19">
      <c r="A40" s="963"/>
      <c r="B40" s="137"/>
      <c r="C40" s="53">
        <f t="shared" si="12"/>
        <v>1</v>
      </c>
      <c r="D40" s="961"/>
      <c r="E40" s="53">
        <f t="shared" si="13"/>
        <v>0.06</v>
      </c>
      <c r="F40" s="961"/>
      <c r="G40" s="53">
        <f t="shared" si="14"/>
        <v>1</v>
      </c>
      <c r="H40" s="961"/>
      <c r="I40" s="53">
        <f t="shared" si="15"/>
        <v>1</v>
      </c>
      <c r="J40" s="961"/>
      <c r="K40" s="53">
        <f t="shared" si="16"/>
        <v>1</v>
      </c>
      <c r="L40" s="961"/>
      <c r="M40" s="53">
        <f t="shared" si="17"/>
        <v>0</v>
      </c>
      <c r="N40" s="961"/>
      <c r="O40" s="53">
        <f t="shared" si="18"/>
        <v>1</v>
      </c>
      <c r="P40" s="961"/>
      <c r="Q40" s="53">
        <f t="shared" si="19"/>
        <v>1</v>
      </c>
      <c r="R40" s="489">
        <f t="shared" si="20"/>
        <v>0</v>
      </c>
      <c r="S40" s="798">
        <f t="shared" si="11"/>
        <v>0</v>
      </c>
    </row>
    <row r="41" spans="1:19">
      <c r="A41" s="963"/>
      <c r="B41" s="137"/>
      <c r="C41" s="53">
        <f t="shared" si="12"/>
        <v>1</v>
      </c>
      <c r="D41" s="961"/>
      <c r="E41" s="53">
        <f t="shared" si="13"/>
        <v>0.06</v>
      </c>
      <c r="F41" s="961"/>
      <c r="G41" s="53">
        <f t="shared" si="14"/>
        <v>1</v>
      </c>
      <c r="H41" s="961"/>
      <c r="I41" s="53">
        <f t="shared" si="15"/>
        <v>1</v>
      </c>
      <c r="J41" s="961"/>
      <c r="K41" s="53">
        <f t="shared" si="16"/>
        <v>1</v>
      </c>
      <c r="L41" s="961"/>
      <c r="M41" s="53">
        <f t="shared" si="17"/>
        <v>0</v>
      </c>
      <c r="N41" s="961"/>
      <c r="O41" s="53">
        <f t="shared" si="18"/>
        <v>1</v>
      </c>
      <c r="P41" s="961"/>
      <c r="Q41" s="53">
        <f t="shared" si="19"/>
        <v>1</v>
      </c>
      <c r="R41" s="489">
        <f t="shared" si="20"/>
        <v>0</v>
      </c>
      <c r="S41" s="798">
        <f t="shared" si="11"/>
        <v>0</v>
      </c>
    </row>
    <row r="42" spans="1:19">
      <c r="A42" s="963"/>
      <c r="B42" s="137"/>
      <c r="C42" s="53">
        <f t="shared" si="12"/>
        <v>1</v>
      </c>
      <c r="D42" s="961"/>
      <c r="E42" s="53">
        <f t="shared" si="13"/>
        <v>0.06</v>
      </c>
      <c r="F42" s="961"/>
      <c r="G42" s="53">
        <f t="shared" si="14"/>
        <v>1</v>
      </c>
      <c r="H42" s="961"/>
      <c r="I42" s="53">
        <f t="shared" si="15"/>
        <v>1</v>
      </c>
      <c r="J42" s="961"/>
      <c r="K42" s="53">
        <f t="shared" si="16"/>
        <v>1</v>
      </c>
      <c r="L42" s="961"/>
      <c r="M42" s="53">
        <f t="shared" si="17"/>
        <v>0</v>
      </c>
      <c r="N42" s="961"/>
      <c r="O42" s="53">
        <f t="shared" si="18"/>
        <v>1</v>
      </c>
      <c r="P42" s="961"/>
      <c r="Q42" s="53">
        <f t="shared" si="19"/>
        <v>1</v>
      </c>
      <c r="R42" s="489">
        <f t="shared" si="20"/>
        <v>0</v>
      </c>
      <c r="S42" s="798">
        <f t="shared" si="11"/>
        <v>0</v>
      </c>
    </row>
    <row r="43" spans="1:19">
      <c r="A43" s="963"/>
      <c r="B43" s="137"/>
      <c r="C43" s="53">
        <f t="shared" si="12"/>
        <v>1</v>
      </c>
      <c r="D43" s="961"/>
      <c r="E43" s="53">
        <f t="shared" si="13"/>
        <v>0.06</v>
      </c>
      <c r="F43" s="961"/>
      <c r="G43" s="53">
        <f t="shared" si="14"/>
        <v>1</v>
      </c>
      <c r="H43" s="961"/>
      <c r="I43" s="53">
        <f t="shared" si="15"/>
        <v>1</v>
      </c>
      <c r="J43" s="961"/>
      <c r="K43" s="53">
        <f t="shared" si="16"/>
        <v>1</v>
      </c>
      <c r="L43" s="961"/>
      <c r="M43" s="53">
        <f t="shared" si="17"/>
        <v>0</v>
      </c>
      <c r="N43" s="961"/>
      <c r="O43" s="53">
        <f t="shared" si="18"/>
        <v>1</v>
      </c>
      <c r="P43" s="961"/>
      <c r="Q43" s="53">
        <f t="shared" si="19"/>
        <v>1</v>
      </c>
      <c r="R43" s="489">
        <f t="shared" si="20"/>
        <v>0</v>
      </c>
      <c r="S43" s="798">
        <f t="shared" si="11"/>
        <v>0</v>
      </c>
    </row>
    <row r="44" spans="1:19">
      <c r="A44" s="963"/>
      <c r="B44" s="137"/>
      <c r="C44" s="53">
        <f t="shared" si="12"/>
        <v>1</v>
      </c>
      <c r="D44" s="961"/>
      <c r="E44" s="53">
        <f t="shared" si="13"/>
        <v>0.06</v>
      </c>
      <c r="F44" s="961"/>
      <c r="G44" s="53">
        <f t="shared" si="14"/>
        <v>1</v>
      </c>
      <c r="H44" s="961"/>
      <c r="I44" s="53">
        <f t="shared" si="15"/>
        <v>1</v>
      </c>
      <c r="J44" s="961"/>
      <c r="K44" s="53">
        <f t="shared" si="16"/>
        <v>1</v>
      </c>
      <c r="L44" s="961"/>
      <c r="M44" s="53">
        <f t="shared" si="17"/>
        <v>0</v>
      </c>
      <c r="N44" s="961"/>
      <c r="O44" s="53">
        <f t="shared" si="18"/>
        <v>1</v>
      </c>
      <c r="P44" s="961"/>
      <c r="Q44" s="53">
        <f t="shared" si="19"/>
        <v>1</v>
      </c>
      <c r="R44" s="489">
        <f t="shared" si="20"/>
        <v>0</v>
      </c>
      <c r="S44" s="798">
        <f t="shared" si="11"/>
        <v>0</v>
      </c>
    </row>
    <row r="45" spans="1:19">
      <c r="A45" s="963"/>
      <c r="B45" s="137"/>
      <c r="C45" s="53">
        <f t="shared" si="12"/>
        <v>1</v>
      </c>
      <c r="D45" s="961"/>
      <c r="E45" s="53">
        <f t="shared" si="13"/>
        <v>0.06</v>
      </c>
      <c r="F45" s="961"/>
      <c r="G45" s="53">
        <f t="shared" si="14"/>
        <v>1</v>
      </c>
      <c r="H45" s="961"/>
      <c r="I45" s="53">
        <f t="shared" si="15"/>
        <v>1</v>
      </c>
      <c r="J45" s="961"/>
      <c r="K45" s="53">
        <f t="shared" si="16"/>
        <v>1</v>
      </c>
      <c r="L45" s="961"/>
      <c r="M45" s="53">
        <f t="shared" si="17"/>
        <v>0</v>
      </c>
      <c r="N45" s="961"/>
      <c r="O45" s="53">
        <f t="shared" si="18"/>
        <v>1</v>
      </c>
      <c r="P45" s="961"/>
      <c r="Q45" s="53">
        <f t="shared" si="19"/>
        <v>1</v>
      </c>
      <c r="R45" s="489">
        <f t="shared" si="20"/>
        <v>0</v>
      </c>
      <c r="S45" s="798">
        <f t="shared" si="11"/>
        <v>0</v>
      </c>
    </row>
    <row r="46" spans="1:19">
      <c r="A46" s="963"/>
      <c r="B46" s="137"/>
      <c r="C46" s="53">
        <f t="shared" si="12"/>
        <v>1</v>
      </c>
      <c r="D46" s="961"/>
      <c r="E46" s="53">
        <f t="shared" si="13"/>
        <v>0.06</v>
      </c>
      <c r="F46" s="961"/>
      <c r="G46" s="53">
        <f t="shared" si="14"/>
        <v>1</v>
      </c>
      <c r="H46" s="961"/>
      <c r="I46" s="53">
        <f t="shared" si="15"/>
        <v>1</v>
      </c>
      <c r="J46" s="961"/>
      <c r="K46" s="53">
        <f t="shared" si="16"/>
        <v>1</v>
      </c>
      <c r="L46" s="961"/>
      <c r="M46" s="53">
        <f t="shared" si="17"/>
        <v>0</v>
      </c>
      <c r="N46" s="961"/>
      <c r="O46" s="53">
        <f t="shared" si="18"/>
        <v>1</v>
      </c>
      <c r="P46" s="961"/>
      <c r="Q46" s="53">
        <f t="shared" si="19"/>
        <v>1</v>
      </c>
      <c r="R46" s="489">
        <f t="shared" si="20"/>
        <v>0</v>
      </c>
      <c r="S46" s="798">
        <f t="shared" si="11"/>
        <v>0</v>
      </c>
    </row>
    <row r="47" spans="1:19">
      <c r="A47" s="963"/>
      <c r="B47" s="137"/>
      <c r="C47" s="53">
        <f t="shared" si="12"/>
        <v>1</v>
      </c>
      <c r="D47" s="961"/>
      <c r="E47" s="53">
        <f t="shared" si="13"/>
        <v>0.06</v>
      </c>
      <c r="F47" s="961"/>
      <c r="G47" s="53">
        <f t="shared" si="14"/>
        <v>1</v>
      </c>
      <c r="H47" s="961"/>
      <c r="I47" s="53">
        <f t="shared" si="15"/>
        <v>1</v>
      </c>
      <c r="J47" s="961"/>
      <c r="K47" s="53">
        <f t="shared" si="16"/>
        <v>1</v>
      </c>
      <c r="L47" s="961"/>
      <c r="M47" s="53">
        <f t="shared" si="17"/>
        <v>0</v>
      </c>
      <c r="N47" s="961"/>
      <c r="O47" s="53">
        <f t="shared" si="18"/>
        <v>1</v>
      </c>
      <c r="P47" s="961"/>
      <c r="Q47" s="53">
        <f t="shared" si="19"/>
        <v>1</v>
      </c>
      <c r="R47" s="489">
        <f t="shared" si="20"/>
        <v>0</v>
      </c>
      <c r="S47" s="798">
        <f t="shared" si="11"/>
        <v>0</v>
      </c>
    </row>
    <row r="48" spans="1:19">
      <c r="A48" s="963"/>
      <c r="B48" s="137"/>
      <c r="C48" s="53">
        <f t="shared" si="12"/>
        <v>1</v>
      </c>
      <c r="D48" s="961"/>
      <c r="E48" s="53">
        <f t="shared" si="13"/>
        <v>0.06</v>
      </c>
      <c r="F48" s="961"/>
      <c r="G48" s="53">
        <f t="shared" si="14"/>
        <v>1</v>
      </c>
      <c r="H48" s="961"/>
      <c r="I48" s="53">
        <f t="shared" si="15"/>
        <v>1</v>
      </c>
      <c r="J48" s="961"/>
      <c r="K48" s="53">
        <f t="shared" si="16"/>
        <v>1</v>
      </c>
      <c r="L48" s="961"/>
      <c r="M48" s="53">
        <f t="shared" si="17"/>
        <v>0</v>
      </c>
      <c r="N48" s="961"/>
      <c r="O48" s="53">
        <f t="shared" si="18"/>
        <v>1</v>
      </c>
      <c r="P48" s="961"/>
      <c r="Q48" s="53">
        <f t="shared" si="19"/>
        <v>1</v>
      </c>
      <c r="R48" s="489">
        <f t="shared" si="20"/>
        <v>0</v>
      </c>
      <c r="S48" s="798">
        <f t="shared" si="11"/>
        <v>0</v>
      </c>
    </row>
    <row r="49" spans="1:19">
      <c r="A49" s="963"/>
      <c r="B49" s="137"/>
      <c r="C49" s="53">
        <f t="shared" si="12"/>
        <v>1</v>
      </c>
      <c r="D49" s="961"/>
      <c r="E49" s="53">
        <f t="shared" si="13"/>
        <v>0.06</v>
      </c>
      <c r="F49" s="961"/>
      <c r="G49" s="53">
        <f t="shared" si="14"/>
        <v>1</v>
      </c>
      <c r="H49" s="961"/>
      <c r="I49" s="53">
        <f t="shared" si="15"/>
        <v>1</v>
      </c>
      <c r="J49" s="961"/>
      <c r="K49" s="53">
        <f t="shared" si="16"/>
        <v>1</v>
      </c>
      <c r="L49" s="961"/>
      <c r="M49" s="53">
        <f t="shared" si="17"/>
        <v>0</v>
      </c>
      <c r="N49" s="961"/>
      <c r="O49" s="53">
        <f t="shared" si="18"/>
        <v>1</v>
      </c>
      <c r="P49" s="961"/>
      <c r="Q49" s="53">
        <f t="shared" si="19"/>
        <v>1</v>
      </c>
      <c r="R49" s="489">
        <f t="shared" si="20"/>
        <v>0</v>
      </c>
      <c r="S49" s="798">
        <f t="shared" si="11"/>
        <v>0</v>
      </c>
    </row>
    <row r="50" spans="1:19">
      <c r="A50" s="963"/>
      <c r="B50" s="137"/>
      <c r="C50" s="53">
        <f t="shared" si="12"/>
        <v>1</v>
      </c>
      <c r="D50" s="961"/>
      <c r="E50" s="53">
        <f t="shared" si="13"/>
        <v>0.06</v>
      </c>
      <c r="F50" s="961"/>
      <c r="G50" s="53">
        <f t="shared" si="14"/>
        <v>1</v>
      </c>
      <c r="H50" s="961"/>
      <c r="I50" s="53">
        <f t="shared" si="15"/>
        <v>1</v>
      </c>
      <c r="J50" s="961"/>
      <c r="K50" s="53">
        <f t="shared" si="16"/>
        <v>1</v>
      </c>
      <c r="L50" s="961"/>
      <c r="M50" s="53">
        <f t="shared" si="17"/>
        <v>0</v>
      </c>
      <c r="N50" s="961"/>
      <c r="O50" s="53">
        <f t="shared" si="18"/>
        <v>1</v>
      </c>
      <c r="P50" s="961"/>
      <c r="Q50" s="53">
        <f t="shared" si="19"/>
        <v>1</v>
      </c>
      <c r="R50" s="489">
        <f t="shared" si="20"/>
        <v>0</v>
      </c>
      <c r="S50" s="798">
        <f t="shared" si="11"/>
        <v>0</v>
      </c>
    </row>
    <row r="51" spans="1:19">
      <c r="A51" s="963"/>
      <c r="B51" s="137"/>
      <c r="C51" s="53">
        <f t="shared" si="12"/>
        <v>1</v>
      </c>
      <c r="D51" s="961"/>
      <c r="E51" s="53">
        <f t="shared" si="13"/>
        <v>0.06</v>
      </c>
      <c r="F51" s="961"/>
      <c r="G51" s="53">
        <f t="shared" si="14"/>
        <v>1</v>
      </c>
      <c r="H51" s="961"/>
      <c r="I51" s="53">
        <f t="shared" si="15"/>
        <v>1</v>
      </c>
      <c r="J51" s="961"/>
      <c r="K51" s="53">
        <f t="shared" si="16"/>
        <v>1</v>
      </c>
      <c r="L51" s="961"/>
      <c r="M51" s="53">
        <f t="shared" si="17"/>
        <v>0</v>
      </c>
      <c r="N51" s="961"/>
      <c r="O51" s="53">
        <f t="shared" si="18"/>
        <v>1</v>
      </c>
      <c r="P51" s="961"/>
      <c r="Q51" s="53">
        <f t="shared" si="19"/>
        <v>1</v>
      </c>
      <c r="R51" s="489">
        <f t="shared" si="20"/>
        <v>0</v>
      </c>
      <c r="S51" s="798">
        <f t="shared" si="11"/>
        <v>0</v>
      </c>
    </row>
    <row r="52" spans="1:19">
      <c r="A52" s="963"/>
      <c r="B52" s="137"/>
      <c r="C52" s="53">
        <f t="shared" si="12"/>
        <v>1</v>
      </c>
      <c r="D52" s="961"/>
      <c r="E52" s="53">
        <f t="shared" si="13"/>
        <v>0.06</v>
      </c>
      <c r="F52" s="961"/>
      <c r="G52" s="53">
        <f t="shared" si="14"/>
        <v>1</v>
      </c>
      <c r="H52" s="961"/>
      <c r="I52" s="53">
        <f t="shared" si="15"/>
        <v>1</v>
      </c>
      <c r="J52" s="961"/>
      <c r="K52" s="53">
        <f t="shared" si="16"/>
        <v>1</v>
      </c>
      <c r="L52" s="961"/>
      <c r="M52" s="53">
        <f t="shared" si="17"/>
        <v>0</v>
      </c>
      <c r="N52" s="961"/>
      <c r="O52" s="53">
        <f t="shared" si="18"/>
        <v>1</v>
      </c>
      <c r="P52" s="961"/>
      <c r="Q52" s="53">
        <f t="shared" si="19"/>
        <v>1</v>
      </c>
      <c r="R52" s="489">
        <f t="shared" si="20"/>
        <v>0</v>
      </c>
      <c r="S52" s="798">
        <f t="shared" si="11"/>
        <v>0</v>
      </c>
    </row>
    <row r="53" spans="1:19">
      <c r="A53" s="963"/>
      <c r="B53" s="137"/>
      <c r="C53" s="53">
        <f t="shared" si="12"/>
        <v>1</v>
      </c>
      <c r="D53" s="961"/>
      <c r="E53" s="53">
        <f t="shared" si="13"/>
        <v>0.06</v>
      </c>
      <c r="F53" s="961"/>
      <c r="G53" s="53">
        <f t="shared" si="14"/>
        <v>1</v>
      </c>
      <c r="H53" s="961"/>
      <c r="I53" s="53">
        <f t="shared" si="15"/>
        <v>1</v>
      </c>
      <c r="J53" s="961"/>
      <c r="K53" s="53">
        <f t="shared" si="16"/>
        <v>1</v>
      </c>
      <c r="L53" s="961"/>
      <c r="M53" s="53">
        <f t="shared" si="17"/>
        <v>0</v>
      </c>
      <c r="N53" s="961"/>
      <c r="O53" s="53">
        <f t="shared" si="18"/>
        <v>1</v>
      </c>
      <c r="P53" s="961"/>
      <c r="Q53" s="53">
        <f t="shared" si="19"/>
        <v>1</v>
      </c>
      <c r="R53" s="489">
        <f t="shared" si="20"/>
        <v>0</v>
      </c>
      <c r="S53" s="798">
        <f t="shared" si="11"/>
        <v>0</v>
      </c>
    </row>
    <row r="54" spans="1:19">
      <c r="A54" s="963"/>
      <c r="B54" s="137"/>
      <c r="C54" s="53">
        <f t="shared" si="12"/>
        <v>1</v>
      </c>
      <c r="D54" s="961"/>
      <c r="E54" s="53">
        <f t="shared" si="13"/>
        <v>0.06</v>
      </c>
      <c r="F54" s="961"/>
      <c r="G54" s="53">
        <f t="shared" si="14"/>
        <v>1</v>
      </c>
      <c r="H54" s="961"/>
      <c r="I54" s="53">
        <f t="shared" si="15"/>
        <v>1</v>
      </c>
      <c r="J54" s="961"/>
      <c r="K54" s="53">
        <f t="shared" si="16"/>
        <v>1</v>
      </c>
      <c r="L54" s="961"/>
      <c r="M54" s="53">
        <f t="shared" si="17"/>
        <v>0</v>
      </c>
      <c r="N54" s="961"/>
      <c r="O54" s="53">
        <f t="shared" si="18"/>
        <v>1</v>
      </c>
      <c r="P54" s="961"/>
      <c r="Q54" s="53">
        <f t="shared" si="19"/>
        <v>1</v>
      </c>
      <c r="R54" s="489">
        <f t="shared" si="20"/>
        <v>0</v>
      </c>
      <c r="S54" s="798">
        <f t="shared" si="11"/>
        <v>0</v>
      </c>
    </row>
    <row r="55" spans="1:19">
      <c r="A55" s="963"/>
      <c r="B55" s="137"/>
      <c r="C55" s="53">
        <f t="shared" si="12"/>
        <v>1</v>
      </c>
      <c r="D55" s="961"/>
      <c r="E55" s="53">
        <f t="shared" si="13"/>
        <v>0.06</v>
      </c>
      <c r="F55" s="961"/>
      <c r="G55" s="53">
        <f t="shared" si="14"/>
        <v>1</v>
      </c>
      <c r="H55" s="961"/>
      <c r="I55" s="53">
        <f t="shared" si="15"/>
        <v>1</v>
      </c>
      <c r="J55" s="961"/>
      <c r="K55" s="53">
        <f t="shared" si="16"/>
        <v>1</v>
      </c>
      <c r="L55" s="961"/>
      <c r="M55" s="53">
        <f t="shared" si="17"/>
        <v>0</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0.06</v>
      </c>
      <c r="F56" s="961"/>
      <c r="G56" s="53">
        <f t="shared" si="14"/>
        <v>1</v>
      </c>
      <c r="H56" s="961"/>
      <c r="I56" s="53">
        <f t="shared" si="15"/>
        <v>1</v>
      </c>
      <c r="J56" s="961"/>
      <c r="K56" s="53">
        <f t="shared" si="16"/>
        <v>1</v>
      </c>
      <c r="L56" s="961"/>
      <c r="M56" s="53">
        <f t="shared" si="17"/>
        <v>0</v>
      </c>
      <c r="N56" s="961"/>
      <c r="O56" s="53">
        <f t="shared" si="18"/>
        <v>1</v>
      </c>
      <c r="P56" s="961"/>
      <c r="Q56" s="53">
        <f t="shared" si="19"/>
        <v>1</v>
      </c>
      <c r="R56" s="489">
        <f t="shared" si="20"/>
        <v>0</v>
      </c>
      <c r="S56" s="798">
        <f t="shared" si="21"/>
        <v>0</v>
      </c>
    </row>
    <row r="57" spans="1:19">
      <c r="A57" s="963"/>
      <c r="B57" s="137"/>
      <c r="C57" s="53">
        <f t="shared" si="12"/>
        <v>1</v>
      </c>
      <c r="D57" s="961"/>
      <c r="E57" s="53">
        <f t="shared" si="13"/>
        <v>0.06</v>
      </c>
      <c r="F57" s="961"/>
      <c r="G57" s="53">
        <f t="shared" si="14"/>
        <v>1</v>
      </c>
      <c r="H57" s="961"/>
      <c r="I57" s="53">
        <f t="shared" si="15"/>
        <v>1</v>
      </c>
      <c r="J57" s="961"/>
      <c r="K57" s="53">
        <f t="shared" si="16"/>
        <v>1</v>
      </c>
      <c r="L57" s="961"/>
      <c r="M57" s="53">
        <f t="shared" si="17"/>
        <v>0</v>
      </c>
      <c r="N57" s="961"/>
      <c r="O57" s="53">
        <f t="shared" si="18"/>
        <v>1</v>
      </c>
      <c r="P57" s="961"/>
      <c r="Q57" s="53">
        <f t="shared" si="19"/>
        <v>1</v>
      </c>
      <c r="R57" s="489">
        <f t="shared" si="20"/>
        <v>0</v>
      </c>
      <c r="S57" s="798">
        <f t="shared" si="21"/>
        <v>0</v>
      </c>
    </row>
    <row r="58" spans="1:19">
      <c r="A58" s="963"/>
      <c r="B58" s="137"/>
      <c r="C58" s="53">
        <f t="shared" si="12"/>
        <v>1</v>
      </c>
      <c r="D58" s="961"/>
      <c r="E58" s="53">
        <f t="shared" si="13"/>
        <v>0.06</v>
      </c>
      <c r="F58" s="961"/>
      <c r="G58" s="53">
        <f t="shared" si="14"/>
        <v>1</v>
      </c>
      <c r="H58" s="961"/>
      <c r="I58" s="53">
        <f t="shared" si="15"/>
        <v>1</v>
      </c>
      <c r="J58" s="961"/>
      <c r="K58" s="53">
        <f t="shared" si="16"/>
        <v>1</v>
      </c>
      <c r="L58" s="961"/>
      <c r="M58" s="53">
        <f t="shared" si="17"/>
        <v>0</v>
      </c>
      <c r="N58" s="961"/>
      <c r="O58" s="53">
        <f t="shared" si="18"/>
        <v>1</v>
      </c>
      <c r="P58" s="961"/>
      <c r="Q58" s="53">
        <f t="shared" si="19"/>
        <v>1</v>
      </c>
      <c r="R58" s="489">
        <f t="shared" si="20"/>
        <v>0</v>
      </c>
      <c r="S58" s="798">
        <f t="shared" si="21"/>
        <v>0</v>
      </c>
    </row>
    <row r="59" spans="1:19">
      <c r="A59" s="963"/>
      <c r="B59" s="137"/>
      <c r="C59" s="53">
        <f t="shared" si="12"/>
        <v>1</v>
      </c>
      <c r="D59" s="961"/>
      <c r="E59" s="53">
        <f t="shared" si="13"/>
        <v>0.06</v>
      </c>
      <c r="F59" s="961"/>
      <c r="G59" s="53">
        <f t="shared" si="14"/>
        <v>1</v>
      </c>
      <c r="H59" s="961"/>
      <c r="I59" s="53">
        <f t="shared" si="15"/>
        <v>1</v>
      </c>
      <c r="J59" s="961"/>
      <c r="K59" s="53">
        <f t="shared" si="16"/>
        <v>1</v>
      </c>
      <c r="L59" s="961"/>
      <c r="M59" s="53">
        <f t="shared" si="17"/>
        <v>0</v>
      </c>
      <c r="N59" s="961"/>
      <c r="O59" s="53">
        <f t="shared" si="18"/>
        <v>1</v>
      </c>
      <c r="P59" s="961"/>
      <c r="Q59" s="53">
        <f t="shared" si="19"/>
        <v>1</v>
      </c>
      <c r="R59" s="489">
        <f t="shared" si="20"/>
        <v>0</v>
      </c>
      <c r="S59" s="798">
        <f t="shared" si="21"/>
        <v>0</v>
      </c>
    </row>
    <row r="60" spans="1:19">
      <c r="A60" s="963"/>
      <c r="B60" s="137"/>
      <c r="C60" s="53">
        <f t="shared" si="12"/>
        <v>1</v>
      </c>
      <c r="D60" s="961"/>
      <c r="E60" s="53">
        <f t="shared" si="13"/>
        <v>0.06</v>
      </c>
      <c r="F60" s="961"/>
      <c r="G60" s="53">
        <f t="shared" si="14"/>
        <v>1</v>
      </c>
      <c r="H60" s="961"/>
      <c r="I60" s="53">
        <f t="shared" si="15"/>
        <v>1</v>
      </c>
      <c r="J60" s="961"/>
      <c r="K60" s="53">
        <f t="shared" si="16"/>
        <v>1</v>
      </c>
      <c r="L60" s="961"/>
      <c r="M60" s="53">
        <f t="shared" si="17"/>
        <v>0</v>
      </c>
      <c r="N60" s="961"/>
      <c r="O60" s="53">
        <f t="shared" si="18"/>
        <v>1</v>
      </c>
      <c r="P60" s="961"/>
      <c r="Q60" s="53">
        <f t="shared" si="19"/>
        <v>1</v>
      </c>
      <c r="R60" s="489">
        <f t="shared" si="20"/>
        <v>0</v>
      </c>
      <c r="S60" s="798">
        <f t="shared" si="21"/>
        <v>0</v>
      </c>
    </row>
    <row r="61" spans="1:19">
      <c r="A61" s="963"/>
      <c r="B61" s="137"/>
      <c r="C61" s="53">
        <f t="shared" si="12"/>
        <v>1</v>
      </c>
      <c r="D61" s="961"/>
      <c r="E61" s="53">
        <f t="shared" si="13"/>
        <v>0.06</v>
      </c>
      <c r="F61" s="961"/>
      <c r="G61" s="53">
        <f t="shared" si="14"/>
        <v>1</v>
      </c>
      <c r="H61" s="961"/>
      <c r="I61" s="53">
        <f t="shared" si="15"/>
        <v>1</v>
      </c>
      <c r="J61" s="961"/>
      <c r="K61" s="53">
        <f t="shared" si="16"/>
        <v>1</v>
      </c>
      <c r="L61" s="961"/>
      <c r="M61" s="53">
        <f t="shared" si="17"/>
        <v>0</v>
      </c>
      <c r="N61" s="961"/>
      <c r="O61" s="53">
        <f t="shared" si="18"/>
        <v>1</v>
      </c>
      <c r="P61" s="961"/>
      <c r="Q61" s="53">
        <f t="shared" si="19"/>
        <v>1</v>
      </c>
      <c r="R61" s="489">
        <f t="shared" si="20"/>
        <v>0</v>
      </c>
      <c r="S61" s="798">
        <f t="shared" si="21"/>
        <v>0</v>
      </c>
    </row>
    <row r="62" spans="1:19">
      <c r="A62" s="963"/>
      <c r="B62" s="137"/>
      <c r="C62" s="53">
        <f t="shared" si="12"/>
        <v>1</v>
      </c>
      <c r="D62" s="961"/>
      <c r="E62" s="53">
        <f t="shared" si="13"/>
        <v>0.06</v>
      </c>
      <c r="F62" s="961"/>
      <c r="G62" s="53">
        <f t="shared" si="14"/>
        <v>1</v>
      </c>
      <c r="H62" s="961"/>
      <c r="I62" s="53">
        <f t="shared" si="15"/>
        <v>1</v>
      </c>
      <c r="J62" s="961"/>
      <c r="K62" s="53">
        <f t="shared" si="16"/>
        <v>1</v>
      </c>
      <c r="L62" s="961"/>
      <c r="M62" s="53">
        <f t="shared" si="17"/>
        <v>0</v>
      </c>
      <c r="N62" s="961"/>
      <c r="O62" s="53">
        <f t="shared" si="18"/>
        <v>1</v>
      </c>
      <c r="P62" s="961"/>
      <c r="Q62" s="53">
        <f t="shared" si="19"/>
        <v>1</v>
      </c>
      <c r="R62" s="489">
        <f t="shared" si="20"/>
        <v>0</v>
      </c>
      <c r="S62" s="798">
        <f t="shared" si="21"/>
        <v>0</v>
      </c>
    </row>
    <row r="63" spans="1:19">
      <c r="A63" s="963"/>
      <c r="B63" s="137"/>
      <c r="C63" s="53">
        <f t="shared" si="12"/>
        <v>1</v>
      </c>
      <c r="D63" s="961"/>
      <c r="E63" s="53">
        <f t="shared" si="13"/>
        <v>0.06</v>
      </c>
      <c r="F63" s="961"/>
      <c r="G63" s="53">
        <f t="shared" si="14"/>
        <v>1</v>
      </c>
      <c r="H63" s="961"/>
      <c r="I63" s="53">
        <f t="shared" si="15"/>
        <v>1</v>
      </c>
      <c r="J63" s="961"/>
      <c r="K63" s="53">
        <f t="shared" si="16"/>
        <v>1</v>
      </c>
      <c r="L63" s="961"/>
      <c r="M63" s="53">
        <f t="shared" si="17"/>
        <v>0</v>
      </c>
      <c r="N63" s="961"/>
      <c r="O63" s="53">
        <f t="shared" si="18"/>
        <v>1</v>
      </c>
      <c r="P63" s="961"/>
      <c r="Q63" s="53">
        <f t="shared" si="19"/>
        <v>1</v>
      </c>
      <c r="R63" s="489">
        <f t="shared" si="20"/>
        <v>0</v>
      </c>
      <c r="S63" s="798">
        <f t="shared" si="21"/>
        <v>0</v>
      </c>
    </row>
    <row r="64" spans="1:19">
      <c r="A64" s="963"/>
      <c r="B64" s="137"/>
      <c r="C64" s="53">
        <f t="shared" si="12"/>
        <v>1</v>
      </c>
      <c r="D64" s="961"/>
      <c r="E64" s="53">
        <f t="shared" si="13"/>
        <v>0.06</v>
      </c>
      <c r="F64" s="961"/>
      <c r="G64" s="53">
        <f t="shared" si="14"/>
        <v>1</v>
      </c>
      <c r="H64" s="961"/>
      <c r="I64" s="53">
        <f t="shared" si="15"/>
        <v>1</v>
      </c>
      <c r="J64" s="961"/>
      <c r="K64" s="53">
        <f t="shared" si="16"/>
        <v>1</v>
      </c>
      <c r="L64" s="961"/>
      <c r="M64" s="53">
        <f t="shared" si="17"/>
        <v>0</v>
      </c>
      <c r="N64" s="961"/>
      <c r="O64" s="53">
        <f t="shared" si="18"/>
        <v>1</v>
      </c>
      <c r="P64" s="961"/>
      <c r="Q64" s="53">
        <f t="shared" si="19"/>
        <v>1</v>
      </c>
      <c r="R64" s="489">
        <f t="shared" si="20"/>
        <v>0</v>
      </c>
      <c r="S64" s="798">
        <f t="shared" si="21"/>
        <v>0</v>
      </c>
    </row>
    <row r="65" spans="1:19">
      <c r="A65" s="963"/>
      <c r="B65" s="137"/>
      <c r="C65" s="53">
        <f t="shared" si="12"/>
        <v>1</v>
      </c>
      <c r="D65" s="961"/>
      <c r="E65" s="53">
        <f t="shared" si="13"/>
        <v>0.06</v>
      </c>
      <c r="F65" s="961"/>
      <c r="G65" s="53">
        <f t="shared" si="14"/>
        <v>1</v>
      </c>
      <c r="H65" s="961"/>
      <c r="I65" s="53">
        <f t="shared" si="15"/>
        <v>1</v>
      </c>
      <c r="J65" s="961"/>
      <c r="K65" s="53">
        <f t="shared" si="16"/>
        <v>1</v>
      </c>
      <c r="L65" s="961"/>
      <c r="M65" s="53">
        <f t="shared" si="17"/>
        <v>0</v>
      </c>
      <c r="N65" s="961"/>
      <c r="O65" s="53">
        <f t="shared" si="18"/>
        <v>1</v>
      </c>
      <c r="P65" s="961"/>
      <c r="Q65" s="53">
        <f t="shared" si="19"/>
        <v>1</v>
      </c>
      <c r="R65" s="489">
        <f t="shared" si="20"/>
        <v>0</v>
      </c>
      <c r="S65" s="798">
        <f t="shared" si="21"/>
        <v>0</v>
      </c>
    </row>
    <row r="66" spans="1:19">
      <c r="A66" s="963"/>
      <c r="B66" s="137"/>
      <c r="C66" s="53">
        <f t="shared" si="12"/>
        <v>1</v>
      </c>
      <c r="D66" s="961"/>
      <c r="E66" s="53">
        <f t="shared" si="13"/>
        <v>0.06</v>
      </c>
      <c r="F66" s="961"/>
      <c r="G66" s="53">
        <f t="shared" si="14"/>
        <v>1</v>
      </c>
      <c r="H66" s="961"/>
      <c r="I66" s="53">
        <f t="shared" si="15"/>
        <v>1</v>
      </c>
      <c r="J66" s="961"/>
      <c r="K66" s="53">
        <f t="shared" si="16"/>
        <v>1</v>
      </c>
      <c r="L66" s="961"/>
      <c r="M66" s="53">
        <f t="shared" si="17"/>
        <v>0</v>
      </c>
      <c r="N66" s="961"/>
      <c r="O66" s="53">
        <f t="shared" si="18"/>
        <v>1</v>
      </c>
      <c r="P66" s="961"/>
      <c r="Q66" s="53">
        <f t="shared" si="19"/>
        <v>1</v>
      </c>
      <c r="R66" s="489">
        <f t="shared" si="20"/>
        <v>0</v>
      </c>
      <c r="S66" s="798">
        <f t="shared" si="21"/>
        <v>0</v>
      </c>
    </row>
    <row r="67" spans="1:19">
      <c r="A67" s="963"/>
      <c r="B67" s="137"/>
      <c r="C67" s="53">
        <f t="shared" si="12"/>
        <v>1</v>
      </c>
      <c r="D67" s="961"/>
      <c r="E67" s="53">
        <f t="shared" si="13"/>
        <v>0.06</v>
      </c>
      <c r="F67" s="961"/>
      <c r="G67" s="53">
        <f t="shared" si="14"/>
        <v>1</v>
      </c>
      <c r="H67" s="961"/>
      <c r="I67" s="53">
        <f t="shared" si="15"/>
        <v>1</v>
      </c>
      <c r="J67" s="961"/>
      <c r="K67" s="53">
        <f t="shared" si="16"/>
        <v>1</v>
      </c>
      <c r="L67" s="961"/>
      <c r="M67" s="53">
        <f t="shared" si="17"/>
        <v>0</v>
      </c>
      <c r="N67" s="961"/>
      <c r="O67" s="53">
        <f t="shared" si="18"/>
        <v>1</v>
      </c>
      <c r="P67" s="961"/>
      <c r="Q67" s="53">
        <f t="shared" si="19"/>
        <v>1</v>
      </c>
      <c r="R67" s="489">
        <f t="shared" si="20"/>
        <v>0</v>
      </c>
      <c r="S67" s="798">
        <f t="shared" si="21"/>
        <v>0</v>
      </c>
    </row>
    <row r="68" spans="1:19">
      <c r="A68" s="963"/>
      <c r="B68" s="137"/>
      <c r="C68" s="53">
        <f t="shared" si="12"/>
        <v>1</v>
      </c>
      <c r="D68" s="961"/>
      <c r="E68" s="53">
        <f t="shared" si="13"/>
        <v>0.06</v>
      </c>
      <c r="F68" s="961"/>
      <c r="G68" s="53">
        <f t="shared" si="14"/>
        <v>1</v>
      </c>
      <c r="H68" s="961"/>
      <c r="I68" s="53">
        <f t="shared" si="15"/>
        <v>1</v>
      </c>
      <c r="J68" s="961"/>
      <c r="K68" s="53">
        <f t="shared" si="16"/>
        <v>1</v>
      </c>
      <c r="L68" s="961"/>
      <c r="M68" s="53">
        <f t="shared" si="17"/>
        <v>0</v>
      </c>
      <c r="N68" s="961"/>
      <c r="O68" s="53">
        <f t="shared" si="18"/>
        <v>1</v>
      </c>
      <c r="P68" s="961"/>
      <c r="Q68" s="53">
        <f t="shared" si="19"/>
        <v>1</v>
      </c>
      <c r="R68" s="489">
        <f t="shared" si="20"/>
        <v>0</v>
      </c>
      <c r="S68" s="798">
        <f t="shared" si="21"/>
        <v>0</v>
      </c>
    </row>
    <row r="69" spans="1:19">
      <c r="A69" s="963"/>
      <c r="B69" s="137"/>
      <c r="C69" s="53">
        <f t="shared" si="12"/>
        <v>1</v>
      </c>
      <c r="D69" s="961"/>
      <c r="E69" s="53">
        <f t="shared" si="13"/>
        <v>0.06</v>
      </c>
      <c r="F69" s="961"/>
      <c r="G69" s="53">
        <f t="shared" si="14"/>
        <v>1</v>
      </c>
      <c r="H69" s="961"/>
      <c r="I69" s="53">
        <f t="shared" si="15"/>
        <v>1</v>
      </c>
      <c r="J69" s="961"/>
      <c r="K69" s="53">
        <f t="shared" si="16"/>
        <v>1</v>
      </c>
      <c r="L69" s="961"/>
      <c r="M69" s="53">
        <f t="shared" si="17"/>
        <v>0</v>
      </c>
      <c r="N69" s="961"/>
      <c r="O69" s="53">
        <f t="shared" si="18"/>
        <v>1</v>
      </c>
      <c r="P69" s="961"/>
      <c r="Q69" s="53">
        <f t="shared" si="19"/>
        <v>1</v>
      </c>
      <c r="R69" s="489">
        <f t="shared" si="20"/>
        <v>0</v>
      </c>
      <c r="S69" s="798">
        <f t="shared" si="21"/>
        <v>0</v>
      </c>
    </row>
    <row r="70" spans="1:19">
      <c r="A70" s="963"/>
      <c r="B70" s="137"/>
      <c r="C70" s="53">
        <f t="shared" si="12"/>
        <v>1</v>
      </c>
      <c r="D70" s="961"/>
      <c r="E70" s="53">
        <f t="shared" si="13"/>
        <v>0.06</v>
      </c>
      <c r="F70" s="961"/>
      <c r="G70" s="53">
        <f t="shared" si="14"/>
        <v>1</v>
      </c>
      <c r="H70" s="961"/>
      <c r="I70" s="53">
        <f t="shared" si="15"/>
        <v>1</v>
      </c>
      <c r="J70" s="961"/>
      <c r="K70" s="53">
        <f t="shared" si="16"/>
        <v>1</v>
      </c>
      <c r="L70" s="961"/>
      <c r="M70" s="53">
        <f t="shared" si="17"/>
        <v>0</v>
      </c>
      <c r="N70" s="961"/>
      <c r="O70" s="53">
        <f t="shared" si="18"/>
        <v>1</v>
      </c>
      <c r="P70" s="961"/>
      <c r="Q70" s="53">
        <f t="shared" si="19"/>
        <v>1</v>
      </c>
      <c r="R70" s="489">
        <f t="shared" si="20"/>
        <v>0</v>
      </c>
      <c r="S70" s="798">
        <f t="shared" si="21"/>
        <v>0</v>
      </c>
    </row>
    <row r="71" spans="1:19">
      <c r="A71" s="963"/>
      <c r="B71" s="137"/>
      <c r="C71" s="53">
        <f t="shared" si="12"/>
        <v>1</v>
      </c>
      <c r="D71" s="961"/>
      <c r="E71" s="53">
        <f t="shared" si="13"/>
        <v>0.06</v>
      </c>
      <c r="F71" s="961"/>
      <c r="G71" s="53">
        <f t="shared" si="14"/>
        <v>1</v>
      </c>
      <c r="H71" s="961"/>
      <c r="I71" s="53">
        <f t="shared" si="15"/>
        <v>1</v>
      </c>
      <c r="J71" s="961"/>
      <c r="K71" s="53">
        <f t="shared" si="16"/>
        <v>1</v>
      </c>
      <c r="L71" s="961"/>
      <c r="M71" s="53">
        <f t="shared" si="17"/>
        <v>0</v>
      </c>
      <c r="N71" s="961"/>
      <c r="O71" s="53">
        <f t="shared" si="18"/>
        <v>1</v>
      </c>
      <c r="P71" s="961"/>
      <c r="Q71" s="53">
        <f t="shared" si="19"/>
        <v>1</v>
      </c>
      <c r="R71" s="489">
        <f t="shared" si="20"/>
        <v>0</v>
      </c>
      <c r="S71" s="798">
        <f t="shared" si="21"/>
        <v>0</v>
      </c>
    </row>
    <row r="72" spans="1:19">
      <c r="A72" s="963"/>
      <c r="B72" s="137"/>
      <c r="C72" s="53">
        <f t="shared" si="12"/>
        <v>1</v>
      </c>
      <c r="D72" s="961"/>
      <c r="E72" s="53">
        <f t="shared" si="13"/>
        <v>0.06</v>
      </c>
      <c r="F72" s="961"/>
      <c r="G72" s="53">
        <f t="shared" si="14"/>
        <v>1</v>
      </c>
      <c r="H72" s="961"/>
      <c r="I72" s="53">
        <f t="shared" si="15"/>
        <v>1</v>
      </c>
      <c r="J72" s="961"/>
      <c r="K72" s="53">
        <f t="shared" si="16"/>
        <v>1</v>
      </c>
      <c r="L72" s="961"/>
      <c r="M72" s="53">
        <f t="shared" si="17"/>
        <v>0</v>
      </c>
      <c r="N72" s="961"/>
      <c r="O72" s="53">
        <f t="shared" si="18"/>
        <v>1</v>
      </c>
      <c r="P72" s="961"/>
      <c r="Q72" s="53">
        <f t="shared" si="19"/>
        <v>1</v>
      </c>
      <c r="R72" s="489">
        <f t="shared" si="20"/>
        <v>0</v>
      </c>
      <c r="S72" s="798">
        <f t="shared" si="21"/>
        <v>0</v>
      </c>
    </row>
    <row r="73" spans="1:19">
      <c r="A73" s="963"/>
      <c r="B73" s="137"/>
      <c r="C73" s="53">
        <f t="shared" si="12"/>
        <v>1</v>
      </c>
      <c r="D73" s="961"/>
      <c r="E73" s="53">
        <f t="shared" si="13"/>
        <v>0.06</v>
      </c>
      <c r="F73" s="961"/>
      <c r="G73" s="53">
        <f t="shared" si="14"/>
        <v>1</v>
      </c>
      <c r="H73" s="961"/>
      <c r="I73" s="53">
        <f t="shared" si="15"/>
        <v>1</v>
      </c>
      <c r="J73" s="961"/>
      <c r="K73" s="53">
        <f t="shared" si="16"/>
        <v>1</v>
      </c>
      <c r="L73" s="961"/>
      <c r="M73" s="53">
        <f t="shared" si="17"/>
        <v>0</v>
      </c>
      <c r="N73" s="961"/>
      <c r="O73" s="53">
        <f t="shared" si="18"/>
        <v>1</v>
      </c>
      <c r="P73" s="961"/>
      <c r="Q73" s="53">
        <f t="shared" si="19"/>
        <v>1</v>
      </c>
      <c r="R73" s="489">
        <f t="shared" si="20"/>
        <v>0</v>
      </c>
      <c r="S73" s="798">
        <f t="shared" si="21"/>
        <v>0</v>
      </c>
    </row>
    <row r="74" spans="1:19">
      <c r="A74" s="963"/>
      <c r="B74" s="137"/>
      <c r="C74" s="53">
        <f t="shared" si="12"/>
        <v>1</v>
      </c>
      <c r="D74" s="961"/>
      <c r="E74" s="53">
        <f t="shared" si="13"/>
        <v>0.06</v>
      </c>
      <c r="F74" s="961"/>
      <c r="G74" s="53">
        <f t="shared" si="14"/>
        <v>1</v>
      </c>
      <c r="H74" s="961"/>
      <c r="I74" s="53">
        <f t="shared" si="15"/>
        <v>1</v>
      </c>
      <c r="J74" s="961"/>
      <c r="K74" s="53">
        <f t="shared" si="16"/>
        <v>1</v>
      </c>
      <c r="L74" s="961"/>
      <c r="M74" s="53">
        <f t="shared" si="17"/>
        <v>0</v>
      </c>
      <c r="N74" s="961"/>
      <c r="O74" s="53">
        <f t="shared" si="18"/>
        <v>1</v>
      </c>
      <c r="P74" s="961"/>
      <c r="Q74" s="53">
        <f t="shared" si="19"/>
        <v>1</v>
      </c>
      <c r="R74" s="489">
        <f t="shared" si="20"/>
        <v>0</v>
      </c>
      <c r="S74" s="798">
        <f t="shared" si="21"/>
        <v>0</v>
      </c>
    </row>
    <row r="75" spans="1:19">
      <c r="A75" s="963"/>
      <c r="B75" s="137"/>
      <c r="C75" s="53">
        <f t="shared" si="12"/>
        <v>1</v>
      </c>
      <c r="D75" s="961"/>
      <c r="E75" s="53">
        <f t="shared" si="13"/>
        <v>0.06</v>
      </c>
      <c r="F75" s="961"/>
      <c r="G75" s="53">
        <f t="shared" si="14"/>
        <v>1</v>
      </c>
      <c r="H75" s="961"/>
      <c r="I75" s="53">
        <f t="shared" si="15"/>
        <v>1</v>
      </c>
      <c r="J75" s="961"/>
      <c r="K75" s="53">
        <f t="shared" si="16"/>
        <v>1</v>
      </c>
      <c r="L75" s="961"/>
      <c r="M75" s="53">
        <f t="shared" si="17"/>
        <v>0</v>
      </c>
      <c r="N75" s="961"/>
      <c r="O75" s="53">
        <f t="shared" si="18"/>
        <v>1</v>
      </c>
      <c r="P75" s="961"/>
      <c r="Q75" s="53">
        <f t="shared" si="19"/>
        <v>1</v>
      </c>
      <c r="R75" s="489">
        <f t="shared" si="20"/>
        <v>0</v>
      </c>
      <c r="S75" s="798">
        <f t="shared" si="21"/>
        <v>0</v>
      </c>
    </row>
    <row r="76" spans="1:19">
      <c r="A76" s="963"/>
      <c r="B76" s="137"/>
      <c r="C76" s="53">
        <f t="shared" si="12"/>
        <v>1</v>
      </c>
      <c r="D76" s="961"/>
      <c r="E76" s="53">
        <f t="shared" si="13"/>
        <v>0.06</v>
      </c>
      <c r="F76" s="961"/>
      <c r="G76" s="53">
        <f t="shared" si="14"/>
        <v>1</v>
      </c>
      <c r="H76" s="961"/>
      <c r="I76" s="53">
        <f t="shared" si="15"/>
        <v>1</v>
      </c>
      <c r="J76" s="961"/>
      <c r="K76" s="53">
        <f t="shared" si="16"/>
        <v>1</v>
      </c>
      <c r="L76" s="961"/>
      <c r="M76" s="53">
        <f t="shared" si="17"/>
        <v>0</v>
      </c>
      <c r="N76" s="961"/>
      <c r="O76" s="53">
        <f t="shared" si="18"/>
        <v>1</v>
      </c>
      <c r="P76" s="961"/>
      <c r="Q76" s="53">
        <f t="shared" si="19"/>
        <v>1</v>
      </c>
      <c r="R76" s="489">
        <f t="shared" si="20"/>
        <v>0</v>
      </c>
      <c r="S76" s="798">
        <f t="shared" si="21"/>
        <v>0</v>
      </c>
    </row>
    <row r="77" spans="1:19">
      <c r="A77" s="963"/>
      <c r="B77" s="137"/>
      <c r="C77" s="53">
        <f t="shared" si="12"/>
        <v>1</v>
      </c>
      <c r="D77" s="961"/>
      <c r="E77" s="53">
        <f t="shared" si="13"/>
        <v>0.06</v>
      </c>
      <c r="F77" s="961"/>
      <c r="G77" s="53">
        <f t="shared" si="14"/>
        <v>1</v>
      </c>
      <c r="H77" s="961"/>
      <c r="I77" s="53">
        <f t="shared" si="15"/>
        <v>1</v>
      </c>
      <c r="J77" s="961"/>
      <c r="K77" s="53">
        <f t="shared" si="16"/>
        <v>1</v>
      </c>
      <c r="L77" s="961"/>
      <c r="M77" s="53">
        <f t="shared" si="17"/>
        <v>0</v>
      </c>
      <c r="N77" s="961"/>
      <c r="O77" s="53">
        <f t="shared" si="18"/>
        <v>1</v>
      </c>
      <c r="P77" s="961"/>
      <c r="Q77" s="53">
        <f t="shared" si="19"/>
        <v>1</v>
      </c>
      <c r="R77" s="489">
        <f t="shared" si="20"/>
        <v>0</v>
      </c>
      <c r="S77" s="798">
        <f t="shared" si="21"/>
        <v>0</v>
      </c>
    </row>
    <row r="78" spans="1:19">
      <c r="A78" s="963"/>
      <c r="B78" s="137"/>
      <c r="C78" s="53">
        <f t="shared" si="12"/>
        <v>1</v>
      </c>
      <c r="D78" s="961"/>
      <c r="E78" s="53">
        <f t="shared" si="13"/>
        <v>0.06</v>
      </c>
      <c r="F78" s="961"/>
      <c r="G78" s="53">
        <f t="shared" si="14"/>
        <v>1</v>
      </c>
      <c r="H78" s="961"/>
      <c r="I78" s="53">
        <f t="shared" si="15"/>
        <v>1</v>
      </c>
      <c r="J78" s="961"/>
      <c r="K78" s="53">
        <f t="shared" si="16"/>
        <v>1</v>
      </c>
      <c r="L78" s="961"/>
      <c r="M78" s="53">
        <f t="shared" si="17"/>
        <v>0</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0.06</v>
      </c>
      <c r="F79" s="961"/>
      <c r="G79" s="53">
        <f t="shared" si="14"/>
        <v>1</v>
      </c>
      <c r="H79" s="961"/>
      <c r="I79" s="53">
        <f t="shared" si="15"/>
        <v>1</v>
      </c>
      <c r="J79" s="961"/>
      <c r="K79" s="53">
        <f t="shared" si="16"/>
        <v>1</v>
      </c>
      <c r="L79" s="961"/>
      <c r="M79" s="53">
        <f t="shared" si="17"/>
        <v>0</v>
      </c>
      <c r="N79" s="961"/>
      <c r="O79" s="53">
        <f t="shared" si="18"/>
        <v>1</v>
      </c>
      <c r="P79" s="961"/>
      <c r="Q79" s="53">
        <f t="shared" si="19"/>
        <v>1</v>
      </c>
      <c r="R79" s="489">
        <f t="shared" si="20"/>
        <v>0</v>
      </c>
      <c r="S79" s="798">
        <f t="shared" si="22"/>
        <v>0</v>
      </c>
    </row>
    <row r="80" spans="1:19">
      <c r="A80" s="963"/>
      <c r="B80" s="137"/>
      <c r="C80" s="53">
        <f t="shared" si="12"/>
        <v>1</v>
      </c>
      <c r="D80" s="961"/>
      <c r="E80" s="53">
        <f t="shared" si="13"/>
        <v>0.06</v>
      </c>
      <c r="F80" s="961"/>
      <c r="G80" s="53">
        <f t="shared" si="14"/>
        <v>1</v>
      </c>
      <c r="H80" s="961"/>
      <c r="I80" s="53">
        <f t="shared" si="15"/>
        <v>1</v>
      </c>
      <c r="J80" s="961"/>
      <c r="K80" s="53">
        <f t="shared" si="16"/>
        <v>1</v>
      </c>
      <c r="L80" s="961"/>
      <c r="M80" s="53">
        <f t="shared" si="17"/>
        <v>0</v>
      </c>
      <c r="N80" s="961"/>
      <c r="O80" s="53">
        <f t="shared" si="18"/>
        <v>1</v>
      </c>
      <c r="P80" s="961"/>
      <c r="Q80" s="53">
        <f t="shared" si="19"/>
        <v>1</v>
      </c>
      <c r="R80" s="489">
        <f t="shared" si="20"/>
        <v>0</v>
      </c>
      <c r="S80" s="798">
        <f t="shared" si="22"/>
        <v>0</v>
      </c>
    </row>
    <row r="81" spans="1:19">
      <c r="A81" s="963"/>
      <c r="B81" s="137"/>
      <c r="C81" s="53">
        <f t="shared" si="12"/>
        <v>1</v>
      </c>
      <c r="D81" s="961"/>
      <c r="E81" s="53">
        <f t="shared" si="13"/>
        <v>0.06</v>
      </c>
      <c r="F81" s="961"/>
      <c r="G81" s="53">
        <f t="shared" si="14"/>
        <v>1</v>
      </c>
      <c r="H81" s="961"/>
      <c r="I81" s="53">
        <f t="shared" si="15"/>
        <v>1</v>
      </c>
      <c r="J81" s="961"/>
      <c r="K81" s="53">
        <f t="shared" si="16"/>
        <v>1</v>
      </c>
      <c r="L81" s="961"/>
      <c r="M81" s="53">
        <f t="shared" si="17"/>
        <v>0</v>
      </c>
      <c r="N81" s="961"/>
      <c r="O81" s="53">
        <f t="shared" si="18"/>
        <v>1</v>
      </c>
      <c r="P81" s="961"/>
      <c r="Q81" s="53">
        <f t="shared" si="19"/>
        <v>1</v>
      </c>
      <c r="R81" s="489">
        <f t="shared" si="20"/>
        <v>0</v>
      </c>
      <c r="S81" s="798">
        <f t="shared" si="22"/>
        <v>0</v>
      </c>
    </row>
    <row r="82" spans="1:19">
      <c r="A82" s="963"/>
      <c r="B82" s="137"/>
      <c r="C82" s="53">
        <f t="shared" si="12"/>
        <v>1</v>
      </c>
      <c r="D82" s="961"/>
      <c r="E82" s="53">
        <f t="shared" si="13"/>
        <v>0.06</v>
      </c>
      <c r="F82" s="961"/>
      <c r="G82" s="53">
        <f t="shared" si="14"/>
        <v>1</v>
      </c>
      <c r="H82" s="961"/>
      <c r="I82" s="53">
        <f t="shared" si="15"/>
        <v>1</v>
      </c>
      <c r="J82" s="961"/>
      <c r="K82" s="53">
        <f t="shared" si="16"/>
        <v>1</v>
      </c>
      <c r="L82" s="961"/>
      <c r="M82" s="53">
        <f t="shared" si="17"/>
        <v>0</v>
      </c>
      <c r="N82" s="961"/>
      <c r="O82" s="53">
        <f t="shared" si="18"/>
        <v>1</v>
      </c>
      <c r="P82" s="961"/>
      <c r="Q82" s="53">
        <f t="shared" si="19"/>
        <v>1</v>
      </c>
      <c r="R82" s="489">
        <f t="shared" si="20"/>
        <v>0</v>
      </c>
      <c r="S82" s="798">
        <f t="shared" si="22"/>
        <v>0</v>
      </c>
    </row>
    <row r="83" spans="1:19">
      <c r="A83" s="963"/>
      <c r="B83" s="137"/>
      <c r="C83" s="53">
        <f t="shared" si="12"/>
        <v>1</v>
      </c>
      <c r="D83" s="961"/>
      <c r="E83" s="53">
        <f t="shared" si="13"/>
        <v>0.06</v>
      </c>
      <c r="F83" s="961"/>
      <c r="G83" s="53">
        <f t="shared" si="14"/>
        <v>1</v>
      </c>
      <c r="H83" s="961"/>
      <c r="I83" s="53">
        <f t="shared" si="15"/>
        <v>1</v>
      </c>
      <c r="J83" s="961"/>
      <c r="K83" s="53">
        <f t="shared" si="16"/>
        <v>1</v>
      </c>
      <c r="L83" s="961"/>
      <c r="M83" s="53">
        <f t="shared" si="17"/>
        <v>0</v>
      </c>
      <c r="N83" s="961"/>
      <c r="O83" s="53">
        <f t="shared" si="18"/>
        <v>1</v>
      </c>
      <c r="P83" s="961"/>
      <c r="Q83" s="53">
        <f t="shared" si="19"/>
        <v>1</v>
      </c>
      <c r="R83" s="489">
        <f t="shared" si="20"/>
        <v>0</v>
      </c>
      <c r="S83" s="798">
        <f t="shared" si="22"/>
        <v>0</v>
      </c>
    </row>
    <row r="84" spans="1:19">
      <c r="A84" s="963"/>
      <c r="B84" s="137"/>
      <c r="C84" s="53">
        <f t="shared" si="12"/>
        <v>1</v>
      </c>
      <c r="D84" s="961"/>
      <c r="E84" s="53">
        <f t="shared" si="13"/>
        <v>0.06</v>
      </c>
      <c r="F84" s="961"/>
      <c r="G84" s="53">
        <f t="shared" si="14"/>
        <v>1</v>
      </c>
      <c r="H84" s="961"/>
      <c r="I84" s="53">
        <f t="shared" si="15"/>
        <v>1</v>
      </c>
      <c r="J84" s="961"/>
      <c r="K84" s="53">
        <f t="shared" si="16"/>
        <v>1</v>
      </c>
      <c r="L84" s="961"/>
      <c r="M84" s="53">
        <f t="shared" si="17"/>
        <v>0</v>
      </c>
      <c r="N84" s="961"/>
      <c r="O84" s="53">
        <f t="shared" si="18"/>
        <v>1</v>
      </c>
      <c r="P84" s="961"/>
      <c r="Q84" s="53">
        <f t="shared" si="19"/>
        <v>1</v>
      </c>
      <c r="R84" s="489">
        <f t="shared" si="20"/>
        <v>0</v>
      </c>
      <c r="S84" s="798">
        <f t="shared" si="22"/>
        <v>0</v>
      </c>
    </row>
    <row r="85" spans="1:19">
      <c r="A85" s="963"/>
      <c r="B85" s="137"/>
      <c r="C85" s="53">
        <f t="shared" si="12"/>
        <v>1</v>
      </c>
      <c r="D85" s="961"/>
      <c r="E85" s="53">
        <f t="shared" si="13"/>
        <v>0.06</v>
      </c>
      <c r="F85" s="961"/>
      <c r="G85" s="53">
        <f t="shared" si="14"/>
        <v>1</v>
      </c>
      <c r="H85" s="961"/>
      <c r="I85" s="53">
        <f t="shared" si="15"/>
        <v>1</v>
      </c>
      <c r="J85" s="961"/>
      <c r="K85" s="53">
        <f t="shared" si="16"/>
        <v>1</v>
      </c>
      <c r="L85" s="961"/>
      <c r="M85" s="53">
        <f t="shared" si="17"/>
        <v>0</v>
      </c>
      <c r="N85" s="961"/>
      <c r="O85" s="53">
        <f t="shared" si="18"/>
        <v>1</v>
      </c>
      <c r="P85" s="961"/>
      <c r="Q85" s="53">
        <f t="shared" si="19"/>
        <v>1</v>
      </c>
      <c r="R85" s="489">
        <f t="shared" si="20"/>
        <v>0</v>
      </c>
      <c r="S85" s="798">
        <f t="shared" si="22"/>
        <v>0</v>
      </c>
    </row>
    <row r="86" spans="1:19">
      <c r="A86" s="963"/>
      <c r="B86" s="137"/>
      <c r="C86" s="53">
        <f t="shared" si="12"/>
        <v>1</v>
      </c>
      <c r="D86" s="961"/>
      <c r="E86" s="53">
        <f t="shared" si="13"/>
        <v>0.06</v>
      </c>
      <c r="F86" s="961"/>
      <c r="G86" s="53">
        <f t="shared" si="14"/>
        <v>1</v>
      </c>
      <c r="H86" s="961"/>
      <c r="I86" s="53">
        <f t="shared" si="15"/>
        <v>1</v>
      </c>
      <c r="J86" s="961"/>
      <c r="K86" s="53">
        <f t="shared" si="16"/>
        <v>1</v>
      </c>
      <c r="L86" s="961"/>
      <c r="M86" s="53">
        <f t="shared" si="17"/>
        <v>0</v>
      </c>
      <c r="N86" s="961"/>
      <c r="O86" s="53">
        <f t="shared" si="18"/>
        <v>1</v>
      </c>
      <c r="P86" s="961"/>
      <c r="Q86" s="53">
        <f t="shared" si="19"/>
        <v>1</v>
      </c>
      <c r="R86" s="489">
        <f t="shared" si="20"/>
        <v>0</v>
      </c>
      <c r="S86" s="798">
        <f t="shared" si="22"/>
        <v>0</v>
      </c>
    </row>
    <row r="87" spans="1:19">
      <c r="A87" s="963"/>
      <c r="B87" s="137"/>
      <c r="C87" s="53">
        <f t="shared" si="12"/>
        <v>1</v>
      </c>
      <c r="D87" s="961"/>
      <c r="E87" s="53">
        <f t="shared" si="13"/>
        <v>0.06</v>
      </c>
      <c r="F87" s="961"/>
      <c r="G87" s="53">
        <f t="shared" si="14"/>
        <v>1</v>
      </c>
      <c r="H87" s="961"/>
      <c r="I87" s="53">
        <f t="shared" si="15"/>
        <v>1</v>
      </c>
      <c r="J87" s="961"/>
      <c r="K87" s="53">
        <f t="shared" si="16"/>
        <v>1</v>
      </c>
      <c r="L87" s="961"/>
      <c r="M87" s="53">
        <f t="shared" si="17"/>
        <v>0</v>
      </c>
      <c r="N87" s="961"/>
      <c r="O87" s="53">
        <f t="shared" si="18"/>
        <v>1</v>
      </c>
      <c r="P87" s="961"/>
      <c r="Q87" s="53">
        <f t="shared" si="19"/>
        <v>1</v>
      </c>
      <c r="R87" s="489">
        <f t="shared" si="20"/>
        <v>0</v>
      </c>
      <c r="S87" s="798">
        <f t="shared" si="22"/>
        <v>0</v>
      </c>
    </row>
    <row r="88" spans="1:19">
      <c r="A88" s="963"/>
      <c r="B88" s="137"/>
      <c r="C88" s="53">
        <f t="shared" si="12"/>
        <v>1</v>
      </c>
      <c r="D88" s="961"/>
      <c r="E88" s="53">
        <f t="shared" si="13"/>
        <v>0.06</v>
      </c>
      <c r="F88" s="961"/>
      <c r="G88" s="53">
        <f t="shared" si="14"/>
        <v>1</v>
      </c>
      <c r="H88" s="961"/>
      <c r="I88" s="53">
        <f t="shared" si="15"/>
        <v>1</v>
      </c>
      <c r="J88" s="961"/>
      <c r="K88" s="53">
        <f t="shared" si="16"/>
        <v>1</v>
      </c>
      <c r="L88" s="961"/>
      <c r="M88" s="53">
        <f t="shared" si="17"/>
        <v>0</v>
      </c>
      <c r="N88" s="961"/>
      <c r="O88" s="53">
        <f t="shared" si="18"/>
        <v>1</v>
      </c>
      <c r="P88" s="961"/>
      <c r="Q88" s="53">
        <f t="shared" si="19"/>
        <v>1</v>
      </c>
      <c r="R88" s="489">
        <f t="shared" si="20"/>
        <v>0</v>
      </c>
      <c r="S88" s="798">
        <f t="shared" si="22"/>
        <v>0</v>
      </c>
    </row>
    <row r="89" spans="1:19">
      <c r="A89" s="963"/>
      <c r="B89" s="137"/>
      <c r="C89" s="53">
        <f t="shared" si="12"/>
        <v>1</v>
      </c>
      <c r="D89" s="961"/>
      <c r="E89" s="53">
        <f t="shared" si="13"/>
        <v>0.06</v>
      </c>
      <c r="F89" s="961"/>
      <c r="G89" s="53">
        <f t="shared" si="14"/>
        <v>1</v>
      </c>
      <c r="H89" s="961"/>
      <c r="I89" s="53">
        <f t="shared" si="15"/>
        <v>1</v>
      </c>
      <c r="J89" s="961"/>
      <c r="K89" s="53">
        <f t="shared" si="16"/>
        <v>1</v>
      </c>
      <c r="L89" s="961"/>
      <c r="M89" s="53">
        <f t="shared" si="17"/>
        <v>0</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0.06</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0</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0.06</v>
      </c>
      <c r="F91" s="961"/>
      <c r="G91" s="53">
        <f t="shared" si="25"/>
        <v>1</v>
      </c>
      <c r="H91" s="961"/>
      <c r="I91" s="53">
        <f t="shared" si="26"/>
        <v>1</v>
      </c>
      <c r="J91" s="961"/>
      <c r="K91" s="53">
        <f t="shared" si="27"/>
        <v>1</v>
      </c>
      <c r="L91" s="961"/>
      <c r="M91" s="53">
        <f t="shared" si="28"/>
        <v>0</v>
      </c>
      <c r="N91" s="961"/>
      <c r="O91" s="53">
        <f t="shared" si="29"/>
        <v>1</v>
      </c>
      <c r="P91" s="961"/>
      <c r="Q91" s="53">
        <f t="shared" si="30"/>
        <v>1</v>
      </c>
      <c r="R91" s="489">
        <f t="shared" si="31"/>
        <v>0</v>
      </c>
      <c r="S91" s="798">
        <f t="shared" si="22"/>
        <v>0</v>
      </c>
    </row>
    <row r="92" spans="1:19">
      <c r="A92" s="963"/>
      <c r="B92" s="137"/>
      <c r="C92" s="53">
        <f t="shared" si="23"/>
        <v>1</v>
      </c>
      <c r="D92" s="961"/>
      <c r="E92" s="53">
        <f t="shared" si="24"/>
        <v>0.06</v>
      </c>
      <c r="F92" s="961"/>
      <c r="G92" s="53">
        <f t="shared" si="25"/>
        <v>1</v>
      </c>
      <c r="H92" s="961"/>
      <c r="I92" s="53">
        <f t="shared" si="26"/>
        <v>1</v>
      </c>
      <c r="J92" s="961"/>
      <c r="K92" s="53">
        <f t="shared" si="27"/>
        <v>1</v>
      </c>
      <c r="L92" s="961"/>
      <c r="M92" s="53">
        <f t="shared" si="28"/>
        <v>0</v>
      </c>
      <c r="N92" s="961"/>
      <c r="O92" s="53">
        <f t="shared" si="29"/>
        <v>1</v>
      </c>
      <c r="P92" s="961"/>
      <c r="Q92" s="53">
        <f t="shared" si="30"/>
        <v>1</v>
      </c>
      <c r="R92" s="489">
        <f t="shared" si="31"/>
        <v>0</v>
      </c>
      <c r="S92" s="798">
        <f t="shared" si="22"/>
        <v>0</v>
      </c>
    </row>
    <row r="93" spans="1:19">
      <c r="A93" s="963"/>
      <c r="B93" s="137"/>
      <c r="C93" s="53">
        <f t="shared" si="23"/>
        <v>1</v>
      </c>
      <c r="D93" s="961"/>
      <c r="E93" s="53">
        <f t="shared" si="24"/>
        <v>0.06</v>
      </c>
      <c r="F93" s="961"/>
      <c r="G93" s="53">
        <f t="shared" si="25"/>
        <v>1</v>
      </c>
      <c r="H93" s="961"/>
      <c r="I93" s="53">
        <f t="shared" si="26"/>
        <v>1</v>
      </c>
      <c r="J93" s="961"/>
      <c r="K93" s="53">
        <f t="shared" si="27"/>
        <v>1</v>
      </c>
      <c r="L93" s="961"/>
      <c r="M93" s="53">
        <f t="shared" si="28"/>
        <v>0</v>
      </c>
      <c r="N93" s="961"/>
      <c r="O93" s="53">
        <f t="shared" si="29"/>
        <v>1</v>
      </c>
      <c r="P93" s="961"/>
      <c r="Q93" s="53">
        <f t="shared" si="30"/>
        <v>1</v>
      </c>
      <c r="R93" s="489">
        <f t="shared" si="31"/>
        <v>0</v>
      </c>
      <c r="S93" s="798">
        <f t="shared" si="22"/>
        <v>0</v>
      </c>
    </row>
    <row r="94" spans="1:19">
      <c r="A94" s="963"/>
      <c r="B94" s="137"/>
      <c r="C94" s="53">
        <f t="shared" si="23"/>
        <v>1</v>
      </c>
      <c r="D94" s="961"/>
      <c r="E94" s="53">
        <f t="shared" si="24"/>
        <v>0.06</v>
      </c>
      <c r="F94" s="961"/>
      <c r="G94" s="53">
        <f t="shared" si="25"/>
        <v>1</v>
      </c>
      <c r="H94" s="961"/>
      <c r="I94" s="53">
        <f t="shared" si="26"/>
        <v>1</v>
      </c>
      <c r="J94" s="961"/>
      <c r="K94" s="53">
        <f t="shared" si="27"/>
        <v>1</v>
      </c>
      <c r="L94" s="961"/>
      <c r="M94" s="53">
        <f t="shared" si="28"/>
        <v>0</v>
      </c>
      <c r="N94" s="961"/>
      <c r="O94" s="53">
        <f t="shared" si="29"/>
        <v>1</v>
      </c>
      <c r="P94" s="961"/>
      <c r="Q94" s="53">
        <f t="shared" si="30"/>
        <v>1</v>
      </c>
      <c r="R94" s="489">
        <f t="shared" si="31"/>
        <v>0</v>
      </c>
      <c r="S94" s="798">
        <f t="shared" si="22"/>
        <v>0</v>
      </c>
    </row>
    <row r="95" spans="1:19">
      <c r="A95" s="963"/>
      <c r="B95" s="137"/>
      <c r="C95" s="53">
        <f t="shared" si="23"/>
        <v>1</v>
      </c>
      <c r="D95" s="961"/>
      <c r="E95" s="53">
        <f t="shared" si="24"/>
        <v>0.06</v>
      </c>
      <c r="F95" s="961"/>
      <c r="G95" s="53">
        <f t="shared" si="25"/>
        <v>1</v>
      </c>
      <c r="H95" s="961"/>
      <c r="I95" s="53">
        <f t="shared" si="26"/>
        <v>1</v>
      </c>
      <c r="J95" s="961"/>
      <c r="K95" s="53">
        <f t="shared" si="27"/>
        <v>1</v>
      </c>
      <c r="L95" s="961"/>
      <c r="M95" s="53">
        <f t="shared" si="28"/>
        <v>0</v>
      </c>
      <c r="N95" s="961"/>
      <c r="O95" s="53">
        <f t="shared" si="29"/>
        <v>1</v>
      </c>
      <c r="P95" s="961"/>
      <c r="Q95" s="53">
        <f t="shared" si="30"/>
        <v>1</v>
      </c>
      <c r="R95" s="489">
        <f t="shared" si="31"/>
        <v>0</v>
      </c>
      <c r="S95" s="798">
        <f t="shared" si="22"/>
        <v>0</v>
      </c>
    </row>
    <row r="96" spans="1:19">
      <c r="A96" s="963"/>
      <c r="B96" s="137"/>
      <c r="C96" s="53">
        <f t="shared" si="23"/>
        <v>1</v>
      </c>
      <c r="D96" s="961"/>
      <c r="E96" s="53">
        <f t="shared" si="24"/>
        <v>0.06</v>
      </c>
      <c r="F96" s="961"/>
      <c r="G96" s="53">
        <f t="shared" si="25"/>
        <v>1</v>
      </c>
      <c r="H96" s="961"/>
      <c r="I96" s="53">
        <f t="shared" si="26"/>
        <v>1</v>
      </c>
      <c r="J96" s="961"/>
      <c r="K96" s="53">
        <f t="shared" si="27"/>
        <v>1</v>
      </c>
      <c r="L96" s="961"/>
      <c r="M96" s="53">
        <f t="shared" si="28"/>
        <v>0</v>
      </c>
      <c r="N96" s="961"/>
      <c r="O96" s="53">
        <f t="shared" si="29"/>
        <v>1</v>
      </c>
      <c r="P96" s="961"/>
      <c r="Q96" s="53">
        <f t="shared" si="30"/>
        <v>1</v>
      </c>
      <c r="R96" s="489">
        <f t="shared" si="31"/>
        <v>0</v>
      </c>
      <c r="S96" s="798">
        <f t="shared" si="22"/>
        <v>0</v>
      </c>
    </row>
    <row r="97" spans="1:19">
      <c r="A97" s="963"/>
      <c r="B97" s="137"/>
      <c r="C97" s="53">
        <f t="shared" si="23"/>
        <v>1</v>
      </c>
      <c r="D97" s="961"/>
      <c r="E97" s="53">
        <f t="shared" si="24"/>
        <v>0.06</v>
      </c>
      <c r="F97" s="961"/>
      <c r="G97" s="53">
        <f t="shared" si="25"/>
        <v>1</v>
      </c>
      <c r="H97" s="961"/>
      <c r="I97" s="53">
        <f t="shared" si="26"/>
        <v>1</v>
      </c>
      <c r="J97" s="961"/>
      <c r="K97" s="53">
        <f t="shared" si="27"/>
        <v>1</v>
      </c>
      <c r="L97" s="961"/>
      <c r="M97" s="53">
        <f t="shared" si="28"/>
        <v>0</v>
      </c>
      <c r="N97" s="961"/>
      <c r="O97" s="53">
        <f t="shared" si="29"/>
        <v>1</v>
      </c>
      <c r="P97" s="961"/>
      <c r="Q97" s="53">
        <f t="shared" si="30"/>
        <v>1</v>
      </c>
      <c r="R97" s="489">
        <f t="shared" si="31"/>
        <v>0</v>
      </c>
      <c r="S97" s="798">
        <f t="shared" si="22"/>
        <v>0</v>
      </c>
    </row>
    <row r="98" spans="1:19">
      <c r="A98" s="963"/>
      <c r="B98" s="137"/>
      <c r="C98" s="53">
        <f t="shared" si="23"/>
        <v>1</v>
      </c>
      <c r="D98" s="961"/>
      <c r="E98" s="53">
        <f t="shared" si="24"/>
        <v>0.06</v>
      </c>
      <c r="F98" s="961"/>
      <c r="G98" s="53">
        <f t="shared" si="25"/>
        <v>1</v>
      </c>
      <c r="H98" s="961"/>
      <c r="I98" s="53">
        <f t="shared" si="26"/>
        <v>1</v>
      </c>
      <c r="J98" s="961"/>
      <c r="K98" s="53">
        <f t="shared" si="27"/>
        <v>1</v>
      </c>
      <c r="L98" s="961"/>
      <c r="M98" s="53">
        <f t="shared" si="28"/>
        <v>0</v>
      </c>
      <c r="N98" s="961"/>
      <c r="O98" s="53">
        <f t="shared" si="29"/>
        <v>1</v>
      </c>
      <c r="P98" s="961"/>
      <c r="Q98" s="53">
        <f t="shared" si="30"/>
        <v>1</v>
      </c>
      <c r="R98" s="489">
        <f t="shared" si="31"/>
        <v>0</v>
      </c>
      <c r="S98" s="798">
        <f t="shared" si="22"/>
        <v>0</v>
      </c>
    </row>
    <row r="99" spans="1:19">
      <c r="A99" s="963"/>
      <c r="B99" s="137"/>
      <c r="C99" s="53">
        <f t="shared" si="23"/>
        <v>1</v>
      </c>
      <c r="D99" s="961"/>
      <c r="E99" s="53">
        <f t="shared" si="24"/>
        <v>0.06</v>
      </c>
      <c r="F99" s="961"/>
      <c r="G99" s="53">
        <f t="shared" si="25"/>
        <v>1</v>
      </c>
      <c r="H99" s="961"/>
      <c r="I99" s="53">
        <f t="shared" si="26"/>
        <v>1</v>
      </c>
      <c r="J99" s="961"/>
      <c r="K99" s="53">
        <f t="shared" si="27"/>
        <v>1</v>
      </c>
      <c r="L99" s="961"/>
      <c r="M99" s="53">
        <f t="shared" si="28"/>
        <v>0</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0.06</v>
      </c>
      <c r="F100" s="961"/>
      <c r="G100" s="53">
        <f t="shared" si="25"/>
        <v>1</v>
      </c>
      <c r="H100" s="961"/>
      <c r="I100" s="53">
        <f t="shared" si="26"/>
        <v>1</v>
      </c>
      <c r="J100" s="961"/>
      <c r="K100" s="53">
        <f t="shared" si="27"/>
        <v>1</v>
      </c>
      <c r="L100" s="961"/>
      <c r="M100" s="53">
        <f t="shared" si="28"/>
        <v>0</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0.06</v>
      </c>
      <c r="F101" s="961"/>
      <c r="G101" s="53">
        <f t="shared" si="25"/>
        <v>1</v>
      </c>
      <c r="H101" s="961"/>
      <c r="I101" s="53">
        <f t="shared" si="26"/>
        <v>1</v>
      </c>
      <c r="J101" s="961"/>
      <c r="K101" s="53">
        <f t="shared" si="27"/>
        <v>1</v>
      </c>
      <c r="L101" s="961"/>
      <c r="M101" s="53">
        <f t="shared" si="28"/>
        <v>0</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0.06</v>
      </c>
      <c r="F102" s="961"/>
      <c r="G102" s="53">
        <f t="shared" si="25"/>
        <v>1</v>
      </c>
      <c r="H102" s="961"/>
      <c r="I102" s="53">
        <f t="shared" si="26"/>
        <v>1</v>
      </c>
      <c r="J102" s="961"/>
      <c r="K102" s="53">
        <f t="shared" si="27"/>
        <v>1</v>
      </c>
      <c r="L102" s="961"/>
      <c r="M102" s="53">
        <f t="shared" si="28"/>
        <v>0</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0.06</v>
      </c>
      <c r="F103" s="961"/>
      <c r="G103" s="53">
        <f t="shared" si="25"/>
        <v>1</v>
      </c>
      <c r="H103" s="961"/>
      <c r="I103" s="53">
        <f t="shared" si="26"/>
        <v>1</v>
      </c>
      <c r="J103" s="961"/>
      <c r="K103" s="53">
        <f t="shared" si="27"/>
        <v>1</v>
      </c>
      <c r="L103" s="961"/>
      <c r="M103" s="53">
        <f t="shared" si="28"/>
        <v>0</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0.06</v>
      </c>
      <c r="F104" s="961"/>
      <c r="G104" s="53">
        <f t="shared" si="25"/>
        <v>1</v>
      </c>
      <c r="H104" s="961"/>
      <c r="I104" s="53">
        <f t="shared" si="26"/>
        <v>1</v>
      </c>
      <c r="J104" s="961"/>
      <c r="K104" s="53">
        <f t="shared" si="27"/>
        <v>1</v>
      </c>
      <c r="L104" s="961"/>
      <c r="M104" s="53">
        <f t="shared" si="28"/>
        <v>0</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0.06</v>
      </c>
      <c r="F105" s="961"/>
      <c r="G105" s="53">
        <f t="shared" si="25"/>
        <v>1</v>
      </c>
      <c r="H105" s="961"/>
      <c r="I105" s="53">
        <f t="shared" si="26"/>
        <v>1</v>
      </c>
      <c r="J105" s="961"/>
      <c r="K105" s="53">
        <f t="shared" si="27"/>
        <v>1</v>
      </c>
      <c r="L105" s="961"/>
      <c r="M105" s="53">
        <f t="shared" si="28"/>
        <v>0</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0.06</v>
      </c>
      <c r="F106" s="961"/>
      <c r="G106" s="53">
        <f t="shared" si="25"/>
        <v>1</v>
      </c>
      <c r="H106" s="961"/>
      <c r="I106" s="53">
        <f t="shared" si="26"/>
        <v>1</v>
      </c>
      <c r="J106" s="961"/>
      <c r="K106" s="53">
        <f t="shared" si="27"/>
        <v>1</v>
      </c>
      <c r="L106" s="961"/>
      <c r="M106" s="53">
        <f t="shared" si="28"/>
        <v>0</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0.06</v>
      </c>
      <c r="F107" s="961"/>
      <c r="G107" s="53">
        <f t="shared" si="25"/>
        <v>1</v>
      </c>
      <c r="H107" s="961"/>
      <c r="I107" s="53">
        <f t="shared" si="26"/>
        <v>1</v>
      </c>
      <c r="J107" s="961"/>
      <c r="K107" s="53">
        <f t="shared" si="27"/>
        <v>1</v>
      </c>
      <c r="L107" s="961"/>
      <c r="M107" s="53">
        <f t="shared" si="28"/>
        <v>0</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0.06</v>
      </c>
      <c r="F108" s="961"/>
      <c r="G108" s="53">
        <f t="shared" si="25"/>
        <v>1</v>
      </c>
      <c r="H108" s="961"/>
      <c r="I108" s="53">
        <f t="shared" si="26"/>
        <v>1</v>
      </c>
      <c r="J108" s="961"/>
      <c r="K108" s="53">
        <f t="shared" si="27"/>
        <v>1</v>
      </c>
      <c r="L108" s="961"/>
      <c r="M108" s="53">
        <f t="shared" si="28"/>
        <v>0</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0.06</v>
      </c>
      <c r="F109" s="961"/>
      <c r="G109" s="53">
        <f t="shared" si="25"/>
        <v>1</v>
      </c>
      <c r="H109" s="961"/>
      <c r="I109" s="53">
        <f t="shared" si="26"/>
        <v>1</v>
      </c>
      <c r="J109" s="961"/>
      <c r="K109" s="53">
        <f t="shared" si="27"/>
        <v>1</v>
      </c>
      <c r="L109" s="961"/>
      <c r="M109" s="53">
        <f t="shared" si="28"/>
        <v>0</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0.06</v>
      </c>
      <c r="F110" s="961"/>
      <c r="G110" s="53">
        <f t="shared" si="25"/>
        <v>1</v>
      </c>
      <c r="H110" s="961"/>
      <c r="I110" s="53">
        <f t="shared" si="26"/>
        <v>1</v>
      </c>
      <c r="J110" s="961"/>
      <c r="K110" s="53">
        <f t="shared" si="27"/>
        <v>1</v>
      </c>
      <c r="L110" s="961"/>
      <c r="M110" s="53">
        <f t="shared" si="28"/>
        <v>0</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0.06</v>
      </c>
      <c r="F111" s="961"/>
      <c r="G111" s="53">
        <f t="shared" si="25"/>
        <v>1</v>
      </c>
      <c r="H111" s="961"/>
      <c r="I111" s="53">
        <f t="shared" si="26"/>
        <v>1</v>
      </c>
      <c r="J111" s="961"/>
      <c r="K111" s="53">
        <f t="shared" si="27"/>
        <v>1</v>
      </c>
      <c r="L111" s="961"/>
      <c r="M111" s="53">
        <f t="shared" si="28"/>
        <v>0</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0.06</v>
      </c>
      <c r="F112" s="961"/>
      <c r="G112" s="53">
        <f t="shared" si="25"/>
        <v>1</v>
      </c>
      <c r="H112" s="961"/>
      <c r="I112" s="53">
        <f t="shared" si="26"/>
        <v>1</v>
      </c>
      <c r="J112" s="961"/>
      <c r="K112" s="53">
        <f t="shared" si="27"/>
        <v>1</v>
      </c>
      <c r="L112" s="961"/>
      <c r="M112" s="53">
        <f t="shared" si="28"/>
        <v>0</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0.06</v>
      </c>
      <c r="F113" s="961"/>
      <c r="G113" s="53">
        <f t="shared" si="25"/>
        <v>1</v>
      </c>
      <c r="H113" s="961"/>
      <c r="I113" s="53">
        <f t="shared" si="26"/>
        <v>1</v>
      </c>
      <c r="J113" s="961"/>
      <c r="K113" s="53">
        <f t="shared" si="27"/>
        <v>1</v>
      </c>
      <c r="L113" s="961"/>
      <c r="M113" s="53">
        <f t="shared" si="28"/>
        <v>0</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0.06</v>
      </c>
      <c r="F114" s="961"/>
      <c r="G114" s="53">
        <f t="shared" si="25"/>
        <v>1</v>
      </c>
      <c r="H114" s="961"/>
      <c r="I114" s="53">
        <f t="shared" si="26"/>
        <v>1</v>
      </c>
      <c r="J114" s="961"/>
      <c r="K114" s="53">
        <f t="shared" si="27"/>
        <v>1</v>
      </c>
      <c r="L114" s="961"/>
      <c r="M114" s="53">
        <f t="shared" si="28"/>
        <v>0</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0.06</v>
      </c>
      <c r="F115" s="961"/>
      <c r="G115" s="53">
        <f t="shared" si="25"/>
        <v>1</v>
      </c>
      <c r="H115" s="961"/>
      <c r="I115" s="53">
        <f t="shared" si="26"/>
        <v>1</v>
      </c>
      <c r="J115" s="961"/>
      <c r="K115" s="53">
        <f t="shared" si="27"/>
        <v>1</v>
      </c>
      <c r="L115" s="961"/>
      <c r="M115" s="53">
        <f t="shared" si="28"/>
        <v>0</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0.06</v>
      </c>
      <c r="F116" s="961"/>
      <c r="G116" s="53">
        <f t="shared" si="25"/>
        <v>1</v>
      </c>
      <c r="H116" s="961"/>
      <c r="I116" s="53">
        <f t="shared" si="26"/>
        <v>1</v>
      </c>
      <c r="J116" s="961"/>
      <c r="K116" s="53">
        <f t="shared" si="27"/>
        <v>1</v>
      </c>
      <c r="L116" s="961"/>
      <c r="M116" s="53">
        <f t="shared" si="28"/>
        <v>0</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0.06</v>
      </c>
      <c r="F117" s="961"/>
      <c r="G117" s="53">
        <f t="shared" si="25"/>
        <v>1</v>
      </c>
      <c r="H117" s="961"/>
      <c r="I117" s="53">
        <f t="shared" si="26"/>
        <v>1</v>
      </c>
      <c r="J117" s="961"/>
      <c r="K117" s="53">
        <f t="shared" si="27"/>
        <v>1</v>
      </c>
      <c r="L117" s="961"/>
      <c r="M117" s="53">
        <f t="shared" si="28"/>
        <v>0</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0.06</v>
      </c>
      <c r="F118" s="961"/>
      <c r="G118" s="53">
        <f t="shared" si="25"/>
        <v>1</v>
      </c>
      <c r="H118" s="961"/>
      <c r="I118" s="53">
        <f t="shared" si="26"/>
        <v>1</v>
      </c>
      <c r="J118" s="961"/>
      <c r="K118" s="53">
        <f t="shared" si="27"/>
        <v>1</v>
      </c>
      <c r="L118" s="961"/>
      <c r="M118" s="53">
        <f t="shared" si="28"/>
        <v>0</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0.06</v>
      </c>
      <c r="F119" s="961"/>
      <c r="G119" s="53">
        <f t="shared" si="25"/>
        <v>1</v>
      </c>
      <c r="H119" s="961"/>
      <c r="I119" s="53">
        <f t="shared" si="26"/>
        <v>1</v>
      </c>
      <c r="J119" s="961"/>
      <c r="K119" s="53">
        <f t="shared" si="27"/>
        <v>1</v>
      </c>
      <c r="L119" s="961"/>
      <c r="M119" s="53">
        <f t="shared" si="28"/>
        <v>0</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0.06</v>
      </c>
      <c r="F120" s="961"/>
      <c r="G120" s="53">
        <f t="shared" si="25"/>
        <v>1</v>
      </c>
      <c r="H120" s="961"/>
      <c r="I120" s="53">
        <f t="shared" si="26"/>
        <v>1</v>
      </c>
      <c r="J120" s="961"/>
      <c r="K120" s="53">
        <f t="shared" si="27"/>
        <v>1</v>
      </c>
      <c r="L120" s="961"/>
      <c r="M120" s="53">
        <f t="shared" si="28"/>
        <v>0</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0.06</v>
      </c>
      <c r="F121" s="961"/>
      <c r="G121" s="53">
        <f t="shared" si="25"/>
        <v>1</v>
      </c>
      <c r="H121" s="961"/>
      <c r="I121" s="53">
        <f t="shared" si="26"/>
        <v>1</v>
      </c>
      <c r="J121" s="961"/>
      <c r="K121" s="53">
        <f t="shared" si="27"/>
        <v>1</v>
      </c>
      <c r="L121" s="961"/>
      <c r="M121" s="53">
        <f t="shared" si="28"/>
        <v>0</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0.06</v>
      </c>
      <c r="F122" s="961"/>
      <c r="G122" s="53">
        <f t="shared" si="25"/>
        <v>1</v>
      </c>
      <c r="H122" s="961"/>
      <c r="I122" s="53">
        <f t="shared" si="26"/>
        <v>1</v>
      </c>
      <c r="J122" s="961"/>
      <c r="K122" s="53">
        <f t="shared" si="27"/>
        <v>1</v>
      </c>
      <c r="L122" s="961"/>
      <c r="M122" s="53">
        <f t="shared" si="28"/>
        <v>0</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0.06</v>
      </c>
      <c r="F123" s="961"/>
      <c r="G123" s="53">
        <f t="shared" si="25"/>
        <v>1</v>
      </c>
      <c r="H123" s="961"/>
      <c r="I123" s="53">
        <f t="shared" si="26"/>
        <v>1</v>
      </c>
      <c r="J123" s="961"/>
      <c r="K123" s="53">
        <f t="shared" si="27"/>
        <v>1</v>
      </c>
      <c r="L123" s="961"/>
      <c r="M123" s="53">
        <f t="shared" si="28"/>
        <v>0</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0.06</v>
      </c>
      <c r="F124" s="961"/>
      <c r="G124" s="53">
        <f t="shared" si="25"/>
        <v>1</v>
      </c>
      <c r="H124" s="961"/>
      <c r="I124" s="53">
        <f t="shared" si="26"/>
        <v>1</v>
      </c>
      <c r="J124" s="961"/>
      <c r="K124" s="53">
        <f t="shared" si="27"/>
        <v>1</v>
      </c>
      <c r="L124" s="961"/>
      <c r="M124" s="53">
        <f t="shared" si="28"/>
        <v>0</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0.06</v>
      </c>
      <c r="F125" s="961"/>
      <c r="G125" s="53">
        <f t="shared" si="25"/>
        <v>1</v>
      </c>
      <c r="H125" s="961"/>
      <c r="I125" s="53">
        <f t="shared" si="26"/>
        <v>1</v>
      </c>
      <c r="J125" s="961"/>
      <c r="K125" s="53">
        <f t="shared" si="27"/>
        <v>1</v>
      </c>
      <c r="L125" s="961"/>
      <c r="M125" s="53">
        <f t="shared" si="28"/>
        <v>0</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0.06</v>
      </c>
      <c r="F126" s="961"/>
      <c r="G126" s="53">
        <f t="shared" si="25"/>
        <v>1</v>
      </c>
      <c r="H126" s="961"/>
      <c r="I126" s="53">
        <f t="shared" si="26"/>
        <v>1</v>
      </c>
      <c r="J126" s="961"/>
      <c r="K126" s="53">
        <f t="shared" si="27"/>
        <v>1</v>
      </c>
      <c r="L126" s="961"/>
      <c r="M126" s="53">
        <f t="shared" si="28"/>
        <v>0</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0.06</v>
      </c>
      <c r="F127" s="961"/>
      <c r="G127" s="53">
        <f t="shared" si="25"/>
        <v>1</v>
      </c>
      <c r="H127" s="961"/>
      <c r="I127" s="53">
        <f t="shared" si="26"/>
        <v>1</v>
      </c>
      <c r="J127" s="961"/>
      <c r="K127" s="53">
        <f t="shared" si="27"/>
        <v>1</v>
      </c>
      <c r="L127" s="961"/>
      <c r="M127" s="53">
        <f t="shared" si="28"/>
        <v>0</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0.06</v>
      </c>
      <c r="F128" s="961"/>
      <c r="G128" s="53">
        <f t="shared" si="25"/>
        <v>1</v>
      </c>
      <c r="H128" s="961"/>
      <c r="I128" s="53">
        <f t="shared" si="26"/>
        <v>1</v>
      </c>
      <c r="J128" s="961"/>
      <c r="K128" s="53">
        <f t="shared" si="27"/>
        <v>1</v>
      </c>
      <c r="L128" s="961"/>
      <c r="M128" s="53">
        <f t="shared" si="28"/>
        <v>0</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0.06</v>
      </c>
      <c r="F129" s="961"/>
      <c r="G129" s="53">
        <f t="shared" si="25"/>
        <v>1</v>
      </c>
      <c r="H129" s="961"/>
      <c r="I129" s="53">
        <f t="shared" si="26"/>
        <v>1</v>
      </c>
      <c r="J129" s="961"/>
      <c r="K129" s="53">
        <f t="shared" si="27"/>
        <v>1</v>
      </c>
      <c r="L129" s="961"/>
      <c r="M129" s="53">
        <f t="shared" si="28"/>
        <v>0</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0.06</v>
      </c>
      <c r="F130" s="961"/>
      <c r="G130" s="53">
        <f t="shared" si="25"/>
        <v>1</v>
      </c>
      <c r="H130" s="961"/>
      <c r="I130" s="53">
        <f t="shared" si="26"/>
        <v>1</v>
      </c>
      <c r="J130" s="961"/>
      <c r="K130" s="53">
        <f t="shared" si="27"/>
        <v>1</v>
      </c>
      <c r="L130" s="961"/>
      <c r="M130" s="53">
        <f t="shared" si="28"/>
        <v>0</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0.06</v>
      </c>
      <c r="F131" s="961"/>
      <c r="G131" s="53">
        <f t="shared" si="25"/>
        <v>1</v>
      </c>
      <c r="H131" s="961"/>
      <c r="I131" s="53">
        <f t="shared" si="26"/>
        <v>1</v>
      </c>
      <c r="J131" s="961"/>
      <c r="K131" s="53">
        <f t="shared" si="27"/>
        <v>1</v>
      </c>
      <c r="L131" s="961"/>
      <c r="M131" s="53">
        <f t="shared" si="28"/>
        <v>0</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0.06</v>
      </c>
      <c r="F132" s="961"/>
      <c r="G132" s="53">
        <f t="shared" si="25"/>
        <v>1</v>
      </c>
      <c r="H132" s="961"/>
      <c r="I132" s="53">
        <f t="shared" si="26"/>
        <v>1</v>
      </c>
      <c r="J132" s="961"/>
      <c r="K132" s="53">
        <f t="shared" si="27"/>
        <v>1</v>
      </c>
      <c r="L132" s="961"/>
      <c r="M132" s="53">
        <f t="shared" si="28"/>
        <v>0</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0.06</v>
      </c>
      <c r="F133" s="961"/>
      <c r="G133" s="53">
        <f t="shared" si="25"/>
        <v>1</v>
      </c>
      <c r="H133" s="961"/>
      <c r="I133" s="53">
        <f t="shared" si="26"/>
        <v>1</v>
      </c>
      <c r="J133" s="961"/>
      <c r="K133" s="53">
        <f t="shared" si="27"/>
        <v>1</v>
      </c>
      <c r="L133" s="961"/>
      <c r="M133" s="53">
        <f t="shared" si="28"/>
        <v>0</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0.06</v>
      </c>
      <c r="F134" s="961"/>
      <c r="G134" s="53">
        <f t="shared" si="25"/>
        <v>1</v>
      </c>
      <c r="H134" s="961"/>
      <c r="I134" s="53">
        <f t="shared" si="26"/>
        <v>1</v>
      </c>
      <c r="J134" s="961"/>
      <c r="K134" s="53">
        <f t="shared" si="27"/>
        <v>1</v>
      </c>
      <c r="L134" s="961"/>
      <c r="M134" s="53">
        <f t="shared" si="28"/>
        <v>0</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0.06</v>
      </c>
      <c r="F135" s="961"/>
      <c r="G135" s="53">
        <f t="shared" si="25"/>
        <v>1</v>
      </c>
      <c r="H135" s="961"/>
      <c r="I135" s="53">
        <f t="shared" si="26"/>
        <v>1</v>
      </c>
      <c r="J135" s="961"/>
      <c r="K135" s="53">
        <f t="shared" si="27"/>
        <v>1</v>
      </c>
      <c r="L135" s="961"/>
      <c r="M135" s="53">
        <f t="shared" si="28"/>
        <v>0</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0.06</v>
      </c>
      <c r="F136" s="961"/>
      <c r="G136" s="53">
        <f t="shared" si="25"/>
        <v>1</v>
      </c>
      <c r="H136" s="961"/>
      <c r="I136" s="53">
        <f t="shared" si="26"/>
        <v>1</v>
      </c>
      <c r="J136" s="961"/>
      <c r="K136" s="53">
        <f t="shared" si="27"/>
        <v>1</v>
      </c>
      <c r="L136" s="961"/>
      <c r="M136" s="53">
        <f t="shared" si="28"/>
        <v>0</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0.06</v>
      </c>
      <c r="F137" s="961"/>
      <c r="G137" s="53">
        <f t="shared" si="25"/>
        <v>1</v>
      </c>
      <c r="H137" s="961"/>
      <c r="I137" s="53">
        <f t="shared" si="26"/>
        <v>1</v>
      </c>
      <c r="J137" s="961"/>
      <c r="K137" s="53">
        <f t="shared" si="27"/>
        <v>1</v>
      </c>
      <c r="L137" s="961"/>
      <c r="M137" s="53">
        <f t="shared" si="28"/>
        <v>0</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0.06</v>
      </c>
      <c r="F138" s="961"/>
      <c r="G138" s="53">
        <f t="shared" si="25"/>
        <v>1</v>
      </c>
      <c r="H138" s="961"/>
      <c r="I138" s="53">
        <f t="shared" si="26"/>
        <v>1</v>
      </c>
      <c r="J138" s="961"/>
      <c r="K138" s="53">
        <f t="shared" si="27"/>
        <v>1</v>
      </c>
      <c r="L138" s="961"/>
      <c r="M138" s="53">
        <f t="shared" si="28"/>
        <v>0</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0.06</v>
      </c>
      <c r="F139" s="961"/>
      <c r="G139" s="53">
        <f t="shared" si="25"/>
        <v>1</v>
      </c>
      <c r="H139" s="961"/>
      <c r="I139" s="53">
        <f t="shared" si="26"/>
        <v>1</v>
      </c>
      <c r="J139" s="961"/>
      <c r="K139" s="53">
        <f t="shared" si="27"/>
        <v>1</v>
      </c>
      <c r="L139" s="961"/>
      <c r="M139" s="53">
        <f t="shared" si="28"/>
        <v>0</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0.06</v>
      </c>
      <c r="F140" s="961"/>
      <c r="G140" s="53">
        <f t="shared" si="25"/>
        <v>1</v>
      </c>
      <c r="H140" s="961"/>
      <c r="I140" s="53">
        <f t="shared" si="26"/>
        <v>1</v>
      </c>
      <c r="J140" s="961"/>
      <c r="K140" s="53">
        <f t="shared" si="27"/>
        <v>1</v>
      </c>
      <c r="L140" s="961"/>
      <c r="M140" s="53">
        <f t="shared" si="28"/>
        <v>0</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0.06</v>
      </c>
      <c r="F141" s="961"/>
      <c r="G141" s="53">
        <f t="shared" si="25"/>
        <v>1</v>
      </c>
      <c r="H141" s="961"/>
      <c r="I141" s="53">
        <f t="shared" si="26"/>
        <v>1</v>
      </c>
      <c r="J141" s="961"/>
      <c r="K141" s="53">
        <f t="shared" si="27"/>
        <v>1</v>
      </c>
      <c r="L141" s="961"/>
      <c r="M141" s="53">
        <f t="shared" si="28"/>
        <v>0</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0.06</v>
      </c>
      <c r="F142" s="961"/>
      <c r="G142" s="53">
        <f t="shared" si="25"/>
        <v>1</v>
      </c>
      <c r="H142" s="961"/>
      <c r="I142" s="53">
        <f t="shared" si="26"/>
        <v>1</v>
      </c>
      <c r="J142" s="961"/>
      <c r="K142" s="53">
        <f t="shared" si="27"/>
        <v>1</v>
      </c>
      <c r="L142" s="961"/>
      <c r="M142" s="53">
        <f t="shared" si="28"/>
        <v>0</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0.06</v>
      </c>
      <c r="F143" s="961"/>
      <c r="G143" s="53">
        <f t="shared" si="25"/>
        <v>1</v>
      </c>
      <c r="H143" s="961"/>
      <c r="I143" s="53">
        <f t="shared" si="26"/>
        <v>1</v>
      </c>
      <c r="J143" s="961"/>
      <c r="K143" s="53">
        <f t="shared" si="27"/>
        <v>1</v>
      </c>
      <c r="L143" s="961"/>
      <c r="M143" s="53">
        <f t="shared" si="28"/>
        <v>0</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0.06</v>
      </c>
      <c r="F144" s="961"/>
      <c r="G144" s="53">
        <f t="shared" si="25"/>
        <v>1</v>
      </c>
      <c r="H144" s="961"/>
      <c r="I144" s="53">
        <f t="shared" si="26"/>
        <v>1</v>
      </c>
      <c r="J144" s="961"/>
      <c r="K144" s="53">
        <f t="shared" si="27"/>
        <v>1</v>
      </c>
      <c r="L144" s="961"/>
      <c r="M144" s="53">
        <f t="shared" si="28"/>
        <v>0</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0.06</v>
      </c>
      <c r="F145" s="961"/>
      <c r="G145" s="53">
        <f t="shared" si="25"/>
        <v>1</v>
      </c>
      <c r="H145" s="961"/>
      <c r="I145" s="53">
        <f t="shared" si="26"/>
        <v>1</v>
      </c>
      <c r="J145" s="961"/>
      <c r="K145" s="53">
        <f t="shared" si="27"/>
        <v>1</v>
      </c>
      <c r="L145" s="961"/>
      <c r="M145" s="53">
        <f t="shared" si="28"/>
        <v>0</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0.06</v>
      </c>
      <c r="F146" s="961"/>
      <c r="G146" s="53">
        <f t="shared" si="25"/>
        <v>1</v>
      </c>
      <c r="H146" s="961"/>
      <c r="I146" s="53">
        <f t="shared" si="26"/>
        <v>1</v>
      </c>
      <c r="J146" s="961"/>
      <c r="K146" s="53">
        <f t="shared" si="27"/>
        <v>1</v>
      </c>
      <c r="L146" s="961"/>
      <c r="M146" s="53">
        <f t="shared" si="28"/>
        <v>0</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0.06</v>
      </c>
      <c r="F147" s="961"/>
      <c r="G147" s="53">
        <f t="shared" si="25"/>
        <v>1</v>
      </c>
      <c r="H147" s="961"/>
      <c r="I147" s="53">
        <f t="shared" si="26"/>
        <v>1</v>
      </c>
      <c r="J147" s="961"/>
      <c r="K147" s="53">
        <f t="shared" si="27"/>
        <v>1</v>
      </c>
      <c r="L147" s="961"/>
      <c r="M147" s="53">
        <f t="shared" si="28"/>
        <v>0</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0.06</v>
      </c>
      <c r="F148" s="961"/>
      <c r="G148" s="53">
        <f t="shared" si="25"/>
        <v>1</v>
      </c>
      <c r="H148" s="961"/>
      <c r="I148" s="53">
        <f t="shared" si="26"/>
        <v>1</v>
      </c>
      <c r="J148" s="961"/>
      <c r="K148" s="53">
        <f t="shared" si="27"/>
        <v>1</v>
      </c>
      <c r="L148" s="961"/>
      <c r="M148" s="53">
        <f t="shared" si="28"/>
        <v>0</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0.06</v>
      </c>
      <c r="F149" s="961"/>
      <c r="G149" s="53">
        <f t="shared" si="25"/>
        <v>1</v>
      </c>
      <c r="H149" s="961"/>
      <c r="I149" s="53">
        <f t="shared" si="26"/>
        <v>1</v>
      </c>
      <c r="J149" s="961"/>
      <c r="K149" s="53">
        <f t="shared" si="27"/>
        <v>1</v>
      </c>
      <c r="L149" s="961"/>
      <c r="M149" s="53">
        <f t="shared" si="28"/>
        <v>0</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0.06</v>
      </c>
      <c r="F150" s="961"/>
      <c r="G150" s="53">
        <f t="shared" si="25"/>
        <v>1</v>
      </c>
      <c r="H150" s="961"/>
      <c r="I150" s="53">
        <f t="shared" si="26"/>
        <v>1</v>
      </c>
      <c r="J150" s="961"/>
      <c r="K150" s="53">
        <f t="shared" si="27"/>
        <v>1</v>
      </c>
      <c r="L150" s="961"/>
      <c r="M150" s="53">
        <f t="shared" si="28"/>
        <v>0</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0.06</v>
      </c>
      <c r="F151" s="961"/>
      <c r="G151" s="53">
        <f t="shared" si="25"/>
        <v>1</v>
      </c>
      <c r="H151" s="961"/>
      <c r="I151" s="53">
        <f t="shared" si="26"/>
        <v>1</v>
      </c>
      <c r="J151" s="961"/>
      <c r="K151" s="53">
        <f t="shared" si="27"/>
        <v>1</v>
      </c>
      <c r="L151" s="961"/>
      <c r="M151" s="53">
        <f t="shared" si="28"/>
        <v>0</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0.06</v>
      </c>
      <c r="F152" s="961"/>
      <c r="G152" s="53">
        <f t="shared" si="25"/>
        <v>1</v>
      </c>
      <c r="H152" s="961"/>
      <c r="I152" s="53">
        <f t="shared" si="26"/>
        <v>1</v>
      </c>
      <c r="J152" s="961"/>
      <c r="K152" s="53">
        <f t="shared" si="27"/>
        <v>1</v>
      </c>
      <c r="L152" s="961"/>
      <c r="M152" s="53">
        <f t="shared" si="28"/>
        <v>0</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0.06</v>
      </c>
      <c r="F153" s="961"/>
      <c r="G153" s="53">
        <f t="shared" si="25"/>
        <v>1</v>
      </c>
      <c r="H153" s="961"/>
      <c r="I153" s="53">
        <f t="shared" si="26"/>
        <v>1</v>
      </c>
      <c r="J153" s="961"/>
      <c r="K153" s="53">
        <f t="shared" si="27"/>
        <v>1</v>
      </c>
      <c r="L153" s="961"/>
      <c r="M153" s="53">
        <f t="shared" si="28"/>
        <v>0</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0.06</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0</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0.06</v>
      </c>
      <c r="F155" s="961"/>
      <c r="G155" s="53">
        <f t="shared" si="35"/>
        <v>1</v>
      </c>
      <c r="H155" s="961"/>
      <c r="I155" s="53">
        <f t="shared" si="36"/>
        <v>1</v>
      </c>
      <c r="J155" s="961"/>
      <c r="K155" s="53">
        <f t="shared" si="37"/>
        <v>1</v>
      </c>
      <c r="L155" s="961"/>
      <c r="M155" s="53">
        <f t="shared" si="38"/>
        <v>0</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0.06</v>
      </c>
      <c r="F156" s="961"/>
      <c r="G156" s="53">
        <f t="shared" si="35"/>
        <v>1</v>
      </c>
      <c r="H156" s="961"/>
      <c r="I156" s="53">
        <f t="shared" si="36"/>
        <v>1</v>
      </c>
      <c r="J156" s="961"/>
      <c r="K156" s="53">
        <f t="shared" si="37"/>
        <v>1</v>
      </c>
      <c r="L156" s="961"/>
      <c r="M156" s="53">
        <f t="shared" si="38"/>
        <v>0</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0.06</v>
      </c>
      <c r="F157" s="961"/>
      <c r="G157" s="53">
        <f t="shared" si="35"/>
        <v>1</v>
      </c>
      <c r="H157" s="961"/>
      <c r="I157" s="53">
        <f t="shared" si="36"/>
        <v>1</v>
      </c>
      <c r="J157" s="961"/>
      <c r="K157" s="53">
        <f t="shared" si="37"/>
        <v>1</v>
      </c>
      <c r="L157" s="961"/>
      <c r="M157" s="53">
        <f t="shared" si="38"/>
        <v>0</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0.06</v>
      </c>
      <c r="F158" s="961"/>
      <c r="G158" s="53">
        <f t="shared" si="35"/>
        <v>1</v>
      </c>
      <c r="H158" s="961"/>
      <c r="I158" s="53">
        <f t="shared" si="36"/>
        <v>1</v>
      </c>
      <c r="J158" s="961"/>
      <c r="K158" s="53">
        <f t="shared" si="37"/>
        <v>1</v>
      </c>
      <c r="L158" s="961"/>
      <c r="M158" s="53">
        <f t="shared" si="38"/>
        <v>0</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0.06</v>
      </c>
      <c r="F159" s="961"/>
      <c r="G159" s="53">
        <f t="shared" si="35"/>
        <v>1</v>
      </c>
      <c r="H159" s="961"/>
      <c r="I159" s="53">
        <f t="shared" si="36"/>
        <v>1</v>
      </c>
      <c r="J159" s="961"/>
      <c r="K159" s="53">
        <f t="shared" si="37"/>
        <v>1</v>
      </c>
      <c r="L159" s="961"/>
      <c r="M159" s="53">
        <f t="shared" si="38"/>
        <v>0</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0.06</v>
      </c>
      <c r="F160" s="961"/>
      <c r="G160" s="53">
        <f t="shared" si="35"/>
        <v>1</v>
      </c>
      <c r="H160" s="961"/>
      <c r="I160" s="53">
        <f t="shared" si="36"/>
        <v>1</v>
      </c>
      <c r="J160" s="961"/>
      <c r="K160" s="53">
        <f t="shared" si="37"/>
        <v>1</v>
      </c>
      <c r="L160" s="961"/>
      <c r="M160" s="53">
        <f t="shared" si="38"/>
        <v>0</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0.06</v>
      </c>
      <c r="F161" s="961"/>
      <c r="G161" s="53">
        <f t="shared" si="35"/>
        <v>1</v>
      </c>
      <c r="H161" s="961"/>
      <c r="I161" s="53">
        <f t="shared" si="36"/>
        <v>1</v>
      </c>
      <c r="J161" s="961"/>
      <c r="K161" s="53">
        <f t="shared" si="37"/>
        <v>1</v>
      </c>
      <c r="L161" s="961"/>
      <c r="M161" s="53">
        <f t="shared" si="38"/>
        <v>0</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0.06</v>
      </c>
      <c r="F162" s="961"/>
      <c r="G162" s="53">
        <f t="shared" si="35"/>
        <v>1</v>
      </c>
      <c r="H162" s="961"/>
      <c r="I162" s="53">
        <f t="shared" si="36"/>
        <v>1</v>
      </c>
      <c r="J162" s="961"/>
      <c r="K162" s="53">
        <f t="shared" si="37"/>
        <v>1</v>
      </c>
      <c r="L162" s="961"/>
      <c r="M162" s="53">
        <f t="shared" si="38"/>
        <v>0</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0.06</v>
      </c>
      <c r="F163" s="961"/>
      <c r="G163" s="53">
        <f t="shared" si="35"/>
        <v>1</v>
      </c>
      <c r="H163" s="961"/>
      <c r="I163" s="53">
        <f t="shared" si="36"/>
        <v>1</v>
      </c>
      <c r="J163" s="961"/>
      <c r="K163" s="53">
        <f t="shared" si="37"/>
        <v>1</v>
      </c>
      <c r="L163" s="961"/>
      <c r="M163" s="53">
        <f t="shared" si="38"/>
        <v>0</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0.06</v>
      </c>
      <c r="F164" s="961"/>
      <c r="G164" s="53">
        <f t="shared" si="35"/>
        <v>1</v>
      </c>
      <c r="H164" s="961"/>
      <c r="I164" s="53">
        <f t="shared" si="36"/>
        <v>1</v>
      </c>
      <c r="J164" s="961"/>
      <c r="K164" s="53">
        <f t="shared" si="37"/>
        <v>1</v>
      </c>
      <c r="L164" s="961"/>
      <c r="M164" s="53">
        <f t="shared" si="38"/>
        <v>0</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0.06</v>
      </c>
      <c r="F165" s="961"/>
      <c r="G165" s="53">
        <f t="shared" si="35"/>
        <v>1</v>
      </c>
      <c r="H165" s="961"/>
      <c r="I165" s="53">
        <f t="shared" si="36"/>
        <v>1</v>
      </c>
      <c r="J165" s="961"/>
      <c r="K165" s="53">
        <f t="shared" si="37"/>
        <v>1</v>
      </c>
      <c r="L165" s="961"/>
      <c r="M165" s="53">
        <f t="shared" si="38"/>
        <v>0</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0.06</v>
      </c>
      <c r="F166" s="961"/>
      <c r="G166" s="53">
        <f t="shared" si="35"/>
        <v>1</v>
      </c>
      <c r="H166" s="961"/>
      <c r="I166" s="53">
        <f t="shared" si="36"/>
        <v>1</v>
      </c>
      <c r="J166" s="961"/>
      <c r="K166" s="53">
        <f t="shared" si="37"/>
        <v>1</v>
      </c>
      <c r="L166" s="961"/>
      <c r="M166" s="53">
        <f t="shared" si="38"/>
        <v>0</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0.06</v>
      </c>
      <c r="F167" s="961"/>
      <c r="G167" s="53">
        <f t="shared" si="35"/>
        <v>1</v>
      </c>
      <c r="H167" s="961"/>
      <c r="I167" s="53">
        <f t="shared" si="36"/>
        <v>1</v>
      </c>
      <c r="J167" s="961"/>
      <c r="K167" s="53">
        <f t="shared" si="37"/>
        <v>1</v>
      </c>
      <c r="L167" s="961"/>
      <c r="M167" s="53">
        <f t="shared" si="38"/>
        <v>0</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0.06</v>
      </c>
      <c r="F168" s="961"/>
      <c r="G168" s="53">
        <f t="shared" si="35"/>
        <v>1</v>
      </c>
      <c r="H168" s="961"/>
      <c r="I168" s="53">
        <f t="shared" si="36"/>
        <v>1</v>
      </c>
      <c r="J168" s="961"/>
      <c r="K168" s="53">
        <f t="shared" si="37"/>
        <v>1</v>
      </c>
      <c r="L168" s="961"/>
      <c r="M168" s="53">
        <f t="shared" si="38"/>
        <v>0</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0.06</v>
      </c>
      <c r="F169" s="961"/>
      <c r="G169" s="53">
        <f t="shared" si="35"/>
        <v>1</v>
      </c>
      <c r="H169" s="961"/>
      <c r="I169" s="53">
        <f t="shared" si="36"/>
        <v>1</v>
      </c>
      <c r="J169" s="961"/>
      <c r="K169" s="53">
        <f t="shared" si="37"/>
        <v>1</v>
      </c>
      <c r="L169" s="961"/>
      <c r="M169" s="53">
        <f t="shared" si="38"/>
        <v>0</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0.06</v>
      </c>
      <c r="F170" s="961"/>
      <c r="G170" s="53">
        <f t="shared" si="35"/>
        <v>1</v>
      </c>
      <c r="H170" s="961"/>
      <c r="I170" s="53">
        <f t="shared" si="36"/>
        <v>1</v>
      </c>
      <c r="J170" s="961"/>
      <c r="K170" s="53">
        <f t="shared" si="37"/>
        <v>1</v>
      </c>
      <c r="L170" s="961"/>
      <c r="M170" s="53">
        <f t="shared" si="38"/>
        <v>0</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0.06</v>
      </c>
      <c r="F171" s="961"/>
      <c r="G171" s="53">
        <f t="shared" si="35"/>
        <v>1</v>
      </c>
      <c r="H171" s="961"/>
      <c r="I171" s="53">
        <f t="shared" si="36"/>
        <v>1</v>
      </c>
      <c r="J171" s="961"/>
      <c r="K171" s="53">
        <f t="shared" si="37"/>
        <v>1</v>
      </c>
      <c r="L171" s="961"/>
      <c r="M171" s="53">
        <f t="shared" si="38"/>
        <v>0</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0.06</v>
      </c>
      <c r="F172" s="961"/>
      <c r="G172" s="53">
        <f t="shared" si="35"/>
        <v>1</v>
      </c>
      <c r="H172" s="961"/>
      <c r="I172" s="53">
        <f t="shared" si="36"/>
        <v>1</v>
      </c>
      <c r="J172" s="961"/>
      <c r="K172" s="53">
        <f t="shared" si="37"/>
        <v>1</v>
      </c>
      <c r="L172" s="961"/>
      <c r="M172" s="53">
        <f t="shared" si="38"/>
        <v>0</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0.06</v>
      </c>
      <c r="F173" s="961"/>
      <c r="G173" s="53">
        <f t="shared" si="35"/>
        <v>1</v>
      </c>
      <c r="H173" s="961"/>
      <c r="I173" s="53">
        <f t="shared" si="36"/>
        <v>1</v>
      </c>
      <c r="J173" s="961"/>
      <c r="K173" s="53">
        <f t="shared" si="37"/>
        <v>1</v>
      </c>
      <c r="L173" s="961"/>
      <c r="M173" s="53">
        <f t="shared" si="38"/>
        <v>0</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0.06</v>
      </c>
      <c r="F174" s="961"/>
      <c r="G174" s="53">
        <f t="shared" si="35"/>
        <v>1</v>
      </c>
      <c r="H174" s="961"/>
      <c r="I174" s="53">
        <f t="shared" si="36"/>
        <v>1</v>
      </c>
      <c r="J174" s="961"/>
      <c r="K174" s="53">
        <f t="shared" si="37"/>
        <v>1</v>
      </c>
      <c r="L174" s="961"/>
      <c r="M174" s="53">
        <f t="shared" si="38"/>
        <v>0</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0.06</v>
      </c>
      <c r="F175" s="961"/>
      <c r="G175" s="53">
        <f t="shared" si="35"/>
        <v>1</v>
      </c>
      <c r="H175" s="961"/>
      <c r="I175" s="53">
        <f t="shared" si="36"/>
        <v>1</v>
      </c>
      <c r="J175" s="961"/>
      <c r="K175" s="53">
        <f t="shared" si="37"/>
        <v>1</v>
      </c>
      <c r="L175" s="961"/>
      <c r="M175" s="53">
        <f t="shared" si="38"/>
        <v>0</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0.06</v>
      </c>
      <c r="F176" s="961"/>
      <c r="G176" s="53">
        <f t="shared" si="35"/>
        <v>1</v>
      </c>
      <c r="H176" s="961"/>
      <c r="I176" s="53">
        <f t="shared" si="36"/>
        <v>1</v>
      </c>
      <c r="J176" s="961"/>
      <c r="K176" s="53">
        <f t="shared" si="37"/>
        <v>1</v>
      </c>
      <c r="L176" s="961"/>
      <c r="M176" s="53">
        <f t="shared" si="38"/>
        <v>0</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0.06</v>
      </c>
      <c r="F177" s="961"/>
      <c r="G177" s="53">
        <f t="shared" si="35"/>
        <v>1</v>
      </c>
      <c r="H177" s="961"/>
      <c r="I177" s="53">
        <f t="shared" si="36"/>
        <v>1</v>
      </c>
      <c r="J177" s="961"/>
      <c r="K177" s="53">
        <f t="shared" si="37"/>
        <v>1</v>
      </c>
      <c r="L177" s="961"/>
      <c r="M177" s="53">
        <f t="shared" si="38"/>
        <v>0</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0.06</v>
      </c>
      <c r="F178" s="961"/>
      <c r="G178" s="53">
        <f t="shared" si="35"/>
        <v>1</v>
      </c>
      <c r="H178" s="961"/>
      <c r="I178" s="53">
        <f t="shared" si="36"/>
        <v>1</v>
      </c>
      <c r="J178" s="961"/>
      <c r="K178" s="53">
        <f t="shared" si="37"/>
        <v>1</v>
      </c>
      <c r="L178" s="961"/>
      <c r="M178" s="53">
        <f t="shared" si="38"/>
        <v>0</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0.06</v>
      </c>
      <c r="F179" s="961"/>
      <c r="G179" s="53">
        <f t="shared" si="35"/>
        <v>1</v>
      </c>
      <c r="H179" s="961"/>
      <c r="I179" s="53">
        <f t="shared" si="36"/>
        <v>1</v>
      </c>
      <c r="J179" s="961"/>
      <c r="K179" s="53">
        <f t="shared" si="37"/>
        <v>1</v>
      </c>
      <c r="L179" s="961"/>
      <c r="M179" s="53">
        <f t="shared" si="38"/>
        <v>0</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0.06</v>
      </c>
      <c r="F180" s="961"/>
      <c r="G180" s="53">
        <f t="shared" si="35"/>
        <v>1</v>
      </c>
      <c r="H180" s="961"/>
      <c r="I180" s="53">
        <f t="shared" si="36"/>
        <v>1</v>
      </c>
      <c r="J180" s="961"/>
      <c r="K180" s="53">
        <f t="shared" si="37"/>
        <v>1</v>
      </c>
      <c r="L180" s="961"/>
      <c r="M180" s="53">
        <f t="shared" si="38"/>
        <v>0</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0.06</v>
      </c>
      <c r="F181" s="961"/>
      <c r="G181" s="53">
        <f t="shared" si="35"/>
        <v>1</v>
      </c>
      <c r="H181" s="961"/>
      <c r="I181" s="53">
        <f t="shared" si="36"/>
        <v>1</v>
      </c>
      <c r="J181" s="961"/>
      <c r="K181" s="53">
        <f t="shared" si="37"/>
        <v>1</v>
      </c>
      <c r="L181" s="961"/>
      <c r="M181" s="53">
        <f t="shared" si="38"/>
        <v>0</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0.06</v>
      </c>
      <c r="F182" s="961"/>
      <c r="G182" s="53">
        <f t="shared" si="35"/>
        <v>1</v>
      </c>
      <c r="H182" s="961"/>
      <c r="I182" s="53">
        <f t="shared" si="36"/>
        <v>1</v>
      </c>
      <c r="J182" s="961"/>
      <c r="K182" s="53">
        <f t="shared" si="37"/>
        <v>1</v>
      </c>
      <c r="L182" s="961"/>
      <c r="M182" s="53">
        <f t="shared" si="38"/>
        <v>0</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0.06</v>
      </c>
      <c r="F183" s="961"/>
      <c r="G183" s="53">
        <f t="shared" si="35"/>
        <v>1</v>
      </c>
      <c r="H183" s="961"/>
      <c r="I183" s="53">
        <f t="shared" si="36"/>
        <v>1</v>
      </c>
      <c r="J183" s="961"/>
      <c r="K183" s="53">
        <f t="shared" si="37"/>
        <v>1</v>
      </c>
      <c r="L183" s="961"/>
      <c r="M183" s="53">
        <f t="shared" si="38"/>
        <v>0</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0.06</v>
      </c>
      <c r="F184" s="961"/>
      <c r="G184" s="53">
        <f t="shared" si="35"/>
        <v>1</v>
      </c>
      <c r="H184" s="961"/>
      <c r="I184" s="53">
        <f t="shared" si="36"/>
        <v>1</v>
      </c>
      <c r="J184" s="961"/>
      <c r="K184" s="53">
        <f t="shared" si="37"/>
        <v>1</v>
      </c>
      <c r="L184" s="961"/>
      <c r="M184" s="53">
        <f t="shared" si="38"/>
        <v>0</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0.06</v>
      </c>
      <c r="F185" s="961"/>
      <c r="G185" s="53">
        <f t="shared" si="35"/>
        <v>1</v>
      </c>
      <c r="H185" s="961"/>
      <c r="I185" s="53">
        <f t="shared" si="36"/>
        <v>1</v>
      </c>
      <c r="J185" s="961"/>
      <c r="K185" s="53">
        <f t="shared" si="37"/>
        <v>1</v>
      </c>
      <c r="L185" s="961"/>
      <c r="M185" s="53">
        <f t="shared" si="38"/>
        <v>0</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0.06</v>
      </c>
      <c r="F186" s="961"/>
      <c r="G186" s="53">
        <f t="shared" si="35"/>
        <v>1</v>
      </c>
      <c r="H186" s="961"/>
      <c r="I186" s="53">
        <f t="shared" si="36"/>
        <v>1</v>
      </c>
      <c r="J186" s="961"/>
      <c r="K186" s="53">
        <f t="shared" si="37"/>
        <v>1</v>
      </c>
      <c r="L186" s="961"/>
      <c r="M186" s="53">
        <f t="shared" si="38"/>
        <v>0</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0.06</v>
      </c>
      <c r="F187" s="961"/>
      <c r="G187" s="53">
        <f t="shared" si="35"/>
        <v>1</v>
      </c>
      <c r="H187" s="961"/>
      <c r="I187" s="53">
        <f t="shared" si="36"/>
        <v>1</v>
      </c>
      <c r="J187" s="961"/>
      <c r="K187" s="53">
        <f t="shared" si="37"/>
        <v>1</v>
      </c>
      <c r="L187" s="961"/>
      <c r="M187" s="53">
        <f t="shared" si="38"/>
        <v>0</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0.06</v>
      </c>
      <c r="F188" s="961"/>
      <c r="G188" s="53">
        <f t="shared" si="35"/>
        <v>1</v>
      </c>
      <c r="H188" s="961"/>
      <c r="I188" s="53">
        <f t="shared" si="36"/>
        <v>1</v>
      </c>
      <c r="J188" s="961"/>
      <c r="K188" s="53">
        <f t="shared" si="37"/>
        <v>1</v>
      </c>
      <c r="L188" s="961"/>
      <c r="M188" s="53">
        <f t="shared" si="38"/>
        <v>0</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0.06</v>
      </c>
      <c r="F189" s="961"/>
      <c r="G189" s="53">
        <f t="shared" si="35"/>
        <v>1</v>
      </c>
      <c r="H189" s="961"/>
      <c r="I189" s="53">
        <f t="shared" si="36"/>
        <v>1</v>
      </c>
      <c r="J189" s="961"/>
      <c r="K189" s="53">
        <f t="shared" si="37"/>
        <v>1</v>
      </c>
      <c r="L189" s="961"/>
      <c r="M189" s="53">
        <f t="shared" si="38"/>
        <v>0</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0.06</v>
      </c>
      <c r="F190" s="961"/>
      <c r="G190" s="53">
        <f t="shared" si="35"/>
        <v>1</v>
      </c>
      <c r="H190" s="961"/>
      <c r="I190" s="53">
        <f t="shared" si="36"/>
        <v>1</v>
      </c>
      <c r="J190" s="961"/>
      <c r="K190" s="53">
        <f t="shared" si="37"/>
        <v>1</v>
      </c>
      <c r="L190" s="961"/>
      <c r="M190" s="53">
        <f t="shared" si="38"/>
        <v>0</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0.06</v>
      </c>
      <c r="F191" s="961"/>
      <c r="G191" s="53">
        <f t="shared" si="35"/>
        <v>1</v>
      </c>
      <c r="H191" s="961"/>
      <c r="I191" s="53">
        <f t="shared" si="36"/>
        <v>1</v>
      </c>
      <c r="J191" s="961"/>
      <c r="K191" s="53">
        <f t="shared" si="37"/>
        <v>1</v>
      </c>
      <c r="L191" s="961"/>
      <c r="M191" s="53">
        <f t="shared" si="38"/>
        <v>0</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0.06</v>
      </c>
      <c r="F192" s="961"/>
      <c r="G192" s="53">
        <f t="shared" si="35"/>
        <v>1</v>
      </c>
      <c r="H192" s="961"/>
      <c r="I192" s="53">
        <f t="shared" si="36"/>
        <v>1</v>
      </c>
      <c r="J192" s="961"/>
      <c r="K192" s="53">
        <f t="shared" si="37"/>
        <v>1</v>
      </c>
      <c r="L192" s="961"/>
      <c r="M192" s="53">
        <f t="shared" si="38"/>
        <v>0</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0.06</v>
      </c>
      <c r="F193" s="961"/>
      <c r="G193" s="53">
        <f t="shared" si="35"/>
        <v>1</v>
      </c>
      <c r="H193" s="961"/>
      <c r="I193" s="53">
        <f t="shared" si="36"/>
        <v>1</v>
      </c>
      <c r="J193" s="961"/>
      <c r="K193" s="53">
        <f t="shared" si="37"/>
        <v>1</v>
      </c>
      <c r="L193" s="961"/>
      <c r="M193" s="53">
        <f t="shared" si="38"/>
        <v>0</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0.06</v>
      </c>
      <c r="F194" s="961"/>
      <c r="G194" s="53">
        <f t="shared" si="35"/>
        <v>1</v>
      </c>
      <c r="H194" s="961"/>
      <c r="I194" s="53">
        <f t="shared" si="36"/>
        <v>1</v>
      </c>
      <c r="J194" s="961"/>
      <c r="K194" s="53">
        <f t="shared" si="37"/>
        <v>1</v>
      </c>
      <c r="L194" s="961"/>
      <c r="M194" s="53">
        <f t="shared" si="38"/>
        <v>0</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0.06</v>
      </c>
      <c r="F195" s="961"/>
      <c r="G195" s="53">
        <f t="shared" si="35"/>
        <v>1</v>
      </c>
      <c r="H195" s="961"/>
      <c r="I195" s="53">
        <f t="shared" si="36"/>
        <v>1</v>
      </c>
      <c r="J195" s="961"/>
      <c r="K195" s="53">
        <f t="shared" si="37"/>
        <v>1</v>
      </c>
      <c r="L195" s="961"/>
      <c r="M195" s="53">
        <f t="shared" si="38"/>
        <v>0</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0.06</v>
      </c>
      <c r="F196" s="961"/>
      <c r="G196" s="53">
        <f t="shared" si="35"/>
        <v>1</v>
      </c>
      <c r="H196" s="961"/>
      <c r="I196" s="53">
        <f t="shared" si="36"/>
        <v>1</v>
      </c>
      <c r="J196" s="961"/>
      <c r="K196" s="53">
        <f t="shared" si="37"/>
        <v>1</v>
      </c>
      <c r="L196" s="961"/>
      <c r="M196" s="53">
        <f t="shared" si="38"/>
        <v>0</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0.06</v>
      </c>
      <c r="F197" s="961"/>
      <c r="G197" s="53">
        <f t="shared" si="35"/>
        <v>1</v>
      </c>
      <c r="H197" s="961"/>
      <c r="I197" s="53">
        <f t="shared" si="36"/>
        <v>1</v>
      </c>
      <c r="J197" s="961"/>
      <c r="K197" s="53">
        <f t="shared" si="37"/>
        <v>1</v>
      </c>
      <c r="L197" s="961"/>
      <c r="M197" s="53">
        <f t="shared" si="38"/>
        <v>0</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0.06</v>
      </c>
      <c r="F198" s="961"/>
      <c r="G198" s="53">
        <f t="shared" si="35"/>
        <v>1</v>
      </c>
      <c r="H198" s="961"/>
      <c r="I198" s="53">
        <f t="shared" si="36"/>
        <v>1</v>
      </c>
      <c r="J198" s="961"/>
      <c r="K198" s="53">
        <f t="shared" si="37"/>
        <v>1</v>
      </c>
      <c r="L198" s="961"/>
      <c r="M198" s="53">
        <f t="shared" si="38"/>
        <v>0</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0.06</v>
      </c>
      <c r="F199" s="961"/>
      <c r="G199" s="53">
        <f t="shared" si="35"/>
        <v>1</v>
      </c>
      <c r="H199" s="961"/>
      <c r="I199" s="53">
        <f t="shared" si="36"/>
        <v>1</v>
      </c>
      <c r="J199" s="961"/>
      <c r="K199" s="53">
        <f t="shared" si="37"/>
        <v>1</v>
      </c>
      <c r="L199" s="961"/>
      <c r="M199" s="53">
        <f t="shared" si="38"/>
        <v>0</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0.06</v>
      </c>
      <c r="F200" s="961"/>
      <c r="G200" s="53">
        <f t="shared" si="35"/>
        <v>1</v>
      </c>
      <c r="H200" s="961"/>
      <c r="I200" s="53">
        <f t="shared" si="36"/>
        <v>1</v>
      </c>
      <c r="J200" s="961"/>
      <c r="K200" s="53">
        <f t="shared" si="37"/>
        <v>1</v>
      </c>
      <c r="L200" s="961"/>
      <c r="M200" s="53">
        <f t="shared" si="38"/>
        <v>0</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0.06</v>
      </c>
      <c r="F201" s="961"/>
      <c r="G201" s="53">
        <f t="shared" si="35"/>
        <v>1</v>
      </c>
      <c r="H201" s="961"/>
      <c r="I201" s="53">
        <f t="shared" si="36"/>
        <v>1</v>
      </c>
      <c r="J201" s="961"/>
      <c r="K201" s="53">
        <f t="shared" si="37"/>
        <v>1</v>
      </c>
      <c r="L201" s="961"/>
      <c r="M201" s="53">
        <f t="shared" si="38"/>
        <v>0</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0.06</v>
      </c>
      <c r="F202" s="961"/>
      <c r="G202" s="53">
        <f t="shared" si="35"/>
        <v>1</v>
      </c>
      <c r="H202" s="961"/>
      <c r="I202" s="53">
        <f t="shared" si="36"/>
        <v>1</v>
      </c>
      <c r="J202" s="961"/>
      <c r="K202" s="53">
        <f t="shared" si="37"/>
        <v>1</v>
      </c>
      <c r="L202" s="961"/>
      <c r="M202" s="53">
        <f t="shared" si="38"/>
        <v>0</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0.06</v>
      </c>
      <c r="F203" s="961"/>
      <c r="G203" s="53">
        <f t="shared" si="35"/>
        <v>1</v>
      </c>
      <c r="H203" s="961"/>
      <c r="I203" s="53">
        <f t="shared" si="36"/>
        <v>1</v>
      </c>
      <c r="J203" s="961"/>
      <c r="K203" s="53">
        <f t="shared" si="37"/>
        <v>1</v>
      </c>
      <c r="L203" s="961"/>
      <c r="M203" s="53">
        <f t="shared" si="38"/>
        <v>0</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0.06</v>
      </c>
      <c r="F204" s="961"/>
      <c r="G204" s="53">
        <f t="shared" si="35"/>
        <v>1</v>
      </c>
      <c r="H204" s="961"/>
      <c r="I204" s="53">
        <f t="shared" si="36"/>
        <v>1</v>
      </c>
      <c r="J204" s="961"/>
      <c r="K204" s="53">
        <f t="shared" si="37"/>
        <v>1</v>
      </c>
      <c r="L204" s="961"/>
      <c r="M204" s="53">
        <f t="shared" si="38"/>
        <v>0</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0.06</v>
      </c>
      <c r="F205" s="961"/>
      <c r="G205" s="53">
        <f t="shared" si="35"/>
        <v>1</v>
      </c>
      <c r="H205" s="961"/>
      <c r="I205" s="53">
        <f t="shared" si="36"/>
        <v>1</v>
      </c>
      <c r="J205" s="961"/>
      <c r="K205" s="53">
        <f t="shared" si="37"/>
        <v>1</v>
      </c>
      <c r="L205" s="961"/>
      <c r="M205" s="53">
        <f t="shared" si="38"/>
        <v>0</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0.06</v>
      </c>
      <c r="F206" s="961"/>
      <c r="G206" s="53">
        <f t="shared" si="35"/>
        <v>1</v>
      </c>
      <c r="H206" s="961"/>
      <c r="I206" s="53">
        <f t="shared" si="36"/>
        <v>1</v>
      </c>
      <c r="J206" s="961"/>
      <c r="K206" s="53">
        <f t="shared" si="37"/>
        <v>1</v>
      </c>
      <c r="L206" s="961"/>
      <c r="M206" s="53">
        <f t="shared" si="38"/>
        <v>0</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0.06</v>
      </c>
      <c r="F207" s="961"/>
      <c r="G207" s="53">
        <f t="shared" si="35"/>
        <v>1</v>
      </c>
      <c r="H207" s="961"/>
      <c r="I207" s="53">
        <f t="shared" si="36"/>
        <v>1</v>
      </c>
      <c r="J207" s="961"/>
      <c r="K207" s="53">
        <f t="shared" si="37"/>
        <v>1</v>
      </c>
      <c r="L207" s="961"/>
      <c r="M207" s="53">
        <f t="shared" si="38"/>
        <v>0</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0.06</v>
      </c>
      <c r="F208" s="961"/>
      <c r="G208" s="53">
        <f t="shared" si="35"/>
        <v>1</v>
      </c>
      <c r="H208" s="961"/>
      <c r="I208" s="53">
        <f t="shared" si="36"/>
        <v>1</v>
      </c>
      <c r="J208" s="961"/>
      <c r="K208" s="53">
        <f t="shared" si="37"/>
        <v>1</v>
      </c>
      <c r="L208" s="961"/>
      <c r="M208" s="53">
        <f t="shared" si="38"/>
        <v>0</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0.06</v>
      </c>
      <c r="F209" s="961"/>
      <c r="G209" s="53">
        <f t="shared" si="35"/>
        <v>1</v>
      </c>
      <c r="H209" s="961"/>
      <c r="I209" s="53">
        <f t="shared" si="36"/>
        <v>1</v>
      </c>
      <c r="J209" s="961"/>
      <c r="K209" s="53">
        <f t="shared" si="37"/>
        <v>1</v>
      </c>
      <c r="L209" s="961"/>
      <c r="M209" s="53">
        <f t="shared" si="38"/>
        <v>0</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0.06</v>
      </c>
      <c r="F210" s="961"/>
      <c r="G210" s="53">
        <f t="shared" si="35"/>
        <v>1</v>
      </c>
      <c r="H210" s="961"/>
      <c r="I210" s="53">
        <f t="shared" si="36"/>
        <v>1</v>
      </c>
      <c r="J210" s="961"/>
      <c r="K210" s="53">
        <f t="shared" si="37"/>
        <v>1</v>
      </c>
      <c r="L210" s="961"/>
      <c r="M210" s="53">
        <f t="shared" si="38"/>
        <v>0</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0.06</v>
      </c>
      <c r="F211" s="961"/>
      <c r="G211" s="53">
        <f t="shared" si="35"/>
        <v>1</v>
      </c>
      <c r="H211" s="961"/>
      <c r="I211" s="53">
        <f t="shared" si="36"/>
        <v>1</v>
      </c>
      <c r="J211" s="961"/>
      <c r="K211" s="53">
        <f t="shared" si="37"/>
        <v>1</v>
      </c>
      <c r="L211" s="961"/>
      <c r="M211" s="53">
        <f t="shared" si="38"/>
        <v>0</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0.06</v>
      </c>
      <c r="F212" s="961"/>
      <c r="G212" s="53">
        <f t="shared" si="35"/>
        <v>1</v>
      </c>
      <c r="H212" s="961"/>
      <c r="I212" s="53">
        <f t="shared" si="36"/>
        <v>1</v>
      </c>
      <c r="J212" s="961"/>
      <c r="K212" s="53">
        <f t="shared" si="37"/>
        <v>1</v>
      </c>
      <c r="L212" s="961"/>
      <c r="M212" s="53">
        <f t="shared" si="38"/>
        <v>0</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0.06</v>
      </c>
      <c r="F213" s="961"/>
      <c r="G213" s="53">
        <f t="shared" si="35"/>
        <v>1</v>
      </c>
      <c r="H213" s="961"/>
      <c r="I213" s="53">
        <f t="shared" si="36"/>
        <v>1</v>
      </c>
      <c r="J213" s="961"/>
      <c r="K213" s="53">
        <f t="shared" si="37"/>
        <v>1</v>
      </c>
      <c r="L213" s="961"/>
      <c r="M213" s="53">
        <f t="shared" si="38"/>
        <v>0</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0.06</v>
      </c>
      <c r="F214" s="961"/>
      <c r="G214" s="53">
        <f t="shared" si="35"/>
        <v>1</v>
      </c>
      <c r="H214" s="961"/>
      <c r="I214" s="53">
        <f t="shared" si="36"/>
        <v>1</v>
      </c>
      <c r="J214" s="961"/>
      <c r="K214" s="53">
        <f t="shared" si="37"/>
        <v>1</v>
      </c>
      <c r="L214" s="961"/>
      <c r="M214" s="53">
        <f t="shared" si="38"/>
        <v>0</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0.06</v>
      </c>
      <c r="F215" s="961"/>
      <c r="G215" s="53">
        <f t="shared" si="35"/>
        <v>1</v>
      </c>
      <c r="H215" s="961"/>
      <c r="I215" s="53">
        <f t="shared" si="36"/>
        <v>1</v>
      </c>
      <c r="J215" s="961"/>
      <c r="K215" s="53">
        <f t="shared" si="37"/>
        <v>1</v>
      </c>
      <c r="L215" s="961"/>
      <c r="M215" s="53">
        <f t="shared" si="38"/>
        <v>0</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0.06</v>
      </c>
      <c r="F216" s="961"/>
      <c r="G216" s="53">
        <f t="shared" si="35"/>
        <v>1</v>
      </c>
      <c r="H216" s="961"/>
      <c r="I216" s="53">
        <f t="shared" si="36"/>
        <v>1</v>
      </c>
      <c r="J216" s="961"/>
      <c r="K216" s="53">
        <f t="shared" si="37"/>
        <v>1</v>
      </c>
      <c r="L216" s="961"/>
      <c r="M216" s="53">
        <f t="shared" si="38"/>
        <v>0</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0.06</v>
      </c>
      <c r="F217" s="961"/>
      <c r="G217" s="53">
        <f t="shared" si="35"/>
        <v>1</v>
      </c>
      <c r="H217" s="961"/>
      <c r="I217" s="53">
        <f t="shared" si="36"/>
        <v>1</v>
      </c>
      <c r="J217" s="961"/>
      <c r="K217" s="53">
        <f t="shared" si="37"/>
        <v>1</v>
      </c>
      <c r="L217" s="961"/>
      <c r="M217" s="53">
        <f t="shared" si="38"/>
        <v>0</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0.06</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0</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0.06</v>
      </c>
      <c r="F219" s="961"/>
      <c r="G219" s="53">
        <f t="shared" si="45"/>
        <v>1</v>
      </c>
      <c r="H219" s="961"/>
      <c r="I219" s="53">
        <f t="shared" si="46"/>
        <v>1</v>
      </c>
      <c r="J219" s="961"/>
      <c r="K219" s="53">
        <f t="shared" si="47"/>
        <v>1</v>
      </c>
      <c r="L219" s="961"/>
      <c r="M219" s="53">
        <f t="shared" si="48"/>
        <v>0</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0.06</v>
      </c>
      <c r="F220" s="961"/>
      <c r="G220" s="53">
        <f t="shared" si="45"/>
        <v>1</v>
      </c>
      <c r="H220" s="961"/>
      <c r="I220" s="53">
        <f t="shared" si="46"/>
        <v>1</v>
      </c>
      <c r="J220" s="961"/>
      <c r="K220" s="53">
        <f t="shared" si="47"/>
        <v>1</v>
      </c>
      <c r="L220" s="961"/>
      <c r="M220" s="53">
        <f t="shared" si="48"/>
        <v>0</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0.06</v>
      </c>
      <c r="F221" s="961"/>
      <c r="G221" s="53">
        <f t="shared" si="45"/>
        <v>1</v>
      </c>
      <c r="H221" s="961"/>
      <c r="I221" s="53">
        <f t="shared" si="46"/>
        <v>1</v>
      </c>
      <c r="J221" s="961"/>
      <c r="K221" s="53">
        <f t="shared" si="47"/>
        <v>1</v>
      </c>
      <c r="L221" s="961"/>
      <c r="M221" s="53">
        <f t="shared" si="48"/>
        <v>0</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0.06</v>
      </c>
      <c r="F222" s="961"/>
      <c r="G222" s="53">
        <f t="shared" si="45"/>
        <v>1</v>
      </c>
      <c r="H222" s="961"/>
      <c r="I222" s="53">
        <f t="shared" si="46"/>
        <v>1</v>
      </c>
      <c r="J222" s="961"/>
      <c r="K222" s="53">
        <f t="shared" si="47"/>
        <v>1</v>
      </c>
      <c r="L222" s="961"/>
      <c r="M222" s="53">
        <f t="shared" si="48"/>
        <v>0</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0.06</v>
      </c>
      <c r="F223" s="961"/>
      <c r="G223" s="53">
        <f t="shared" si="45"/>
        <v>1</v>
      </c>
      <c r="H223" s="961"/>
      <c r="I223" s="53">
        <f t="shared" si="46"/>
        <v>1</v>
      </c>
      <c r="J223" s="961"/>
      <c r="K223" s="53">
        <f t="shared" si="47"/>
        <v>1</v>
      </c>
      <c r="L223" s="961"/>
      <c r="M223" s="53">
        <f t="shared" si="48"/>
        <v>0</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0.06</v>
      </c>
      <c r="F224" s="961"/>
      <c r="G224" s="53">
        <f t="shared" si="45"/>
        <v>1</v>
      </c>
      <c r="H224" s="961"/>
      <c r="I224" s="53">
        <f t="shared" si="46"/>
        <v>1</v>
      </c>
      <c r="J224" s="961"/>
      <c r="K224" s="53">
        <f t="shared" si="47"/>
        <v>1</v>
      </c>
      <c r="L224" s="961"/>
      <c r="M224" s="53">
        <f t="shared" si="48"/>
        <v>0</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0.06</v>
      </c>
      <c r="F225" s="961"/>
      <c r="G225" s="53">
        <f t="shared" si="45"/>
        <v>1</v>
      </c>
      <c r="H225" s="961"/>
      <c r="I225" s="53">
        <f t="shared" si="46"/>
        <v>1</v>
      </c>
      <c r="J225" s="961"/>
      <c r="K225" s="53">
        <f t="shared" si="47"/>
        <v>1</v>
      </c>
      <c r="L225" s="961"/>
      <c r="M225" s="53">
        <f t="shared" si="48"/>
        <v>0</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0.06</v>
      </c>
      <c r="F226" s="961"/>
      <c r="G226" s="53">
        <f t="shared" si="45"/>
        <v>1</v>
      </c>
      <c r="H226" s="961"/>
      <c r="I226" s="53">
        <f t="shared" si="46"/>
        <v>1</v>
      </c>
      <c r="J226" s="961"/>
      <c r="K226" s="53">
        <f t="shared" si="47"/>
        <v>1</v>
      </c>
      <c r="L226" s="961"/>
      <c r="M226" s="53">
        <f t="shared" si="48"/>
        <v>0</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0.06</v>
      </c>
      <c r="F227" s="961"/>
      <c r="G227" s="53">
        <f t="shared" si="45"/>
        <v>1</v>
      </c>
      <c r="H227" s="961"/>
      <c r="I227" s="53">
        <f t="shared" si="46"/>
        <v>1</v>
      </c>
      <c r="J227" s="961"/>
      <c r="K227" s="53">
        <f t="shared" si="47"/>
        <v>1</v>
      </c>
      <c r="L227" s="961"/>
      <c r="M227" s="53">
        <f t="shared" si="48"/>
        <v>0</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0.06</v>
      </c>
      <c r="F228" s="961"/>
      <c r="G228" s="53">
        <f t="shared" si="45"/>
        <v>1</v>
      </c>
      <c r="H228" s="961"/>
      <c r="I228" s="53">
        <f t="shared" si="46"/>
        <v>1</v>
      </c>
      <c r="J228" s="961"/>
      <c r="K228" s="53">
        <f t="shared" si="47"/>
        <v>1</v>
      </c>
      <c r="L228" s="961"/>
      <c r="M228" s="53">
        <f t="shared" si="48"/>
        <v>0</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0.06</v>
      </c>
      <c r="F229" s="961"/>
      <c r="G229" s="53">
        <f t="shared" si="45"/>
        <v>1</v>
      </c>
      <c r="H229" s="961"/>
      <c r="I229" s="53">
        <f t="shared" si="46"/>
        <v>1</v>
      </c>
      <c r="J229" s="961"/>
      <c r="K229" s="53">
        <f t="shared" si="47"/>
        <v>1</v>
      </c>
      <c r="L229" s="961"/>
      <c r="M229" s="53">
        <f t="shared" si="48"/>
        <v>0</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0.06</v>
      </c>
      <c r="F230" s="961"/>
      <c r="G230" s="53">
        <f t="shared" si="45"/>
        <v>1</v>
      </c>
      <c r="H230" s="961"/>
      <c r="I230" s="53">
        <f t="shared" si="46"/>
        <v>1</v>
      </c>
      <c r="J230" s="961"/>
      <c r="K230" s="53">
        <f t="shared" si="47"/>
        <v>1</v>
      </c>
      <c r="L230" s="961"/>
      <c r="M230" s="53">
        <f t="shared" si="48"/>
        <v>0</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0.06</v>
      </c>
      <c r="F231" s="961"/>
      <c r="G231" s="53">
        <f t="shared" si="45"/>
        <v>1</v>
      </c>
      <c r="H231" s="961"/>
      <c r="I231" s="53">
        <f t="shared" si="46"/>
        <v>1</v>
      </c>
      <c r="J231" s="961"/>
      <c r="K231" s="53">
        <f t="shared" si="47"/>
        <v>1</v>
      </c>
      <c r="L231" s="961"/>
      <c r="M231" s="53">
        <f t="shared" si="48"/>
        <v>0</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0.06</v>
      </c>
      <c r="F232" s="961"/>
      <c r="G232" s="53">
        <f t="shared" si="45"/>
        <v>1</v>
      </c>
      <c r="H232" s="961"/>
      <c r="I232" s="53">
        <f t="shared" si="46"/>
        <v>1</v>
      </c>
      <c r="J232" s="961"/>
      <c r="K232" s="53">
        <f t="shared" si="47"/>
        <v>1</v>
      </c>
      <c r="L232" s="961"/>
      <c r="M232" s="53">
        <f t="shared" si="48"/>
        <v>0</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0.06</v>
      </c>
      <c r="F233" s="961"/>
      <c r="G233" s="53">
        <f t="shared" si="45"/>
        <v>1</v>
      </c>
      <c r="H233" s="961"/>
      <c r="I233" s="53">
        <f t="shared" si="46"/>
        <v>1</v>
      </c>
      <c r="J233" s="961"/>
      <c r="K233" s="53">
        <f t="shared" si="47"/>
        <v>1</v>
      </c>
      <c r="L233" s="961"/>
      <c r="M233" s="53">
        <f t="shared" si="48"/>
        <v>0</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0.06</v>
      </c>
      <c r="F234" s="961"/>
      <c r="G234" s="53">
        <f t="shared" si="45"/>
        <v>1</v>
      </c>
      <c r="H234" s="961"/>
      <c r="I234" s="53">
        <f t="shared" si="46"/>
        <v>1</v>
      </c>
      <c r="J234" s="961"/>
      <c r="K234" s="53">
        <f t="shared" si="47"/>
        <v>1</v>
      </c>
      <c r="L234" s="961"/>
      <c r="M234" s="53">
        <f t="shared" si="48"/>
        <v>0</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0.06</v>
      </c>
      <c r="F235" s="961"/>
      <c r="G235" s="53">
        <f t="shared" si="45"/>
        <v>1</v>
      </c>
      <c r="H235" s="961"/>
      <c r="I235" s="53">
        <f t="shared" si="46"/>
        <v>1</v>
      </c>
      <c r="J235" s="961"/>
      <c r="K235" s="53">
        <f t="shared" si="47"/>
        <v>1</v>
      </c>
      <c r="L235" s="961"/>
      <c r="M235" s="53">
        <f t="shared" si="48"/>
        <v>0</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0.06</v>
      </c>
      <c r="F236" s="961"/>
      <c r="G236" s="53">
        <f t="shared" si="45"/>
        <v>1</v>
      </c>
      <c r="H236" s="961"/>
      <c r="I236" s="53">
        <f t="shared" si="46"/>
        <v>1</v>
      </c>
      <c r="J236" s="961"/>
      <c r="K236" s="53">
        <f t="shared" si="47"/>
        <v>1</v>
      </c>
      <c r="L236" s="961"/>
      <c r="M236" s="53">
        <f t="shared" si="48"/>
        <v>0</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0.06</v>
      </c>
      <c r="F237" s="961"/>
      <c r="G237" s="53">
        <f t="shared" si="45"/>
        <v>1</v>
      </c>
      <c r="H237" s="961"/>
      <c r="I237" s="53">
        <f t="shared" si="46"/>
        <v>1</v>
      </c>
      <c r="J237" s="961"/>
      <c r="K237" s="53">
        <f t="shared" si="47"/>
        <v>1</v>
      </c>
      <c r="L237" s="961"/>
      <c r="M237" s="53">
        <f t="shared" si="48"/>
        <v>0</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0.06</v>
      </c>
      <c r="F238" s="961"/>
      <c r="G238" s="53">
        <f t="shared" si="45"/>
        <v>1</v>
      </c>
      <c r="H238" s="961"/>
      <c r="I238" s="53">
        <f t="shared" si="46"/>
        <v>1</v>
      </c>
      <c r="J238" s="961"/>
      <c r="K238" s="53">
        <f t="shared" si="47"/>
        <v>1</v>
      </c>
      <c r="L238" s="961"/>
      <c r="M238" s="53">
        <f t="shared" si="48"/>
        <v>0</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0.06</v>
      </c>
      <c r="F239" s="961"/>
      <c r="G239" s="53">
        <f t="shared" si="45"/>
        <v>1</v>
      </c>
      <c r="H239" s="961"/>
      <c r="I239" s="53">
        <f t="shared" si="46"/>
        <v>1</v>
      </c>
      <c r="J239" s="961"/>
      <c r="K239" s="53">
        <f t="shared" si="47"/>
        <v>1</v>
      </c>
      <c r="L239" s="961"/>
      <c r="M239" s="53">
        <f t="shared" si="48"/>
        <v>0</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0.06</v>
      </c>
      <c r="F240" s="961"/>
      <c r="G240" s="53">
        <f t="shared" si="45"/>
        <v>1</v>
      </c>
      <c r="H240" s="961"/>
      <c r="I240" s="53">
        <f t="shared" si="46"/>
        <v>1</v>
      </c>
      <c r="J240" s="961"/>
      <c r="K240" s="53">
        <f t="shared" si="47"/>
        <v>1</v>
      </c>
      <c r="L240" s="961"/>
      <c r="M240" s="53">
        <f t="shared" si="48"/>
        <v>0</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0.06</v>
      </c>
      <c r="F241" s="961"/>
      <c r="G241" s="53">
        <f t="shared" si="45"/>
        <v>1</v>
      </c>
      <c r="H241" s="961"/>
      <c r="I241" s="53">
        <f t="shared" si="46"/>
        <v>1</v>
      </c>
      <c r="J241" s="961"/>
      <c r="K241" s="53">
        <f t="shared" si="47"/>
        <v>1</v>
      </c>
      <c r="L241" s="961"/>
      <c r="M241" s="53">
        <f t="shared" si="48"/>
        <v>0</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0.06</v>
      </c>
      <c r="F242" s="961"/>
      <c r="G242" s="53">
        <f t="shared" si="45"/>
        <v>1</v>
      </c>
      <c r="H242" s="961"/>
      <c r="I242" s="53">
        <f t="shared" si="46"/>
        <v>1</v>
      </c>
      <c r="J242" s="961"/>
      <c r="K242" s="53">
        <f t="shared" si="47"/>
        <v>1</v>
      </c>
      <c r="L242" s="961"/>
      <c r="M242" s="53">
        <f t="shared" si="48"/>
        <v>0</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0.06</v>
      </c>
      <c r="F243" s="961"/>
      <c r="G243" s="53">
        <f t="shared" si="45"/>
        <v>1</v>
      </c>
      <c r="H243" s="961"/>
      <c r="I243" s="53">
        <f t="shared" si="46"/>
        <v>1</v>
      </c>
      <c r="J243" s="961"/>
      <c r="K243" s="53">
        <f t="shared" si="47"/>
        <v>1</v>
      </c>
      <c r="L243" s="961"/>
      <c r="M243" s="53">
        <f t="shared" si="48"/>
        <v>0</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0.06</v>
      </c>
      <c r="F244" s="961"/>
      <c r="G244" s="53">
        <f t="shared" si="45"/>
        <v>1</v>
      </c>
      <c r="H244" s="961"/>
      <c r="I244" s="53">
        <f t="shared" si="46"/>
        <v>1</v>
      </c>
      <c r="J244" s="961"/>
      <c r="K244" s="53">
        <f t="shared" si="47"/>
        <v>1</v>
      </c>
      <c r="L244" s="961"/>
      <c r="M244" s="53">
        <f t="shared" si="48"/>
        <v>0</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0.06</v>
      </c>
      <c r="F245" s="961"/>
      <c r="G245" s="53">
        <f t="shared" si="45"/>
        <v>1</v>
      </c>
      <c r="H245" s="961"/>
      <c r="I245" s="53">
        <f t="shared" si="46"/>
        <v>1</v>
      </c>
      <c r="J245" s="961"/>
      <c r="K245" s="53">
        <f t="shared" si="47"/>
        <v>1</v>
      </c>
      <c r="L245" s="961"/>
      <c r="M245" s="53">
        <f t="shared" si="48"/>
        <v>0</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0.06</v>
      </c>
      <c r="F246" s="961"/>
      <c r="G246" s="53">
        <f t="shared" si="45"/>
        <v>1</v>
      </c>
      <c r="H246" s="961"/>
      <c r="I246" s="53">
        <f t="shared" si="46"/>
        <v>1</v>
      </c>
      <c r="J246" s="961"/>
      <c r="K246" s="53">
        <f t="shared" si="47"/>
        <v>1</v>
      </c>
      <c r="L246" s="961"/>
      <c r="M246" s="53">
        <f t="shared" si="48"/>
        <v>0</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0.06</v>
      </c>
      <c r="F247" s="961"/>
      <c r="G247" s="53">
        <f t="shared" si="45"/>
        <v>1</v>
      </c>
      <c r="H247" s="961"/>
      <c r="I247" s="53">
        <f t="shared" si="46"/>
        <v>1</v>
      </c>
      <c r="J247" s="961"/>
      <c r="K247" s="53">
        <f t="shared" si="47"/>
        <v>1</v>
      </c>
      <c r="L247" s="961"/>
      <c r="M247" s="53">
        <f t="shared" si="48"/>
        <v>0</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0.06</v>
      </c>
      <c r="F248" s="961"/>
      <c r="G248" s="53">
        <f t="shared" si="45"/>
        <v>1</v>
      </c>
      <c r="H248" s="961"/>
      <c r="I248" s="53">
        <f t="shared" si="46"/>
        <v>1</v>
      </c>
      <c r="J248" s="961"/>
      <c r="K248" s="53">
        <f t="shared" si="47"/>
        <v>1</v>
      </c>
      <c r="L248" s="961"/>
      <c r="M248" s="53">
        <f t="shared" si="48"/>
        <v>0</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0.06</v>
      </c>
      <c r="F249" s="961"/>
      <c r="G249" s="53">
        <f t="shared" si="45"/>
        <v>1</v>
      </c>
      <c r="H249" s="961"/>
      <c r="I249" s="53">
        <f t="shared" si="46"/>
        <v>1</v>
      </c>
      <c r="J249" s="961"/>
      <c r="K249" s="53">
        <f t="shared" si="47"/>
        <v>1</v>
      </c>
      <c r="L249" s="961"/>
      <c r="M249" s="53">
        <f t="shared" si="48"/>
        <v>0</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0.06</v>
      </c>
      <c r="F250" s="961"/>
      <c r="G250" s="53">
        <f t="shared" si="45"/>
        <v>1</v>
      </c>
      <c r="H250" s="961"/>
      <c r="I250" s="53">
        <f t="shared" si="46"/>
        <v>1</v>
      </c>
      <c r="J250" s="961"/>
      <c r="K250" s="53">
        <f t="shared" si="47"/>
        <v>1</v>
      </c>
      <c r="L250" s="961"/>
      <c r="M250" s="53">
        <f t="shared" si="48"/>
        <v>0</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0.06</v>
      </c>
      <c r="F251" s="961"/>
      <c r="G251" s="53">
        <f t="shared" si="45"/>
        <v>1</v>
      </c>
      <c r="H251" s="961"/>
      <c r="I251" s="53">
        <f t="shared" si="46"/>
        <v>1</v>
      </c>
      <c r="J251" s="961"/>
      <c r="K251" s="53">
        <f t="shared" si="47"/>
        <v>1</v>
      </c>
      <c r="L251" s="961"/>
      <c r="M251" s="53">
        <f t="shared" si="48"/>
        <v>0</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0.06</v>
      </c>
      <c r="F252" s="961"/>
      <c r="G252" s="53">
        <f t="shared" si="45"/>
        <v>1</v>
      </c>
      <c r="H252" s="961"/>
      <c r="I252" s="53">
        <f t="shared" si="46"/>
        <v>1</v>
      </c>
      <c r="J252" s="961"/>
      <c r="K252" s="53">
        <f t="shared" si="47"/>
        <v>1</v>
      </c>
      <c r="L252" s="961"/>
      <c r="M252" s="53">
        <f t="shared" si="48"/>
        <v>0</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0.06</v>
      </c>
      <c r="F253" s="961"/>
      <c r="G253" s="53">
        <f t="shared" si="45"/>
        <v>1</v>
      </c>
      <c r="H253" s="961"/>
      <c r="I253" s="53">
        <f t="shared" si="46"/>
        <v>1</v>
      </c>
      <c r="J253" s="961"/>
      <c r="K253" s="53">
        <f t="shared" si="47"/>
        <v>1</v>
      </c>
      <c r="L253" s="961"/>
      <c r="M253" s="53">
        <f t="shared" si="48"/>
        <v>0</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0.06</v>
      </c>
      <c r="F254" s="961"/>
      <c r="G254" s="53">
        <f t="shared" si="45"/>
        <v>1</v>
      </c>
      <c r="H254" s="961"/>
      <c r="I254" s="53">
        <f t="shared" si="46"/>
        <v>1</v>
      </c>
      <c r="J254" s="961"/>
      <c r="K254" s="53">
        <f t="shared" si="47"/>
        <v>1</v>
      </c>
      <c r="L254" s="961"/>
      <c r="M254" s="53">
        <f t="shared" si="48"/>
        <v>0</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0.06</v>
      </c>
      <c r="F255" s="961"/>
      <c r="G255" s="53">
        <f t="shared" si="45"/>
        <v>1</v>
      </c>
      <c r="H255" s="961"/>
      <c r="I255" s="53">
        <f t="shared" si="46"/>
        <v>1</v>
      </c>
      <c r="J255" s="961"/>
      <c r="K255" s="53">
        <f t="shared" si="47"/>
        <v>1</v>
      </c>
      <c r="L255" s="961"/>
      <c r="M255" s="53">
        <f t="shared" si="48"/>
        <v>0</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0.06</v>
      </c>
      <c r="F256" s="961"/>
      <c r="G256" s="53">
        <f t="shared" si="45"/>
        <v>1</v>
      </c>
      <c r="H256" s="961"/>
      <c r="I256" s="53">
        <f t="shared" si="46"/>
        <v>1</v>
      </c>
      <c r="J256" s="961"/>
      <c r="K256" s="53">
        <f t="shared" si="47"/>
        <v>1</v>
      </c>
      <c r="L256" s="961"/>
      <c r="M256" s="53">
        <f t="shared" si="48"/>
        <v>0</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0.06</v>
      </c>
      <c r="F257" s="961"/>
      <c r="G257" s="53">
        <f t="shared" si="45"/>
        <v>1</v>
      </c>
      <c r="H257" s="961"/>
      <c r="I257" s="53">
        <f t="shared" si="46"/>
        <v>1</v>
      </c>
      <c r="J257" s="961"/>
      <c r="K257" s="53">
        <f t="shared" si="47"/>
        <v>1</v>
      </c>
      <c r="L257" s="961"/>
      <c r="M257" s="53">
        <f t="shared" si="48"/>
        <v>0</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0.06</v>
      </c>
      <c r="F258" s="961"/>
      <c r="G258" s="53">
        <f t="shared" si="45"/>
        <v>1</v>
      </c>
      <c r="H258" s="961"/>
      <c r="I258" s="53">
        <f t="shared" si="46"/>
        <v>1</v>
      </c>
      <c r="J258" s="961"/>
      <c r="K258" s="53">
        <f t="shared" si="47"/>
        <v>1</v>
      </c>
      <c r="L258" s="961"/>
      <c r="M258" s="53">
        <f t="shared" si="48"/>
        <v>0</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0.06</v>
      </c>
      <c r="F259" s="961"/>
      <c r="G259" s="53">
        <f t="shared" si="45"/>
        <v>1</v>
      </c>
      <c r="H259" s="961"/>
      <c r="I259" s="53">
        <f t="shared" si="46"/>
        <v>1</v>
      </c>
      <c r="J259" s="961"/>
      <c r="K259" s="53">
        <f t="shared" si="47"/>
        <v>1</v>
      </c>
      <c r="L259" s="961"/>
      <c r="M259" s="53">
        <f t="shared" si="48"/>
        <v>0</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0.06</v>
      </c>
      <c r="F260" s="961"/>
      <c r="G260" s="53">
        <f t="shared" si="45"/>
        <v>1</v>
      </c>
      <c r="H260" s="961"/>
      <c r="I260" s="53">
        <f t="shared" si="46"/>
        <v>1</v>
      </c>
      <c r="J260" s="961"/>
      <c r="K260" s="53">
        <f t="shared" si="47"/>
        <v>1</v>
      </c>
      <c r="L260" s="961"/>
      <c r="M260" s="53">
        <f t="shared" si="48"/>
        <v>0</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0.06</v>
      </c>
      <c r="F261" s="961"/>
      <c r="G261" s="53">
        <f t="shared" si="45"/>
        <v>1</v>
      </c>
      <c r="H261" s="961"/>
      <c r="I261" s="53">
        <f t="shared" si="46"/>
        <v>1</v>
      </c>
      <c r="J261" s="961"/>
      <c r="K261" s="53">
        <f t="shared" si="47"/>
        <v>1</v>
      </c>
      <c r="L261" s="961"/>
      <c r="M261" s="53">
        <f t="shared" si="48"/>
        <v>0</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0.06</v>
      </c>
      <c r="F262" s="961"/>
      <c r="G262" s="53">
        <f t="shared" si="45"/>
        <v>1</v>
      </c>
      <c r="H262" s="961"/>
      <c r="I262" s="53">
        <f t="shared" si="46"/>
        <v>1</v>
      </c>
      <c r="J262" s="961"/>
      <c r="K262" s="53">
        <f t="shared" si="47"/>
        <v>1</v>
      </c>
      <c r="L262" s="961"/>
      <c r="M262" s="53">
        <f t="shared" si="48"/>
        <v>0</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0.06</v>
      </c>
      <c r="F263" s="961"/>
      <c r="G263" s="53">
        <f t="shared" si="45"/>
        <v>1</v>
      </c>
      <c r="H263" s="961"/>
      <c r="I263" s="53">
        <f t="shared" si="46"/>
        <v>1</v>
      </c>
      <c r="J263" s="961"/>
      <c r="K263" s="53">
        <f t="shared" si="47"/>
        <v>1</v>
      </c>
      <c r="L263" s="961"/>
      <c r="M263" s="53">
        <f t="shared" si="48"/>
        <v>0</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0.06</v>
      </c>
      <c r="F264" s="961"/>
      <c r="G264" s="53">
        <f t="shared" si="45"/>
        <v>1</v>
      </c>
      <c r="H264" s="961"/>
      <c r="I264" s="53">
        <f t="shared" si="46"/>
        <v>1</v>
      </c>
      <c r="J264" s="961"/>
      <c r="K264" s="53">
        <f t="shared" si="47"/>
        <v>1</v>
      </c>
      <c r="L264" s="961"/>
      <c r="M264" s="53">
        <f t="shared" si="48"/>
        <v>0</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0.06</v>
      </c>
      <c r="F265" s="961"/>
      <c r="G265" s="53">
        <f t="shared" si="45"/>
        <v>1</v>
      </c>
      <c r="H265" s="961"/>
      <c r="I265" s="53">
        <f t="shared" si="46"/>
        <v>1</v>
      </c>
      <c r="J265" s="961"/>
      <c r="K265" s="53">
        <f t="shared" si="47"/>
        <v>1</v>
      </c>
      <c r="L265" s="961"/>
      <c r="M265" s="53">
        <f t="shared" si="48"/>
        <v>0</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0.06</v>
      </c>
      <c r="F266" s="961"/>
      <c r="G266" s="53">
        <f t="shared" si="45"/>
        <v>1</v>
      </c>
      <c r="H266" s="961"/>
      <c r="I266" s="53">
        <f t="shared" si="46"/>
        <v>1</v>
      </c>
      <c r="J266" s="961"/>
      <c r="K266" s="53">
        <f t="shared" si="47"/>
        <v>1</v>
      </c>
      <c r="L266" s="961"/>
      <c r="M266" s="53">
        <f t="shared" si="48"/>
        <v>0</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0.06</v>
      </c>
      <c r="F267" s="961"/>
      <c r="G267" s="53">
        <f t="shared" si="45"/>
        <v>1</v>
      </c>
      <c r="H267" s="961"/>
      <c r="I267" s="53">
        <f t="shared" si="46"/>
        <v>1</v>
      </c>
      <c r="J267" s="961"/>
      <c r="K267" s="53">
        <f t="shared" si="47"/>
        <v>1</v>
      </c>
      <c r="L267" s="961"/>
      <c r="M267" s="53">
        <f t="shared" si="48"/>
        <v>0</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0.06</v>
      </c>
      <c r="F268" s="961"/>
      <c r="G268" s="53">
        <f t="shared" si="45"/>
        <v>1</v>
      </c>
      <c r="H268" s="961"/>
      <c r="I268" s="53">
        <f t="shared" si="46"/>
        <v>1</v>
      </c>
      <c r="J268" s="961"/>
      <c r="K268" s="53">
        <f t="shared" si="47"/>
        <v>1</v>
      </c>
      <c r="L268" s="961"/>
      <c r="M268" s="53">
        <f t="shared" si="48"/>
        <v>0</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0.06</v>
      </c>
      <c r="F269" s="961"/>
      <c r="G269" s="53">
        <f t="shared" si="45"/>
        <v>1</v>
      </c>
      <c r="H269" s="961"/>
      <c r="I269" s="53">
        <f t="shared" si="46"/>
        <v>1</v>
      </c>
      <c r="J269" s="961"/>
      <c r="K269" s="53">
        <f t="shared" si="47"/>
        <v>1</v>
      </c>
      <c r="L269" s="961"/>
      <c r="M269" s="53">
        <f t="shared" si="48"/>
        <v>0</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0.06</v>
      </c>
      <c r="F270" s="961"/>
      <c r="G270" s="53">
        <f t="shared" si="45"/>
        <v>1</v>
      </c>
      <c r="H270" s="961"/>
      <c r="I270" s="53">
        <f t="shared" si="46"/>
        <v>1</v>
      </c>
      <c r="J270" s="961"/>
      <c r="K270" s="53">
        <f t="shared" si="47"/>
        <v>1</v>
      </c>
      <c r="L270" s="961"/>
      <c r="M270" s="53">
        <f t="shared" si="48"/>
        <v>0</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0.06</v>
      </c>
      <c r="F271" s="961"/>
      <c r="G271" s="53">
        <f t="shared" si="45"/>
        <v>1</v>
      </c>
      <c r="H271" s="961"/>
      <c r="I271" s="53">
        <f t="shared" si="46"/>
        <v>1</v>
      </c>
      <c r="J271" s="961"/>
      <c r="K271" s="53">
        <f t="shared" si="47"/>
        <v>1</v>
      </c>
      <c r="L271" s="961"/>
      <c r="M271" s="53">
        <f t="shared" si="48"/>
        <v>0</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0.06</v>
      </c>
      <c r="F272" s="961"/>
      <c r="G272" s="53">
        <f t="shared" si="45"/>
        <v>1</v>
      </c>
      <c r="H272" s="961"/>
      <c r="I272" s="53">
        <f t="shared" si="46"/>
        <v>1</v>
      </c>
      <c r="J272" s="961"/>
      <c r="K272" s="53">
        <f t="shared" si="47"/>
        <v>1</v>
      </c>
      <c r="L272" s="961"/>
      <c r="M272" s="53">
        <f t="shared" si="48"/>
        <v>0</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0.06</v>
      </c>
      <c r="F273" s="961"/>
      <c r="G273" s="53">
        <f t="shared" si="45"/>
        <v>1</v>
      </c>
      <c r="H273" s="961"/>
      <c r="I273" s="53">
        <f t="shared" si="46"/>
        <v>1</v>
      </c>
      <c r="J273" s="961"/>
      <c r="K273" s="53">
        <f t="shared" si="47"/>
        <v>1</v>
      </c>
      <c r="L273" s="961"/>
      <c r="M273" s="53">
        <f t="shared" si="48"/>
        <v>0</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0.06</v>
      </c>
      <c r="F274" s="961"/>
      <c r="G274" s="53">
        <f t="shared" si="45"/>
        <v>1</v>
      </c>
      <c r="H274" s="961"/>
      <c r="I274" s="53">
        <f t="shared" si="46"/>
        <v>1</v>
      </c>
      <c r="J274" s="961"/>
      <c r="K274" s="53">
        <f t="shared" si="47"/>
        <v>1</v>
      </c>
      <c r="L274" s="961"/>
      <c r="M274" s="53">
        <f t="shared" si="48"/>
        <v>0</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0.06</v>
      </c>
      <c r="F275" s="961"/>
      <c r="G275" s="53">
        <f t="shared" si="45"/>
        <v>1</v>
      </c>
      <c r="H275" s="961"/>
      <c r="I275" s="53">
        <f t="shared" si="46"/>
        <v>1</v>
      </c>
      <c r="J275" s="961"/>
      <c r="K275" s="53">
        <f t="shared" si="47"/>
        <v>1</v>
      </c>
      <c r="L275" s="961"/>
      <c r="M275" s="53">
        <f t="shared" si="48"/>
        <v>0</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0.06</v>
      </c>
      <c r="F276" s="961"/>
      <c r="G276" s="53">
        <f t="shared" si="45"/>
        <v>1</v>
      </c>
      <c r="H276" s="961"/>
      <c r="I276" s="53">
        <f t="shared" si="46"/>
        <v>1</v>
      </c>
      <c r="J276" s="961"/>
      <c r="K276" s="53">
        <f t="shared" si="47"/>
        <v>1</v>
      </c>
      <c r="L276" s="961"/>
      <c r="M276" s="53">
        <f t="shared" si="48"/>
        <v>0</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0.06</v>
      </c>
      <c r="F277" s="961"/>
      <c r="G277" s="53">
        <f t="shared" si="45"/>
        <v>1</v>
      </c>
      <c r="H277" s="961"/>
      <c r="I277" s="53">
        <f t="shared" si="46"/>
        <v>1</v>
      </c>
      <c r="J277" s="961"/>
      <c r="K277" s="53">
        <f t="shared" si="47"/>
        <v>1</v>
      </c>
      <c r="L277" s="961"/>
      <c r="M277" s="53">
        <f t="shared" si="48"/>
        <v>0</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0.06</v>
      </c>
      <c r="F278" s="961"/>
      <c r="G278" s="53">
        <f t="shared" si="45"/>
        <v>1</v>
      </c>
      <c r="H278" s="961"/>
      <c r="I278" s="53">
        <f t="shared" si="46"/>
        <v>1</v>
      </c>
      <c r="J278" s="961"/>
      <c r="K278" s="53">
        <f t="shared" si="47"/>
        <v>1</v>
      </c>
      <c r="L278" s="961"/>
      <c r="M278" s="53">
        <f t="shared" si="48"/>
        <v>0</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0.06</v>
      </c>
      <c r="F279" s="961"/>
      <c r="G279" s="53">
        <f t="shared" si="45"/>
        <v>1</v>
      </c>
      <c r="H279" s="961"/>
      <c r="I279" s="53">
        <f t="shared" si="46"/>
        <v>1</v>
      </c>
      <c r="J279" s="961"/>
      <c r="K279" s="53">
        <f t="shared" si="47"/>
        <v>1</v>
      </c>
      <c r="L279" s="961"/>
      <c r="M279" s="53">
        <f t="shared" si="48"/>
        <v>0</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0.06</v>
      </c>
      <c r="F280" s="961"/>
      <c r="G280" s="53">
        <f t="shared" si="45"/>
        <v>1</v>
      </c>
      <c r="H280" s="961"/>
      <c r="I280" s="53">
        <f t="shared" si="46"/>
        <v>1</v>
      </c>
      <c r="J280" s="961"/>
      <c r="K280" s="53">
        <f t="shared" si="47"/>
        <v>1</v>
      </c>
      <c r="L280" s="961"/>
      <c r="M280" s="53">
        <f t="shared" si="48"/>
        <v>0</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0.06</v>
      </c>
      <c r="F281" s="961"/>
      <c r="G281" s="53">
        <f t="shared" si="45"/>
        <v>1</v>
      </c>
      <c r="H281" s="961"/>
      <c r="I281" s="53">
        <f t="shared" si="46"/>
        <v>1</v>
      </c>
      <c r="J281" s="961"/>
      <c r="K281" s="53">
        <f t="shared" si="47"/>
        <v>1</v>
      </c>
      <c r="L281" s="961"/>
      <c r="M281" s="53">
        <f t="shared" si="48"/>
        <v>0</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0.06</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0</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0.06</v>
      </c>
      <c r="F283" s="961"/>
      <c r="G283" s="53">
        <f t="shared" si="55"/>
        <v>1</v>
      </c>
      <c r="H283" s="961"/>
      <c r="I283" s="53">
        <f t="shared" si="56"/>
        <v>1</v>
      </c>
      <c r="J283" s="961"/>
      <c r="K283" s="53">
        <f t="shared" si="57"/>
        <v>1</v>
      </c>
      <c r="L283" s="961"/>
      <c r="M283" s="53">
        <f t="shared" si="58"/>
        <v>0</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0.06</v>
      </c>
      <c r="F284" s="961"/>
      <c r="G284" s="53">
        <f t="shared" si="55"/>
        <v>1</v>
      </c>
      <c r="H284" s="961"/>
      <c r="I284" s="53">
        <f t="shared" si="56"/>
        <v>1</v>
      </c>
      <c r="J284" s="961"/>
      <c r="K284" s="53">
        <f t="shared" si="57"/>
        <v>1</v>
      </c>
      <c r="L284" s="961"/>
      <c r="M284" s="53">
        <f t="shared" si="58"/>
        <v>0</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0.06</v>
      </c>
      <c r="F285" s="961"/>
      <c r="G285" s="53">
        <f t="shared" si="55"/>
        <v>1</v>
      </c>
      <c r="H285" s="961"/>
      <c r="I285" s="53">
        <f t="shared" si="56"/>
        <v>1</v>
      </c>
      <c r="J285" s="961"/>
      <c r="K285" s="53">
        <f t="shared" si="57"/>
        <v>1</v>
      </c>
      <c r="L285" s="961"/>
      <c r="M285" s="53">
        <f t="shared" si="58"/>
        <v>0</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0.06</v>
      </c>
      <c r="F286" s="961"/>
      <c r="G286" s="53">
        <f t="shared" si="55"/>
        <v>1</v>
      </c>
      <c r="H286" s="961"/>
      <c r="I286" s="53">
        <f t="shared" si="56"/>
        <v>1</v>
      </c>
      <c r="J286" s="961"/>
      <c r="K286" s="53">
        <f t="shared" si="57"/>
        <v>1</v>
      </c>
      <c r="L286" s="961"/>
      <c r="M286" s="53">
        <f t="shared" si="58"/>
        <v>0</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0.06</v>
      </c>
      <c r="F287" s="961"/>
      <c r="G287" s="53">
        <f t="shared" si="55"/>
        <v>1</v>
      </c>
      <c r="H287" s="961"/>
      <c r="I287" s="53">
        <f t="shared" si="56"/>
        <v>1</v>
      </c>
      <c r="J287" s="961"/>
      <c r="K287" s="53">
        <f t="shared" si="57"/>
        <v>1</v>
      </c>
      <c r="L287" s="961"/>
      <c r="M287" s="53">
        <f t="shared" si="58"/>
        <v>0</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0.06</v>
      </c>
      <c r="F288" s="961"/>
      <c r="G288" s="53">
        <f t="shared" si="55"/>
        <v>1</v>
      </c>
      <c r="H288" s="961"/>
      <c r="I288" s="53">
        <f t="shared" si="56"/>
        <v>1</v>
      </c>
      <c r="J288" s="961"/>
      <c r="K288" s="53">
        <f t="shared" si="57"/>
        <v>1</v>
      </c>
      <c r="L288" s="961"/>
      <c r="M288" s="53">
        <f t="shared" si="58"/>
        <v>0</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0.06</v>
      </c>
      <c r="F289" s="961"/>
      <c r="G289" s="53">
        <f t="shared" si="55"/>
        <v>1</v>
      </c>
      <c r="H289" s="961"/>
      <c r="I289" s="53">
        <f t="shared" si="56"/>
        <v>1</v>
      </c>
      <c r="J289" s="961"/>
      <c r="K289" s="53">
        <f t="shared" si="57"/>
        <v>1</v>
      </c>
      <c r="L289" s="961"/>
      <c r="M289" s="53">
        <f t="shared" si="58"/>
        <v>0</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0.06</v>
      </c>
      <c r="F290" s="961"/>
      <c r="G290" s="53">
        <f t="shared" si="55"/>
        <v>1</v>
      </c>
      <c r="H290" s="961"/>
      <c r="I290" s="53">
        <f t="shared" si="56"/>
        <v>1</v>
      </c>
      <c r="J290" s="961"/>
      <c r="K290" s="53">
        <f t="shared" si="57"/>
        <v>1</v>
      </c>
      <c r="L290" s="961"/>
      <c r="M290" s="53">
        <f t="shared" si="58"/>
        <v>0</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0.06</v>
      </c>
      <c r="F291" s="961"/>
      <c r="G291" s="53">
        <f t="shared" si="55"/>
        <v>1</v>
      </c>
      <c r="H291" s="961"/>
      <c r="I291" s="53">
        <f t="shared" si="56"/>
        <v>1</v>
      </c>
      <c r="J291" s="961"/>
      <c r="K291" s="53">
        <f t="shared" si="57"/>
        <v>1</v>
      </c>
      <c r="L291" s="961"/>
      <c r="M291" s="53">
        <f t="shared" si="58"/>
        <v>0</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0.06</v>
      </c>
      <c r="F292" s="961"/>
      <c r="G292" s="53">
        <f t="shared" si="55"/>
        <v>1</v>
      </c>
      <c r="H292" s="961"/>
      <c r="I292" s="53">
        <f t="shared" si="56"/>
        <v>1</v>
      </c>
      <c r="J292" s="961"/>
      <c r="K292" s="53">
        <f t="shared" si="57"/>
        <v>1</v>
      </c>
      <c r="L292" s="961"/>
      <c r="M292" s="53">
        <f t="shared" si="58"/>
        <v>0</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0.06</v>
      </c>
      <c r="F293" s="961"/>
      <c r="G293" s="53">
        <f t="shared" si="55"/>
        <v>1</v>
      </c>
      <c r="H293" s="961"/>
      <c r="I293" s="53">
        <f t="shared" si="56"/>
        <v>1</v>
      </c>
      <c r="J293" s="961"/>
      <c r="K293" s="53">
        <f t="shared" si="57"/>
        <v>1</v>
      </c>
      <c r="L293" s="961"/>
      <c r="M293" s="53">
        <f t="shared" si="58"/>
        <v>0</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0.06</v>
      </c>
      <c r="F294" s="961"/>
      <c r="G294" s="53">
        <f t="shared" si="55"/>
        <v>1</v>
      </c>
      <c r="H294" s="961"/>
      <c r="I294" s="53">
        <f t="shared" si="56"/>
        <v>1</v>
      </c>
      <c r="J294" s="961"/>
      <c r="K294" s="53">
        <f t="shared" si="57"/>
        <v>1</v>
      </c>
      <c r="L294" s="961"/>
      <c r="M294" s="53">
        <f t="shared" si="58"/>
        <v>0</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0.06</v>
      </c>
      <c r="F295" s="961"/>
      <c r="G295" s="53">
        <f t="shared" si="55"/>
        <v>1</v>
      </c>
      <c r="H295" s="961"/>
      <c r="I295" s="53">
        <f t="shared" si="56"/>
        <v>1</v>
      </c>
      <c r="J295" s="961"/>
      <c r="K295" s="53">
        <f t="shared" si="57"/>
        <v>1</v>
      </c>
      <c r="L295" s="961"/>
      <c r="M295" s="53">
        <f t="shared" si="58"/>
        <v>0</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0.06</v>
      </c>
      <c r="F296" s="961"/>
      <c r="G296" s="53">
        <f t="shared" si="55"/>
        <v>1</v>
      </c>
      <c r="H296" s="961"/>
      <c r="I296" s="53">
        <f t="shared" si="56"/>
        <v>1</v>
      </c>
      <c r="J296" s="961"/>
      <c r="K296" s="53">
        <f t="shared" si="57"/>
        <v>1</v>
      </c>
      <c r="L296" s="961"/>
      <c r="M296" s="53">
        <f t="shared" si="58"/>
        <v>0</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0.06</v>
      </c>
      <c r="F297" s="961"/>
      <c r="G297" s="53">
        <f t="shared" si="55"/>
        <v>1</v>
      </c>
      <c r="H297" s="961"/>
      <c r="I297" s="53">
        <f t="shared" si="56"/>
        <v>1</v>
      </c>
      <c r="J297" s="961"/>
      <c r="K297" s="53">
        <f t="shared" si="57"/>
        <v>1</v>
      </c>
      <c r="L297" s="961"/>
      <c r="M297" s="53">
        <f t="shared" si="58"/>
        <v>0</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0.06</v>
      </c>
      <c r="F298" s="961"/>
      <c r="G298" s="53">
        <f t="shared" si="55"/>
        <v>1</v>
      </c>
      <c r="H298" s="961"/>
      <c r="I298" s="53">
        <f t="shared" si="56"/>
        <v>1</v>
      </c>
      <c r="J298" s="961"/>
      <c r="K298" s="53">
        <f t="shared" si="57"/>
        <v>1</v>
      </c>
      <c r="L298" s="961"/>
      <c r="M298" s="53">
        <f t="shared" si="58"/>
        <v>0</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0.06</v>
      </c>
      <c r="F299" s="961"/>
      <c r="G299" s="53">
        <f t="shared" si="55"/>
        <v>1</v>
      </c>
      <c r="H299" s="961"/>
      <c r="I299" s="53">
        <f t="shared" si="56"/>
        <v>1</v>
      </c>
      <c r="J299" s="961"/>
      <c r="K299" s="53">
        <f t="shared" si="57"/>
        <v>1</v>
      </c>
      <c r="L299" s="961"/>
      <c r="M299" s="53">
        <f t="shared" si="58"/>
        <v>0</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0.06</v>
      </c>
      <c r="F300" s="961"/>
      <c r="G300" s="53">
        <f t="shared" si="55"/>
        <v>1</v>
      </c>
      <c r="H300" s="961"/>
      <c r="I300" s="53">
        <f t="shared" si="56"/>
        <v>1</v>
      </c>
      <c r="J300" s="961"/>
      <c r="K300" s="53">
        <f t="shared" si="57"/>
        <v>1</v>
      </c>
      <c r="L300" s="961"/>
      <c r="M300" s="53">
        <f t="shared" si="58"/>
        <v>0</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0.06</v>
      </c>
      <c r="F301" s="961"/>
      <c r="G301" s="53">
        <f t="shared" si="55"/>
        <v>1</v>
      </c>
      <c r="H301" s="961"/>
      <c r="I301" s="53">
        <f t="shared" si="56"/>
        <v>1</v>
      </c>
      <c r="J301" s="961"/>
      <c r="K301" s="53">
        <f t="shared" si="57"/>
        <v>1</v>
      </c>
      <c r="L301" s="961"/>
      <c r="M301" s="53">
        <f t="shared" si="58"/>
        <v>0</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0.06</v>
      </c>
      <c r="F302" s="961"/>
      <c r="G302" s="53">
        <f t="shared" si="55"/>
        <v>1</v>
      </c>
      <c r="H302" s="961"/>
      <c r="I302" s="53">
        <f t="shared" si="56"/>
        <v>1</v>
      </c>
      <c r="J302" s="961"/>
      <c r="K302" s="53">
        <f t="shared" si="57"/>
        <v>1</v>
      </c>
      <c r="L302" s="961"/>
      <c r="M302" s="53">
        <f t="shared" si="58"/>
        <v>0</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0.06</v>
      </c>
      <c r="F303" s="961"/>
      <c r="G303" s="53">
        <f t="shared" si="55"/>
        <v>1</v>
      </c>
      <c r="H303" s="961"/>
      <c r="I303" s="53">
        <f t="shared" si="56"/>
        <v>1</v>
      </c>
      <c r="J303" s="961"/>
      <c r="K303" s="53">
        <f t="shared" si="57"/>
        <v>1</v>
      </c>
      <c r="L303" s="961"/>
      <c r="M303" s="53">
        <f t="shared" si="58"/>
        <v>0</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0.06</v>
      </c>
      <c r="F304" s="961"/>
      <c r="G304" s="53">
        <f t="shared" si="55"/>
        <v>1</v>
      </c>
      <c r="H304" s="961"/>
      <c r="I304" s="53">
        <f t="shared" si="56"/>
        <v>1</v>
      </c>
      <c r="J304" s="961"/>
      <c r="K304" s="53">
        <f t="shared" si="57"/>
        <v>1</v>
      </c>
      <c r="L304" s="961"/>
      <c r="M304" s="53">
        <f t="shared" si="58"/>
        <v>0</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0.06</v>
      </c>
      <c r="F305" s="961"/>
      <c r="G305" s="53">
        <f t="shared" si="55"/>
        <v>1</v>
      </c>
      <c r="H305" s="961"/>
      <c r="I305" s="53">
        <f t="shared" si="56"/>
        <v>1</v>
      </c>
      <c r="J305" s="961"/>
      <c r="K305" s="53">
        <f t="shared" si="57"/>
        <v>1</v>
      </c>
      <c r="L305" s="961"/>
      <c r="M305" s="53">
        <f t="shared" si="58"/>
        <v>0</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0.06</v>
      </c>
      <c r="F306" s="961"/>
      <c r="G306" s="53">
        <f t="shared" si="55"/>
        <v>1</v>
      </c>
      <c r="H306" s="961"/>
      <c r="I306" s="53">
        <f t="shared" si="56"/>
        <v>1</v>
      </c>
      <c r="J306" s="961"/>
      <c r="K306" s="53">
        <f t="shared" si="57"/>
        <v>1</v>
      </c>
      <c r="L306" s="961"/>
      <c r="M306" s="53">
        <f t="shared" si="58"/>
        <v>0</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0.06</v>
      </c>
      <c r="F307" s="961"/>
      <c r="G307" s="53">
        <f t="shared" si="55"/>
        <v>1</v>
      </c>
      <c r="H307" s="961"/>
      <c r="I307" s="53">
        <f t="shared" si="56"/>
        <v>1</v>
      </c>
      <c r="J307" s="961"/>
      <c r="K307" s="53">
        <f t="shared" si="57"/>
        <v>1</v>
      </c>
      <c r="L307" s="961"/>
      <c r="M307" s="53">
        <f t="shared" si="58"/>
        <v>0</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0.06</v>
      </c>
      <c r="F308" s="961"/>
      <c r="G308" s="53">
        <f t="shared" si="55"/>
        <v>1</v>
      </c>
      <c r="H308" s="961"/>
      <c r="I308" s="53">
        <f t="shared" si="56"/>
        <v>1</v>
      </c>
      <c r="J308" s="961"/>
      <c r="K308" s="53">
        <f t="shared" si="57"/>
        <v>1</v>
      </c>
      <c r="L308" s="961"/>
      <c r="M308" s="53">
        <f t="shared" si="58"/>
        <v>0</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0.06</v>
      </c>
      <c r="F309" s="961"/>
      <c r="G309" s="53">
        <f t="shared" si="55"/>
        <v>1</v>
      </c>
      <c r="H309" s="961"/>
      <c r="I309" s="53">
        <f t="shared" si="56"/>
        <v>1</v>
      </c>
      <c r="J309" s="961"/>
      <c r="K309" s="53">
        <f t="shared" si="57"/>
        <v>1</v>
      </c>
      <c r="L309" s="961"/>
      <c r="M309" s="53">
        <f t="shared" si="58"/>
        <v>0</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0.06</v>
      </c>
      <c r="F310" s="961"/>
      <c r="G310" s="53">
        <f t="shared" si="55"/>
        <v>1</v>
      </c>
      <c r="H310" s="961"/>
      <c r="I310" s="53">
        <f t="shared" si="56"/>
        <v>1</v>
      </c>
      <c r="J310" s="961"/>
      <c r="K310" s="53">
        <f t="shared" si="57"/>
        <v>1</v>
      </c>
      <c r="L310" s="961"/>
      <c r="M310" s="53">
        <f t="shared" si="58"/>
        <v>0</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0.06</v>
      </c>
      <c r="F311" s="961"/>
      <c r="G311" s="53">
        <f t="shared" si="55"/>
        <v>1</v>
      </c>
      <c r="H311" s="961"/>
      <c r="I311" s="53">
        <f t="shared" si="56"/>
        <v>1</v>
      </c>
      <c r="J311" s="961"/>
      <c r="K311" s="53">
        <f t="shared" si="57"/>
        <v>1</v>
      </c>
      <c r="L311" s="961"/>
      <c r="M311" s="53">
        <f t="shared" si="58"/>
        <v>0</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0.06</v>
      </c>
      <c r="F312" s="961"/>
      <c r="G312" s="53">
        <f t="shared" si="55"/>
        <v>1</v>
      </c>
      <c r="H312" s="961"/>
      <c r="I312" s="53">
        <f t="shared" si="56"/>
        <v>1</v>
      </c>
      <c r="J312" s="961"/>
      <c r="K312" s="53">
        <f t="shared" si="57"/>
        <v>1</v>
      </c>
      <c r="L312" s="961"/>
      <c r="M312" s="53">
        <f t="shared" si="58"/>
        <v>0</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0.06</v>
      </c>
      <c r="F313" s="961"/>
      <c r="G313" s="53">
        <f t="shared" si="55"/>
        <v>1</v>
      </c>
      <c r="H313" s="961"/>
      <c r="I313" s="53">
        <f t="shared" si="56"/>
        <v>1</v>
      </c>
      <c r="J313" s="961"/>
      <c r="K313" s="53">
        <f t="shared" si="57"/>
        <v>1</v>
      </c>
      <c r="L313" s="961"/>
      <c r="M313" s="53">
        <f t="shared" si="58"/>
        <v>0</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0.06</v>
      </c>
      <c r="F314" s="961"/>
      <c r="G314" s="53">
        <f t="shared" si="55"/>
        <v>1</v>
      </c>
      <c r="H314" s="961"/>
      <c r="I314" s="53">
        <f t="shared" si="56"/>
        <v>1</v>
      </c>
      <c r="J314" s="961"/>
      <c r="K314" s="53">
        <f t="shared" si="57"/>
        <v>1</v>
      </c>
      <c r="L314" s="961"/>
      <c r="M314" s="53">
        <f t="shared" si="58"/>
        <v>0</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0.06</v>
      </c>
      <c r="F315" s="961"/>
      <c r="G315" s="53">
        <f t="shared" si="55"/>
        <v>1</v>
      </c>
      <c r="H315" s="961"/>
      <c r="I315" s="53">
        <f t="shared" si="56"/>
        <v>1</v>
      </c>
      <c r="J315" s="961"/>
      <c r="K315" s="53">
        <f t="shared" si="57"/>
        <v>1</v>
      </c>
      <c r="L315" s="961"/>
      <c r="M315" s="53">
        <f t="shared" si="58"/>
        <v>0</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0.06</v>
      </c>
      <c r="F316" s="961"/>
      <c r="G316" s="53">
        <f t="shared" si="55"/>
        <v>1</v>
      </c>
      <c r="H316" s="961"/>
      <c r="I316" s="53">
        <f t="shared" si="56"/>
        <v>1</v>
      </c>
      <c r="J316" s="961"/>
      <c r="K316" s="53">
        <f t="shared" si="57"/>
        <v>1</v>
      </c>
      <c r="L316" s="961"/>
      <c r="M316" s="53">
        <f t="shared" si="58"/>
        <v>0</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0.06</v>
      </c>
      <c r="F317" s="961"/>
      <c r="G317" s="53">
        <f t="shared" si="55"/>
        <v>1</v>
      </c>
      <c r="H317" s="961"/>
      <c r="I317" s="53">
        <f t="shared" si="56"/>
        <v>1</v>
      </c>
      <c r="J317" s="961"/>
      <c r="K317" s="53">
        <f t="shared" si="57"/>
        <v>1</v>
      </c>
      <c r="L317" s="961"/>
      <c r="M317" s="53">
        <f t="shared" si="58"/>
        <v>0</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0.06</v>
      </c>
      <c r="F318" s="961"/>
      <c r="G318" s="53">
        <f t="shared" si="55"/>
        <v>1</v>
      </c>
      <c r="H318" s="961"/>
      <c r="I318" s="53">
        <f t="shared" si="56"/>
        <v>1</v>
      </c>
      <c r="J318" s="961"/>
      <c r="K318" s="53">
        <f t="shared" si="57"/>
        <v>1</v>
      </c>
      <c r="L318" s="961"/>
      <c r="M318" s="53">
        <f t="shared" si="58"/>
        <v>0</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0.06</v>
      </c>
      <c r="F319" s="961"/>
      <c r="G319" s="53">
        <f t="shared" si="55"/>
        <v>1</v>
      </c>
      <c r="H319" s="961"/>
      <c r="I319" s="53">
        <f t="shared" si="56"/>
        <v>1</v>
      </c>
      <c r="J319" s="961"/>
      <c r="K319" s="53">
        <f t="shared" si="57"/>
        <v>1</v>
      </c>
      <c r="L319" s="961"/>
      <c r="M319" s="53">
        <f t="shared" si="58"/>
        <v>0</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0.06</v>
      </c>
      <c r="F320" s="961"/>
      <c r="G320" s="53">
        <f t="shared" si="55"/>
        <v>1</v>
      </c>
      <c r="H320" s="961"/>
      <c r="I320" s="53">
        <f t="shared" si="56"/>
        <v>1</v>
      </c>
      <c r="J320" s="961"/>
      <c r="K320" s="53">
        <f t="shared" si="57"/>
        <v>1</v>
      </c>
      <c r="L320" s="961"/>
      <c r="M320" s="53">
        <f t="shared" si="58"/>
        <v>0</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0.06</v>
      </c>
      <c r="F321" s="961"/>
      <c r="G321" s="53">
        <f t="shared" si="55"/>
        <v>1</v>
      </c>
      <c r="H321" s="961"/>
      <c r="I321" s="53">
        <f t="shared" si="56"/>
        <v>1</v>
      </c>
      <c r="J321" s="961"/>
      <c r="K321" s="53">
        <f t="shared" si="57"/>
        <v>1</v>
      </c>
      <c r="L321" s="961"/>
      <c r="M321" s="53">
        <f t="shared" si="58"/>
        <v>0</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0.06</v>
      </c>
      <c r="F322" s="961"/>
      <c r="G322" s="53">
        <f t="shared" si="55"/>
        <v>1</v>
      </c>
      <c r="H322" s="961"/>
      <c r="I322" s="53">
        <f t="shared" si="56"/>
        <v>1</v>
      </c>
      <c r="J322" s="961"/>
      <c r="K322" s="53">
        <f t="shared" si="57"/>
        <v>1</v>
      </c>
      <c r="L322" s="961"/>
      <c r="M322" s="53">
        <f t="shared" si="58"/>
        <v>0</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0.06</v>
      </c>
      <c r="F323" s="961"/>
      <c r="G323" s="53">
        <f t="shared" si="55"/>
        <v>1</v>
      </c>
      <c r="H323" s="961"/>
      <c r="I323" s="53">
        <f t="shared" si="56"/>
        <v>1</v>
      </c>
      <c r="J323" s="961"/>
      <c r="K323" s="53">
        <f t="shared" si="57"/>
        <v>1</v>
      </c>
      <c r="L323" s="961"/>
      <c r="M323" s="53">
        <f t="shared" si="58"/>
        <v>0</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0.06</v>
      </c>
      <c r="F324" s="961"/>
      <c r="G324" s="53">
        <f t="shared" si="55"/>
        <v>1</v>
      </c>
      <c r="H324" s="961"/>
      <c r="I324" s="53">
        <f t="shared" si="56"/>
        <v>1</v>
      </c>
      <c r="J324" s="961"/>
      <c r="K324" s="53">
        <f t="shared" si="57"/>
        <v>1</v>
      </c>
      <c r="L324" s="961"/>
      <c r="M324" s="53">
        <f t="shared" si="58"/>
        <v>0</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0.06</v>
      </c>
      <c r="F325" s="961"/>
      <c r="G325" s="53">
        <f t="shared" si="55"/>
        <v>1</v>
      </c>
      <c r="H325" s="961"/>
      <c r="I325" s="53">
        <f t="shared" si="56"/>
        <v>1</v>
      </c>
      <c r="J325" s="961"/>
      <c r="K325" s="53">
        <f t="shared" si="57"/>
        <v>1</v>
      </c>
      <c r="L325" s="961"/>
      <c r="M325" s="53">
        <f t="shared" si="58"/>
        <v>0</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0.06</v>
      </c>
      <c r="F326" s="961"/>
      <c r="G326" s="53">
        <f t="shared" si="55"/>
        <v>1</v>
      </c>
      <c r="H326" s="961"/>
      <c r="I326" s="53">
        <f t="shared" si="56"/>
        <v>1</v>
      </c>
      <c r="J326" s="961"/>
      <c r="K326" s="53">
        <f t="shared" si="57"/>
        <v>1</v>
      </c>
      <c r="L326" s="961"/>
      <c r="M326" s="53">
        <f t="shared" si="58"/>
        <v>0</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0.06</v>
      </c>
      <c r="F327" s="961"/>
      <c r="G327" s="53">
        <f t="shared" si="55"/>
        <v>1</v>
      </c>
      <c r="H327" s="961"/>
      <c r="I327" s="53">
        <f t="shared" si="56"/>
        <v>1</v>
      </c>
      <c r="J327" s="961"/>
      <c r="K327" s="53">
        <f t="shared" si="57"/>
        <v>1</v>
      </c>
      <c r="L327" s="961"/>
      <c r="M327" s="53">
        <f t="shared" si="58"/>
        <v>0</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0.06</v>
      </c>
      <c r="F328" s="961"/>
      <c r="G328" s="53">
        <f t="shared" si="55"/>
        <v>1</v>
      </c>
      <c r="H328" s="961"/>
      <c r="I328" s="53">
        <f t="shared" si="56"/>
        <v>1</v>
      </c>
      <c r="J328" s="961"/>
      <c r="K328" s="53">
        <f t="shared" si="57"/>
        <v>1</v>
      </c>
      <c r="L328" s="961"/>
      <c r="M328" s="53">
        <f t="shared" si="58"/>
        <v>0</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0.06</v>
      </c>
      <c r="F329" s="961"/>
      <c r="G329" s="53">
        <f t="shared" si="55"/>
        <v>1</v>
      </c>
      <c r="H329" s="961"/>
      <c r="I329" s="53">
        <f t="shared" si="56"/>
        <v>1</v>
      </c>
      <c r="J329" s="961"/>
      <c r="K329" s="53">
        <f t="shared" si="57"/>
        <v>1</v>
      </c>
      <c r="L329" s="961"/>
      <c r="M329" s="53">
        <f t="shared" si="58"/>
        <v>0</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0.06</v>
      </c>
      <c r="F330" s="961"/>
      <c r="G330" s="53">
        <f t="shared" si="55"/>
        <v>1</v>
      </c>
      <c r="H330" s="961"/>
      <c r="I330" s="53">
        <f t="shared" si="56"/>
        <v>1</v>
      </c>
      <c r="J330" s="961"/>
      <c r="K330" s="53">
        <f t="shared" si="57"/>
        <v>1</v>
      </c>
      <c r="L330" s="961"/>
      <c r="M330" s="53">
        <f t="shared" si="58"/>
        <v>0</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0.06</v>
      </c>
      <c r="F331" s="961"/>
      <c r="G331" s="53">
        <f t="shared" si="55"/>
        <v>1</v>
      </c>
      <c r="H331" s="961"/>
      <c r="I331" s="53">
        <f t="shared" si="56"/>
        <v>1</v>
      </c>
      <c r="J331" s="961"/>
      <c r="K331" s="53">
        <f t="shared" si="57"/>
        <v>1</v>
      </c>
      <c r="L331" s="961"/>
      <c r="M331" s="53">
        <f t="shared" si="58"/>
        <v>0</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0.06</v>
      </c>
      <c r="F332" s="961"/>
      <c r="G332" s="53">
        <f t="shared" si="55"/>
        <v>1</v>
      </c>
      <c r="H332" s="961"/>
      <c r="I332" s="53">
        <f t="shared" si="56"/>
        <v>1</v>
      </c>
      <c r="J332" s="961"/>
      <c r="K332" s="53">
        <f t="shared" si="57"/>
        <v>1</v>
      </c>
      <c r="L332" s="961"/>
      <c r="M332" s="53">
        <f t="shared" si="58"/>
        <v>0</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0.06</v>
      </c>
      <c r="F333" s="961"/>
      <c r="G333" s="53">
        <f t="shared" si="55"/>
        <v>1</v>
      </c>
      <c r="H333" s="961"/>
      <c r="I333" s="53">
        <f t="shared" si="56"/>
        <v>1</v>
      </c>
      <c r="J333" s="961"/>
      <c r="K333" s="53">
        <f t="shared" si="57"/>
        <v>1</v>
      </c>
      <c r="L333" s="961"/>
      <c r="M333" s="53">
        <f t="shared" si="58"/>
        <v>0</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0.06</v>
      </c>
      <c r="F334" s="961"/>
      <c r="G334" s="53">
        <f t="shared" si="55"/>
        <v>1</v>
      </c>
      <c r="H334" s="961"/>
      <c r="I334" s="53">
        <f t="shared" si="56"/>
        <v>1</v>
      </c>
      <c r="J334" s="961"/>
      <c r="K334" s="53">
        <f t="shared" si="57"/>
        <v>1</v>
      </c>
      <c r="L334" s="961"/>
      <c r="M334" s="53">
        <f t="shared" si="58"/>
        <v>0</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0.06</v>
      </c>
      <c r="F335" s="961"/>
      <c r="G335" s="53">
        <f t="shared" si="55"/>
        <v>1</v>
      </c>
      <c r="H335" s="961"/>
      <c r="I335" s="53">
        <f t="shared" si="56"/>
        <v>1</v>
      </c>
      <c r="J335" s="961"/>
      <c r="K335" s="53">
        <f t="shared" si="57"/>
        <v>1</v>
      </c>
      <c r="L335" s="961"/>
      <c r="M335" s="53">
        <f t="shared" si="58"/>
        <v>0</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0.06</v>
      </c>
      <c r="F336" s="961"/>
      <c r="G336" s="53">
        <f t="shared" si="55"/>
        <v>1</v>
      </c>
      <c r="H336" s="961"/>
      <c r="I336" s="53">
        <f t="shared" si="56"/>
        <v>1</v>
      </c>
      <c r="J336" s="961"/>
      <c r="K336" s="53">
        <f t="shared" si="57"/>
        <v>1</v>
      </c>
      <c r="L336" s="961"/>
      <c r="M336" s="53">
        <f t="shared" si="58"/>
        <v>0</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0.06</v>
      </c>
      <c r="F337" s="961"/>
      <c r="G337" s="53">
        <f t="shared" si="55"/>
        <v>1</v>
      </c>
      <c r="H337" s="961"/>
      <c r="I337" s="53">
        <f t="shared" si="56"/>
        <v>1</v>
      </c>
      <c r="J337" s="961"/>
      <c r="K337" s="53">
        <f t="shared" si="57"/>
        <v>1</v>
      </c>
      <c r="L337" s="961"/>
      <c r="M337" s="53">
        <f t="shared" si="58"/>
        <v>0</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0.06</v>
      </c>
      <c r="F338" s="961"/>
      <c r="G338" s="53">
        <f t="shared" si="55"/>
        <v>1</v>
      </c>
      <c r="H338" s="961"/>
      <c r="I338" s="53">
        <f t="shared" si="56"/>
        <v>1</v>
      </c>
      <c r="J338" s="961"/>
      <c r="K338" s="53">
        <f t="shared" si="57"/>
        <v>1</v>
      </c>
      <c r="L338" s="961"/>
      <c r="M338" s="53">
        <f t="shared" si="58"/>
        <v>0</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0.06</v>
      </c>
      <c r="F339" s="961"/>
      <c r="G339" s="53">
        <f t="shared" si="55"/>
        <v>1</v>
      </c>
      <c r="H339" s="961"/>
      <c r="I339" s="53">
        <f t="shared" si="56"/>
        <v>1</v>
      </c>
      <c r="J339" s="961"/>
      <c r="K339" s="53">
        <f t="shared" si="57"/>
        <v>1</v>
      </c>
      <c r="L339" s="961"/>
      <c r="M339" s="53">
        <f t="shared" si="58"/>
        <v>0</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0.06</v>
      </c>
      <c r="F340" s="961"/>
      <c r="G340" s="53">
        <f t="shared" si="55"/>
        <v>1</v>
      </c>
      <c r="H340" s="961"/>
      <c r="I340" s="53">
        <f t="shared" si="56"/>
        <v>1</v>
      </c>
      <c r="J340" s="961"/>
      <c r="K340" s="53">
        <f t="shared" si="57"/>
        <v>1</v>
      </c>
      <c r="L340" s="961"/>
      <c r="M340" s="53">
        <f t="shared" si="58"/>
        <v>0</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0.06</v>
      </c>
      <c r="F341" s="961"/>
      <c r="G341" s="53">
        <f t="shared" si="55"/>
        <v>1</v>
      </c>
      <c r="H341" s="961"/>
      <c r="I341" s="53">
        <f t="shared" si="56"/>
        <v>1</v>
      </c>
      <c r="J341" s="961"/>
      <c r="K341" s="53">
        <f t="shared" si="57"/>
        <v>1</v>
      </c>
      <c r="L341" s="961"/>
      <c r="M341" s="53">
        <f t="shared" si="58"/>
        <v>0</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0.06</v>
      </c>
      <c r="F342" s="961"/>
      <c r="G342" s="53">
        <f t="shared" si="55"/>
        <v>1</v>
      </c>
      <c r="H342" s="961"/>
      <c r="I342" s="53">
        <f t="shared" si="56"/>
        <v>1</v>
      </c>
      <c r="J342" s="961"/>
      <c r="K342" s="53">
        <f t="shared" si="57"/>
        <v>1</v>
      </c>
      <c r="L342" s="961"/>
      <c r="M342" s="53">
        <f t="shared" si="58"/>
        <v>0</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0.06</v>
      </c>
      <c r="F343" s="961"/>
      <c r="G343" s="53">
        <f t="shared" si="55"/>
        <v>1</v>
      </c>
      <c r="H343" s="961"/>
      <c r="I343" s="53">
        <f t="shared" si="56"/>
        <v>1</v>
      </c>
      <c r="J343" s="961"/>
      <c r="K343" s="53">
        <f t="shared" si="57"/>
        <v>1</v>
      </c>
      <c r="L343" s="961"/>
      <c r="M343" s="53">
        <f t="shared" si="58"/>
        <v>0</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0.06</v>
      </c>
      <c r="F344" s="961"/>
      <c r="G344" s="53">
        <f t="shared" si="55"/>
        <v>1</v>
      </c>
      <c r="H344" s="961"/>
      <c r="I344" s="53">
        <f t="shared" si="56"/>
        <v>1</v>
      </c>
      <c r="J344" s="961"/>
      <c r="K344" s="53">
        <f t="shared" si="57"/>
        <v>1</v>
      </c>
      <c r="L344" s="961"/>
      <c r="M344" s="53">
        <f t="shared" si="58"/>
        <v>0</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0.06</v>
      </c>
      <c r="F345" s="961"/>
      <c r="G345" s="53">
        <f t="shared" si="55"/>
        <v>1</v>
      </c>
      <c r="H345" s="961"/>
      <c r="I345" s="53">
        <f t="shared" si="56"/>
        <v>1</v>
      </c>
      <c r="J345" s="961"/>
      <c r="K345" s="53">
        <f t="shared" si="57"/>
        <v>1</v>
      </c>
      <c r="L345" s="961"/>
      <c r="M345" s="53">
        <f t="shared" si="58"/>
        <v>0</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0.06</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0</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0.06</v>
      </c>
      <c r="F347" s="961"/>
      <c r="G347" s="53">
        <f t="shared" si="66"/>
        <v>1</v>
      </c>
      <c r="H347" s="961"/>
      <c r="I347" s="53">
        <f t="shared" si="67"/>
        <v>1</v>
      </c>
      <c r="J347" s="961"/>
      <c r="K347" s="53">
        <f t="shared" si="68"/>
        <v>1</v>
      </c>
      <c r="L347" s="961"/>
      <c r="M347" s="53">
        <f t="shared" si="69"/>
        <v>0</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0.06</v>
      </c>
      <c r="F348" s="961"/>
      <c r="G348" s="53">
        <f t="shared" si="66"/>
        <v>1</v>
      </c>
      <c r="H348" s="961"/>
      <c r="I348" s="53">
        <f t="shared" si="67"/>
        <v>1</v>
      </c>
      <c r="J348" s="961"/>
      <c r="K348" s="53">
        <f t="shared" si="68"/>
        <v>1</v>
      </c>
      <c r="L348" s="961"/>
      <c r="M348" s="53">
        <f t="shared" si="69"/>
        <v>0</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0.06</v>
      </c>
      <c r="F349" s="961"/>
      <c r="G349" s="53">
        <f t="shared" si="66"/>
        <v>1</v>
      </c>
      <c r="H349" s="961"/>
      <c r="I349" s="53">
        <f t="shared" si="67"/>
        <v>1</v>
      </c>
      <c r="J349" s="961"/>
      <c r="K349" s="53">
        <f t="shared" si="68"/>
        <v>1</v>
      </c>
      <c r="L349" s="961"/>
      <c r="M349" s="53">
        <f t="shared" si="69"/>
        <v>0</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0.06</v>
      </c>
      <c r="F350" s="961"/>
      <c r="G350" s="53">
        <f t="shared" si="66"/>
        <v>1</v>
      </c>
      <c r="H350" s="961"/>
      <c r="I350" s="53">
        <f t="shared" si="67"/>
        <v>1</v>
      </c>
      <c r="J350" s="961"/>
      <c r="K350" s="53">
        <f t="shared" si="68"/>
        <v>1</v>
      </c>
      <c r="L350" s="961"/>
      <c r="M350" s="53">
        <f t="shared" si="69"/>
        <v>0</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0.06</v>
      </c>
      <c r="F351" s="961"/>
      <c r="G351" s="53">
        <f t="shared" si="66"/>
        <v>1</v>
      </c>
      <c r="H351" s="961"/>
      <c r="I351" s="53">
        <f t="shared" si="67"/>
        <v>1</v>
      </c>
      <c r="J351" s="961"/>
      <c r="K351" s="53">
        <f t="shared" si="68"/>
        <v>1</v>
      </c>
      <c r="L351" s="961"/>
      <c r="M351" s="53">
        <f t="shared" si="69"/>
        <v>0</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0.06</v>
      </c>
      <c r="F352" s="961"/>
      <c r="G352" s="53">
        <f t="shared" si="66"/>
        <v>1</v>
      </c>
      <c r="H352" s="961"/>
      <c r="I352" s="53">
        <f t="shared" si="67"/>
        <v>1</v>
      </c>
      <c r="J352" s="961"/>
      <c r="K352" s="53">
        <f t="shared" si="68"/>
        <v>1</v>
      </c>
      <c r="L352" s="961"/>
      <c r="M352" s="53">
        <f t="shared" si="69"/>
        <v>0</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0.06</v>
      </c>
      <c r="F353" s="961"/>
      <c r="G353" s="53">
        <f t="shared" si="66"/>
        <v>1</v>
      </c>
      <c r="H353" s="961"/>
      <c r="I353" s="53">
        <f t="shared" si="67"/>
        <v>1</v>
      </c>
      <c r="J353" s="961"/>
      <c r="K353" s="53">
        <f t="shared" si="68"/>
        <v>1</v>
      </c>
      <c r="L353" s="961"/>
      <c r="M353" s="53">
        <f t="shared" si="69"/>
        <v>0</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0.06</v>
      </c>
      <c r="F354" s="961"/>
      <c r="G354" s="53">
        <f t="shared" si="66"/>
        <v>1</v>
      </c>
      <c r="H354" s="961"/>
      <c r="I354" s="53">
        <f t="shared" si="67"/>
        <v>1</v>
      </c>
      <c r="J354" s="961"/>
      <c r="K354" s="53">
        <f t="shared" si="68"/>
        <v>1</v>
      </c>
      <c r="L354" s="961"/>
      <c r="M354" s="53">
        <f t="shared" si="69"/>
        <v>0</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0.06</v>
      </c>
      <c r="F355" s="961"/>
      <c r="G355" s="53">
        <f t="shared" si="66"/>
        <v>1</v>
      </c>
      <c r="H355" s="961"/>
      <c r="I355" s="53">
        <f t="shared" si="67"/>
        <v>1</v>
      </c>
      <c r="J355" s="961"/>
      <c r="K355" s="53">
        <f t="shared" si="68"/>
        <v>1</v>
      </c>
      <c r="L355" s="961"/>
      <c r="M355" s="53">
        <f t="shared" si="69"/>
        <v>0</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0.06</v>
      </c>
      <c r="F356" s="961"/>
      <c r="G356" s="53">
        <f t="shared" si="66"/>
        <v>1</v>
      </c>
      <c r="H356" s="961"/>
      <c r="I356" s="53">
        <f t="shared" si="67"/>
        <v>1</v>
      </c>
      <c r="J356" s="961"/>
      <c r="K356" s="53">
        <f t="shared" si="68"/>
        <v>1</v>
      </c>
      <c r="L356" s="961"/>
      <c r="M356" s="53">
        <f t="shared" si="69"/>
        <v>0</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0.06</v>
      </c>
      <c r="F357" s="961"/>
      <c r="G357" s="53">
        <f t="shared" si="66"/>
        <v>1</v>
      </c>
      <c r="H357" s="961"/>
      <c r="I357" s="53">
        <f t="shared" si="67"/>
        <v>1</v>
      </c>
      <c r="J357" s="961"/>
      <c r="K357" s="53">
        <f t="shared" si="68"/>
        <v>1</v>
      </c>
      <c r="L357" s="961"/>
      <c r="M357" s="53">
        <f t="shared" si="69"/>
        <v>0</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0.06</v>
      </c>
      <c r="F358" s="961"/>
      <c r="G358" s="53">
        <f t="shared" si="66"/>
        <v>1</v>
      </c>
      <c r="H358" s="961"/>
      <c r="I358" s="53">
        <f t="shared" si="67"/>
        <v>1</v>
      </c>
      <c r="J358" s="961"/>
      <c r="K358" s="53">
        <f t="shared" si="68"/>
        <v>1</v>
      </c>
      <c r="L358" s="961"/>
      <c r="M358" s="53">
        <f t="shared" si="69"/>
        <v>0</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0.06</v>
      </c>
      <c r="F359" s="961"/>
      <c r="G359" s="53">
        <f t="shared" si="66"/>
        <v>1</v>
      </c>
      <c r="H359" s="961"/>
      <c r="I359" s="53">
        <f t="shared" si="67"/>
        <v>1</v>
      </c>
      <c r="J359" s="961"/>
      <c r="K359" s="53">
        <f t="shared" si="68"/>
        <v>1</v>
      </c>
      <c r="L359" s="961"/>
      <c r="M359" s="53">
        <f t="shared" si="69"/>
        <v>0</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0.06</v>
      </c>
      <c r="F360" s="961"/>
      <c r="G360" s="53">
        <f t="shared" si="66"/>
        <v>1</v>
      </c>
      <c r="H360" s="961"/>
      <c r="I360" s="53">
        <f t="shared" si="67"/>
        <v>1</v>
      </c>
      <c r="J360" s="961"/>
      <c r="K360" s="53">
        <f t="shared" si="68"/>
        <v>1</v>
      </c>
      <c r="L360" s="961"/>
      <c r="M360" s="53">
        <f t="shared" si="69"/>
        <v>0</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0.06</v>
      </c>
      <c r="F361" s="961"/>
      <c r="G361" s="53">
        <f t="shared" si="66"/>
        <v>1</v>
      </c>
      <c r="H361" s="961"/>
      <c r="I361" s="53">
        <f t="shared" si="67"/>
        <v>1</v>
      </c>
      <c r="J361" s="961"/>
      <c r="K361" s="53">
        <f t="shared" si="68"/>
        <v>1</v>
      </c>
      <c r="L361" s="961"/>
      <c r="M361" s="53">
        <f t="shared" si="69"/>
        <v>0</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0.06</v>
      </c>
      <c r="F362" s="961"/>
      <c r="G362" s="53">
        <f t="shared" si="66"/>
        <v>1</v>
      </c>
      <c r="H362" s="961"/>
      <c r="I362" s="53">
        <f t="shared" si="67"/>
        <v>1</v>
      </c>
      <c r="J362" s="961"/>
      <c r="K362" s="53">
        <f t="shared" si="68"/>
        <v>1</v>
      </c>
      <c r="L362" s="961"/>
      <c r="M362" s="53">
        <f t="shared" si="69"/>
        <v>0</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0.06</v>
      </c>
      <c r="F363" s="961"/>
      <c r="G363" s="53">
        <f t="shared" si="66"/>
        <v>1</v>
      </c>
      <c r="H363" s="961"/>
      <c r="I363" s="53">
        <f t="shared" si="67"/>
        <v>1</v>
      </c>
      <c r="J363" s="961"/>
      <c r="K363" s="53">
        <f t="shared" si="68"/>
        <v>1</v>
      </c>
      <c r="L363" s="961"/>
      <c r="M363" s="53">
        <f t="shared" si="69"/>
        <v>0</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0.06</v>
      </c>
      <c r="F364" s="961"/>
      <c r="G364" s="53">
        <f t="shared" si="66"/>
        <v>1</v>
      </c>
      <c r="H364" s="961"/>
      <c r="I364" s="53">
        <f t="shared" si="67"/>
        <v>1</v>
      </c>
      <c r="J364" s="961"/>
      <c r="K364" s="53">
        <f t="shared" si="68"/>
        <v>1</v>
      </c>
      <c r="L364" s="961"/>
      <c r="M364" s="53">
        <f t="shared" si="69"/>
        <v>0</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0.06</v>
      </c>
      <c r="F365" s="961"/>
      <c r="G365" s="53">
        <f t="shared" si="66"/>
        <v>1</v>
      </c>
      <c r="H365" s="961"/>
      <c r="I365" s="53">
        <f t="shared" si="67"/>
        <v>1</v>
      </c>
      <c r="J365" s="961"/>
      <c r="K365" s="53">
        <f t="shared" si="68"/>
        <v>1</v>
      </c>
      <c r="L365" s="961"/>
      <c r="M365" s="53">
        <f t="shared" si="69"/>
        <v>0</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0.06</v>
      </c>
      <c r="F366" s="961"/>
      <c r="G366" s="53">
        <f t="shared" si="66"/>
        <v>1</v>
      </c>
      <c r="H366" s="961"/>
      <c r="I366" s="53">
        <f t="shared" si="67"/>
        <v>1</v>
      </c>
      <c r="J366" s="961"/>
      <c r="K366" s="53">
        <f t="shared" si="68"/>
        <v>1</v>
      </c>
      <c r="L366" s="961"/>
      <c r="M366" s="53">
        <f t="shared" si="69"/>
        <v>0</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0.06</v>
      </c>
      <c r="F367" s="961"/>
      <c r="G367" s="53">
        <f t="shared" si="66"/>
        <v>1</v>
      </c>
      <c r="H367" s="961"/>
      <c r="I367" s="53">
        <f t="shared" si="67"/>
        <v>1</v>
      </c>
      <c r="J367" s="961"/>
      <c r="K367" s="53">
        <f t="shared" si="68"/>
        <v>1</v>
      </c>
      <c r="L367" s="961"/>
      <c r="M367" s="53">
        <f t="shared" si="69"/>
        <v>0</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0.06</v>
      </c>
      <c r="F368" s="961"/>
      <c r="G368" s="53">
        <f t="shared" si="66"/>
        <v>1</v>
      </c>
      <c r="H368" s="961"/>
      <c r="I368" s="53">
        <f t="shared" si="67"/>
        <v>1</v>
      </c>
      <c r="J368" s="961"/>
      <c r="K368" s="53">
        <f t="shared" si="68"/>
        <v>1</v>
      </c>
      <c r="L368" s="961"/>
      <c r="M368" s="53">
        <f t="shared" si="69"/>
        <v>0</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0.06</v>
      </c>
      <c r="F369" s="961"/>
      <c r="G369" s="53">
        <f t="shared" si="66"/>
        <v>1</v>
      </c>
      <c r="H369" s="961"/>
      <c r="I369" s="53">
        <f t="shared" si="67"/>
        <v>1</v>
      </c>
      <c r="J369" s="961"/>
      <c r="K369" s="53">
        <f t="shared" si="68"/>
        <v>1</v>
      </c>
      <c r="L369" s="961"/>
      <c r="M369" s="53">
        <f t="shared" si="69"/>
        <v>0</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0.06</v>
      </c>
      <c r="F370" s="961"/>
      <c r="G370" s="53">
        <f t="shared" si="66"/>
        <v>1</v>
      </c>
      <c r="H370" s="961"/>
      <c r="I370" s="53">
        <f t="shared" si="67"/>
        <v>1</v>
      </c>
      <c r="J370" s="961"/>
      <c r="K370" s="53">
        <f t="shared" si="68"/>
        <v>1</v>
      </c>
      <c r="L370" s="961"/>
      <c r="M370" s="53">
        <f t="shared" si="69"/>
        <v>0</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0.06</v>
      </c>
      <c r="F371" s="961"/>
      <c r="G371" s="53">
        <f t="shared" si="66"/>
        <v>1</v>
      </c>
      <c r="H371" s="961"/>
      <c r="I371" s="53">
        <f t="shared" si="67"/>
        <v>1</v>
      </c>
      <c r="J371" s="961"/>
      <c r="K371" s="53">
        <f t="shared" si="68"/>
        <v>1</v>
      </c>
      <c r="L371" s="961"/>
      <c r="M371" s="53">
        <f t="shared" si="69"/>
        <v>0</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0.06</v>
      </c>
      <c r="F372" s="961"/>
      <c r="G372" s="53">
        <f t="shared" si="66"/>
        <v>1</v>
      </c>
      <c r="H372" s="961"/>
      <c r="I372" s="53">
        <f t="shared" si="67"/>
        <v>1</v>
      </c>
      <c r="J372" s="961"/>
      <c r="K372" s="53">
        <f t="shared" si="68"/>
        <v>1</v>
      </c>
      <c r="L372" s="961"/>
      <c r="M372" s="53">
        <f t="shared" si="69"/>
        <v>0</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0.06</v>
      </c>
      <c r="F373" s="961"/>
      <c r="G373" s="53">
        <f t="shared" si="66"/>
        <v>1</v>
      </c>
      <c r="H373" s="961"/>
      <c r="I373" s="53">
        <f t="shared" si="67"/>
        <v>1</v>
      </c>
      <c r="J373" s="961"/>
      <c r="K373" s="53">
        <f t="shared" si="68"/>
        <v>1</v>
      </c>
      <c r="L373" s="961"/>
      <c r="M373" s="53">
        <f t="shared" si="69"/>
        <v>0</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0.06</v>
      </c>
      <c r="F374" s="961"/>
      <c r="G374" s="53">
        <f t="shared" si="66"/>
        <v>1</v>
      </c>
      <c r="H374" s="961"/>
      <c r="I374" s="53">
        <f t="shared" si="67"/>
        <v>1</v>
      </c>
      <c r="J374" s="961"/>
      <c r="K374" s="53">
        <f t="shared" si="68"/>
        <v>1</v>
      </c>
      <c r="L374" s="961"/>
      <c r="M374" s="53">
        <f t="shared" si="69"/>
        <v>0</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0.06</v>
      </c>
      <c r="F375" s="961"/>
      <c r="G375" s="53">
        <f t="shared" si="66"/>
        <v>1</v>
      </c>
      <c r="H375" s="961"/>
      <c r="I375" s="53">
        <f t="shared" si="67"/>
        <v>1</v>
      </c>
      <c r="J375" s="961"/>
      <c r="K375" s="53">
        <f t="shared" si="68"/>
        <v>1</v>
      </c>
      <c r="L375" s="961"/>
      <c r="M375" s="53">
        <f t="shared" si="69"/>
        <v>0</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0.06</v>
      </c>
      <c r="F376" s="961"/>
      <c r="G376" s="53">
        <f t="shared" si="66"/>
        <v>1</v>
      </c>
      <c r="H376" s="961"/>
      <c r="I376" s="53">
        <f t="shared" si="67"/>
        <v>1</v>
      </c>
      <c r="J376" s="961"/>
      <c r="K376" s="53">
        <f t="shared" si="68"/>
        <v>1</v>
      </c>
      <c r="L376" s="961"/>
      <c r="M376" s="53">
        <f t="shared" si="69"/>
        <v>0</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0.06</v>
      </c>
      <c r="F377" s="961"/>
      <c r="G377" s="53">
        <f t="shared" si="66"/>
        <v>1</v>
      </c>
      <c r="H377" s="961"/>
      <c r="I377" s="53">
        <f t="shared" si="67"/>
        <v>1</v>
      </c>
      <c r="J377" s="961"/>
      <c r="K377" s="53">
        <f t="shared" si="68"/>
        <v>1</v>
      </c>
      <c r="L377" s="961"/>
      <c r="M377" s="53">
        <f t="shared" si="69"/>
        <v>0</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0.06</v>
      </c>
      <c r="F378" s="961"/>
      <c r="G378" s="53">
        <f t="shared" si="66"/>
        <v>1</v>
      </c>
      <c r="H378" s="961"/>
      <c r="I378" s="53">
        <f t="shared" si="67"/>
        <v>1</v>
      </c>
      <c r="J378" s="961"/>
      <c r="K378" s="53">
        <f t="shared" si="68"/>
        <v>1</v>
      </c>
      <c r="L378" s="961"/>
      <c r="M378" s="53">
        <f t="shared" si="69"/>
        <v>0</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0.06</v>
      </c>
      <c r="F379" s="961"/>
      <c r="G379" s="53">
        <f t="shared" si="66"/>
        <v>1</v>
      </c>
      <c r="H379" s="961"/>
      <c r="I379" s="53">
        <f t="shared" si="67"/>
        <v>1</v>
      </c>
      <c r="J379" s="961"/>
      <c r="K379" s="53">
        <f t="shared" si="68"/>
        <v>1</v>
      </c>
      <c r="L379" s="961"/>
      <c r="M379" s="53">
        <f t="shared" si="69"/>
        <v>0</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0.06</v>
      </c>
      <c r="F380" s="961"/>
      <c r="G380" s="53">
        <f t="shared" si="66"/>
        <v>1</v>
      </c>
      <c r="H380" s="961"/>
      <c r="I380" s="53">
        <f t="shared" si="67"/>
        <v>1</v>
      </c>
      <c r="J380" s="961"/>
      <c r="K380" s="53">
        <f t="shared" si="68"/>
        <v>1</v>
      </c>
      <c r="L380" s="961"/>
      <c r="M380" s="53">
        <f t="shared" si="69"/>
        <v>0</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0.06</v>
      </c>
      <c r="F381" s="961"/>
      <c r="G381" s="53">
        <f t="shared" si="66"/>
        <v>1</v>
      </c>
      <c r="H381" s="961"/>
      <c r="I381" s="53">
        <f t="shared" si="67"/>
        <v>1</v>
      </c>
      <c r="J381" s="961"/>
      <c r="K381" s="53">
        <f t="shared" si="68"/>
        <v>1</v>
      </c>
      <c r="L381" s="961"/>
      <c r="M381" s="53">
        <f t="shared" si="69"/>
        <v>0</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0.06</v>
      </c>
      <c r="F382" s="961"/>
      <c r="G382" s="53">
        <f t="shared" si="66"/>
        <v>1</v>
      </c>
      <c r="H382" s="961"/>
      <c r="I382" s="53">
        <f t="shared" si="67"/>
        <v>1</v>
      </c>
      <c r="J382" s="961"/>
      <c r="K382" s="53">
        <f t="shared" si="68"/>
        <v>1</v>
      </c>
      <c r="L382" s="961"/>
      <c r="M382" s="53">
        <f t="shared" si="69"/>
        <v>0</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0.06</v>
      </c>
      <c r="F383" s="961"/>
      <c r="G383" s="53">
        <f t="shared" si="66"/>
        <v>1</v>
      </c>
      <c r="H383" s="961"/>
      <c r="I383" s="53">
        <f t="shared" si="67"/>
        <v>1</v>
      </c>
      <c r="J383" s="961"/>
      <c r="K383" s="53">
        <f t="shared" si="68"/>
        <v>1</v>
      </c>
      <c r="L383" s="961"/>
      <c r="M383" s="53">
        <f t="shared" si="69"/>
        <v>0</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0.06</v>
      </c>
      <c r="F384" s="961"/>
      <c r="G384" s="53">
        <f t="shared" si="66"/>
        <v>1</v>
      </c>
      <c r="H384" s="961"/>
      <c r="I384" s="53">
        <f t="shared" si="67"/>
        <v>1</v>
      </c>
      <c r="J384" s="961"/>
      <c r="K384" s="53">
        <f t="shared" si="68"/>
        <v>1</v>
      </c>
      <c r="L384" s="961"/>
      <c r="M384" s="53">
        <f t="shared" si="69"/>
        <v>0</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0.06</v>
      </c>
      <c r="F385" s="961"/>
      <c r="G385" s="53">
        <f t="shared" si="66"/>
        <v>1</v>
      </c>
      <c r="H385" s="961"/>
      <c r="I385" s="53">
        <f t="shared" si="67"/>
        <v>1</v>
      </c>
      <c r="J385" s="961"/>
      <c r="K385" s="53">
        <f t="shared" si="68"/>
        <v>1</v>
      </c>
      <c r="L385" s="961"/>
      <c r="M385" s="53">
        <f t="shared" si="69"/>
        <v>0</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0.06</v>
      </c>
      <c r="F386" s="961"/>
      <c r="G386" s="53">
        <f t="shared" si="66"/>
        <v>1</v>
      </c>
      <c r="H386" s="961"/>
      <c r="I386" s="53">
        <f t="shared" si="67"/>
        <v>1</v>
      </c>
      <c r="J386" s="961"/>
      <c r="K386" s="53">
        <f t="shared" si="68"/>
        <v>1</v>
      </c>
      <c r="L386" s="961"/>
      <c r="M386" s="53">
        <f t="shared" si="69"/>
        <v>0</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0.06</v>
      </c>
      <c r="F387" s="961"/>
      <c r="G387" s="53">
        <f t="shared" si="66"/>
        <v>1</v>
      </c>
      <c r="H387" s="961"/>
      <c r="I387" s="53">
        <f t="shared" si="67"/>
        <v>1</v>
      </c>
      <c r="J387" s="961"/>
      <c r="K387" s="53">
        <f t="shared" si="68"/>
        <v>1</v>
      </c>
      <c r="L387" s="961"/>
      <c r="M387" s="53">
        <f t="shared" si="69"/>
        <v>0</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0.06</v>
      </c>
      <c r="F388" s="961"/>
      <c r="G388" s="53">
        <f t="shared" si="66"/>
        <v>1</v>
      </c>
      <c r="H388" s="961"/>
      <c r="I388" s="53">
        <f t="shared" si="67"/>
        <v>1</v>
      </c>
      <c r="J388" s="961"/>
      <c r="K388" s="53">
        <f t="shared" si="68"/>
        <v>1</v>
      </c>
      <c r="L388" s="961"/>
      <c r="M388" s="53">
        <f t="shared" si="69"/>
        <v>0</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0.06</v>
      </c>
      <c r="F389" s="961"/>
      <c r="G389" s="53">
        <f t="shared" si="66"/>
        <v>1</v>
      </c>
      <c r="H389" s="961"/>
      <c r="I389" s="53">
        <f t="shared" si="67"/>
        <v>1</v>
      </c>
      <c r="J389" s="961"/>
      <c r="K389" s="53">
        <f t="shared" si="68"/>
        <v>1</v>
      </c>
      <c r="L389" s="961"/>
      <c r="M389" s="53">
        <f t="shared" si="69"/>
        <v>0</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0.06</v>
      </c>
      <c r="F390" s="961"/>
      <c r="G390" s="53">
        <f t="shared" si="66"/>
        <v>1</v>
      </c>
      <c r="H390" s="961"/>
      <c r="I390" s="53">
        <f t="shared" si="67"/>
        <v>1</v>
      </c>
      <c r="J390" s="961"/>
      <c r="K390" s="53">
        <f t="shared" si="68"/>
        <v>1</v>
      </c>
      <c r="L390" s="961"/>
      <c r="M390" s="53">
        <f t="shared" si="69"/>
        <v>0</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0.06</v>
      </c>
      <c r="F391" s="961"/>
      <c r="G391" s="53">
        <f t="shared" si="66"/>
        <v>1</v>
      </c>
      <c r="H391" s="961"/>
      <c r="I391" s="53">
        <f t="shared" si="67"/>
        <v>1</v>
      </c>
      <c r="J391" s="961"/>
      <c r="K391" s="53">
        <f t="shared" si="68"/>
        <v>1</v>
      </c>
      <c r="L391" s="961"/>
      <c r="M391" s="53">
        <f t="shared" si="69"/>
        <v>0</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0.06</v>
      </c>
      <c r="F392" s="961"/>
      <c r="G392" s="53">
        <f t="shared" si="66"/>
        <v>1</v>
      </c>
      <c r="H392" s="961"/>
      <c r="I392" s="53">
        <f t="shared" si="67"/>
        <v>1</v>
      </c>
      <c r="J392" s="961"/>
      <c r="K392" s="53">
        <f t="shared" si="68"/>
        <v>1</v>
      </c>
      <c r="L392" s="961"/>
      <c r="M392" s="53">
        <f t="shared" si="69"/>
        <v>0</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0.06</v>
      </c>
      <c r="F393" s="961"/>
      <c r="G393" s="53">
        <f t="shared" si="66"/>
        <v>1</v>
      </c>
      <c r="H393" s="961"/>
      <c r="I393" s="53">
        <f t="shared" si="67"/>
        <v>1</v>
      </c>
      <c r="J393" s="961"/>
      <c r="K393" s="53">
        <f t="shared" si="68"/>
        <v>1</v>
      </c>
      <c r="L393" s="961"/>
      <c r="M393" s="53">
        <f t="shared" si="69"/>
        <v>0</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0.06</v>
      </c>
      <c r="F394" s="961"/>
      <c r="G394" s="53">
        <f t="shared" si="66"/>
        <v>1</v>
      </c>
      <c r="H394" s="961"/>
      <c r="I394" s="53">
        <f t="shared" si="67"/>
        <v>1</v>
      </c>
      <c r="J394" s="961"/>
      <c r="K394" s="53">
        <f t="shared" si="68"/>
        <v>1</v>
      </c>
      <c r="L394" s="961"/>
      <c r="M394" s="53">
        <f t="shared" si="69"/>
        <v>0</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0.06</v>
      </c>
      <c r="F395" s="961"/>
      <c r="G395" s="53">
        <f t="shared" si="66"/>
        <v>1</v>
      </c>
      <c r="H395" s="961"/>
      <c r="I395" s="53">
        <f t="shared" si="67"/>
        <v>1</v>
      </c>
      <c r="J395" s="961"/>
      <c r="K395" s="53">
        <f t="shared" si="68"/>
        <v>1</v>
      </c>
      <c r="L395" s="961"/>
      <c r="M395" s="53">
        <f t="shared" si="69"/>
        <v>0</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0.06</v>
      </c>
      <c r="F396" s="961"/>
      <c r="G396" s="53">
        <f t="shared" si="66"/>
        <v>1</v>
      </c>
      <c r="H396" s="961"/>
      <c r="I396" s="53">
        <f t="shared" si="67"/>
        <v>1</v>
      </c>
      <c r="J396" s="961"/>
      <c r="K396" s="53">
        <f t="shared" si="68"/>
        <v>1</v>
      </c>
      <c r="L396" s="961"/>
      <c r="M396" s="53">
        <f t="shared" si="69"/>
        <v>0</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0.06</v>
      </c>
      <c r="F397" s="961"/>
      <c r="G397" s="53">
        <f t="shared" si="66"/>
        <v>1</v>
      </c>
      <c r="H397" s="961"/>
      <c r="I397" s="53">
        <f t="shared" si="67"/>
        <v>1</v>
      </c>
      <c r="J397" s="961"/>
      <c r="K397" s="53">
        <f t="shared" si="68"/>
        <v>1</v>
      </c>
      <c r="L397" s="961"/>
      <c r="M397" s="53">
        <f t="shared" si="69"/>
        <v>0</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0.06</v>
      </c>
      <c r="F398" s="961"/>
      <c r="G398" s="53">
        <f t="shared" si="66"/>
        <v>1</v>
      </c>
      <c r="H398" s="961"/>
      <c r="I398" s="53">
        <f t="shared" si="67"/>
        <v>1</v>
      </c>
      <c r="J398" s="961"/>
      <c r="K398" s="53">
        <f t="shared" si="68"/>
        <v>1</v>
      </c>
      <c r="L398" s="961"/>
      <c r="M398" s="53">
        <f t="shared" si="69"/>
        <v>0</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0.06</v>
      </c>
      <c r="F399" s="961"/>
      <c r="G399" s="53">
        <f t="shared" si="66"/>
        <v>1</v>
      </c>
      <c r="H399" s="961"/>
      <c r="I399" s="53">
        <f t="shared" si="67"/>
        <v>1</v>
      </c>
      <c r="J399" s="961"/>
      <c r="K399" s="53">
        <f t="shared" si="68"/>
        <v>1</v>
      </c>
      <c r="L399" s="961"/>
      <c r="M399" s="53">
        <f t="shared" si="69"/>
        <v>0</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0.06</v>
      </c>
      <c r="F400" s="961"/>
      <c r="G400" s="53">
        <f t="shared" si="66"/>
        <v>1</v>
      </c>
      <c r="H400" s="961"/>
      <c r="I400" s="53">
        <f t="shared" si="67"/>
        <v>1</v>
      </c>
      <c r="J400" s="961"/>
      <c r="K400" s="53">
        <f t="shared" si="68"/>
        <v>1</v>
      </c>
      <c r="L400" s="961"/>
      <c r="M400" s="53">
        <f t="shared" si="69"/>
        <v>0</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0.06</v>
      </c>
      <c r="F401" s="961"/>
      <c r="G401" s="53">
        <f t="shared" si="66"/>
        <v>1</v>
      </c>
      <c r="H401" s="961"/>
      <c r="I401" s="53">
        <f t="shared" si="67"/>
        <v>1</v>
      </c>
      <c r="J401" s="961"/>
      <c r="K401" s="53">
        <f t="shared" si="68"/>
        <v>1</v>
      </c>
      <c r="L401" s="961"/>
      <c r="M401" s="53">
        <f t="shared" si="69"/>
        <v>0</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0.06</v>
      </c>
      <c r="F402" s="961"/>
      <c r="G402" s="53">
        <f t="shared" si="66"/>
        <v>1</v>
      </c>
      <c r="H402" s="961"/>
      <c r="I402" s="53">
        <f t="shared" si="67"/>
        <v>1</v>
      </c>
      <c r="J402" s="961"/>
      <c r="K402" s="53">
        <f t="shared" si="68"/>
        <v>1</v>
      </c>
      <c r="L402" s="961"/>
      <c r="M402" s="53">
        <f t="shared" si="69"/>
        <v>0</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0.06</v>
      </c>
      <c r="F403" s="961"/>
      <c r="G403" s="53">
        <f t="shared" si="66"/>
        <v>1</v>
      </c>
      <c r="H403" s="961"/>
      <c r="I403" s="53">
        <f t="shared" si="67"/>
        <v>1</v>
      </c>
      <c r="J403" s="961"/>
      <c r="K403" s="53">
        <f t="shared" si="68"/>
        <v>1</v>
      </c>
      <c r="L403" s="961"/>
      <c r="M403" s="53">
        <f t="shared" si="69"/>
        <v>0</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0.06</v>
      </c>
      <c r="F404" s="961"/>
      <c r="G404" s="53">
        <f t="shared" si="66"/>
        <v>1</v>
      </c>
      <c r="H404" s="961"/>
      <c r="I404" s="53">
        <f t="shared" si="67"/>
        <v>1</v>
      </c>
      <c r="J404" s="961"/>
      <c r="K404" s="53">
        <f t="shared" si="68"/>
        <v>1</v>
      </c>
      <c r="L404" s="961"/>
      <c r="M404" s="53">
        <f t="shared" si="69"/>
        <v>0</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0.06</v>
      </c>
      <c r="F405" s="961"/>
      <c r="G405" s="53">
        <f t="shared" si="66"/>
        <v>1</v>
      </c>
      <c r="H405" s="961"/>
      <c r="I405" s="53">
        <f t="shared" si="67"/>
        <v>1</v>
      </c>
      <c r="J405" s="961"/>
      <c r="K405" s="53">
        <f t="shared" si="68"/>
        <v>1</v>
      </c>
      <c r="L405" s="961"/>
      <c r="M405" s="53">
        <f t="shared" si="69"/>
        <v>0</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0.06</v>
      </c>
      <c r="F406" s="961"/>
      <c r="G406" s="53">
        <f t="shared" si="66"/>
        <v>1</v>
      </c>
      <c r="H406" s="961"/>
      <c r="I406" s="53">
        <f t="shared" si="67"/>
        <v>1</v>
      </c>
      <c r="J406" s="961"/>
      <c r="K406" s="53">
        <f t="shared" si="68"/>
        <v>1</v>
      </c>
      <c r="L406" s="961"/>
      <c r="M406" s="53">
        <f t="shared" si="69"/>
        <v>0</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0.06</v>
      </c>
      <c r="F407" s="961"/>
      <c r="G407" s="53">
        <f t="shared" si="66"/>
        <v>1</v>
      </c>
      <c r="H407" s="961"/>
      <c r="I407" s="53">
        <f t="shared" si="67"/>
        <v>1</v>
      </c>
      <c r="J407" s="961"/>
      <c r="K407" s="53">
        <f t="shared" si="68"/>
        <v>1</v>
      </c>
      <c r="L407" s="961"/>
      <c r="M407" s="53">
        <f t="shared" si="69"/>
        <v>0</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0.06</v>
      </c>
      <c r="F408" s="961"/>
      <c r="G408" s="53">
        <f t="shared" si="66"/>
        <v>1</v>
      </c>
      <c r="H408" s="961"/>
      <c r="I408" s="53">
        <f t="shared" si="67"/>
        <v>1</v>
      </c>
      <c r="J408" s="961"/>
      <c r="K408" s="53">
        <f t="shared" si="68"/>
        <v>1</v>
      </c>
      <c r="L408" s="961"/>
      <c r="M408" s="53">
        <f t="shared" si="69"/>
        <v>0</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0.06</v>
      </c>
      <c r="F409" s="961"/>
      <c r="G409" s="53">
        <f t="shared" si="66"/>
        <v>1</v>
      </c>
      <c r="H409" s="961"/>
      <c r="I409" s="53">
        <f t="shared" si="67"/>
        <v>1</v>
      </c>
      <c r="J409" s="961"/>
      <c r="K409" s="53">
        <f t="shared" si="68"/>
        <v>1</v>
      </c>
      <c r="L409" s="961"/>
      <c r="M409" s="53">
        <f t="shared" si="69"/>
        <v>0</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0.06</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0</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0.06</v>
      </c>
      <c r="F411" s="961"/>
      <c r="G411" s="53">
        <f t="shared" si="76"/>
        <v>1</v>
      </c>
      <c r="H411" s="961"/>
      <c r="I411" s="53">
        <f t="shared" si="77"/>
        <v>1</v>
      </c>
      <c r="J411" s="961"/>
      <c r="K411" s="53">
        <f t="shared" si="78"/>
        <v>1</v>
      </c>
      <c r="L411" s="961"/>
      <c r="M411" s="53">
        <f t="shared" si="79"/>
        <v>0</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0.06</v>
      </c>
      <c r="F412" s="961"/>
      <c r="G412" s="53">
        <f t="shared" si="76"/>
        <v>1</v>
      </c>
      <c r="H412" s="961"/>
      <c r="I412" s="53">
        <f t="shared" si="77"/>
        <v>1</v>
      </c>
      <c r="J412" s="961"/>
      <c r="K412" s="53">
        <f t="shared" si="78"/>
        <v>1</v>
      </c>
      <c r="L412" s="961"/>
      <c r="M412" s="53">
        <f t="shared" si="79"/>
        <v>0</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0.06</v>
      </c>
      <c r="F413" s="961"/>
      <c r="G413" s="53">
        <f t="shared" si="76"/>
        <v>1</v>
      </c>
      <c r="H413" s="961"/>
      <c r="I413" s="53">
        <f t="shared" si="77"/>
        <v>1</v>
      </c>
      <c r="J413" s="961"/>
      <c r="K413" s="53">
        <f t="shared" si="78"/>
        <v>1</v>
      </c>
      <c r="L413" s="961"/>
      <c r="M413" s="53">
        <f t="shared" si="79"/>
        <v>0</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0.06</v>
      </c>
      <c r="F414" s="961"/>
      <c r="G414" s="53">
        <f t="shared" si="76"/>
        <v>1</v>
      </c>
      <c r="H414" s="961"/>
      <c r="I414" s="53">
        <f t="shared" si="77"/>
        <v>1</v>
      </c>
      <c r="J414" s="961"/>
      <c r="K414" s="53">
        <f t="shared" si="78"/>
        <v>1</v>
      </c>
      <c r="L414" s="961"/>
      <c r="M414" s="53">
        <f t="shared" si="79"/>
        <v>0</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0.06</v>
      </c>
      <c r="F415" s="961"/>
      <c r="G415" s="53">
        <f t="shared" si="76"/>
        <v>1</v>
      </c>
      <c r="H415" s="961"/>
      <c r="I415" s="53">
        <f t="shared" si="77"/>
        <v>1</v>
      </c>
      <c r="J415" s="961"/>
      <c r="K415" s="53">
        <f t="shared" si="78"/>
        <v>1</v>
      </c>
      <c r="L415" s="961"/>
      <c r="M415" s="53">
        <f t="shared" si="79"/>
        <v>0</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0.06</v>
      </c>
      <c r="F416" s="961"/>
      <c r="G416" s="53">
        <f t="shared" si="76"/>
        <v>1</v>
      </c>
      <c r="H416" s="961"/>
      <c r="I416" s="53">
        <f t="shared" si="77"/>
        <v>1</v>
      </c>
      <c r="J416" s="961"/>
      <c r="K416" s="53">
        <f t="shared" si="78"/>
        <v>1</v>
      </c>
      <c r="L416" s="961"/>
      <c r="M416" s="53">
        <f t="shared" si="79"/>
        <v>0</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0.06</v>
      </c>
      <c r="F417" s="961"/>
      <c r="G417" s="53">
        <f t="shared" si="76"/>
        <v>1</v>
      </c>
      <c r="H417" s="961"/>
      <c r="I417" s="53">
        <f t="shared" si="77"/>
        <v>1</v>
      </c>
      <c r="J417" s="961"/>
      <c r="K417" s="53">
        <f t="shared" si="78"/>
        <v>1</v>
      </c>
      <c r="L417" s="961"/>
      <c r="M417" s="53">
        <f t="shared" si="79"/>
        <v>0</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0.06</v>
      </c>
      <c r="F418" s="961"/>
      <c r="G418" s="53">
        <f t="shared" si="76"/>
        <v>1</v>
      </c>
      <c r="H418" s="961"/>
      <c r="I418" s="53">
        <f t="shared" si="77"/>
        <v>1</v>
      </c>
      <c r="J418" s="961"/>
      <c r="K418" s="53">
        <f t="shared" si="78"/>
        <v>1</v>
      </c>
      <c r="L418" s="961"/>
      <c r="M418" s="53">
        <f t="shared" si="79"/>
        <v>0</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0.06</v>
      </c>
      <c r="F419" s="961"/>
      <c r="G419" s="53">
        <f t="shared" si="76"/>
        <v>1</v>
      </c>
      <c r="H419" s="961"/>
      <c r="I419" s="53">
        <f t="shared" si="77"/>
        <v>1</v>
      </c>
      <c r="J419" s="961"/>
      <c r="K419" s="53">
        <f t="shared" si="78"/>
        <v>1</v>
      </c>
      <c r="L419" s="961"/>
      <c r="M419" s="53">
        <f t="shared" si="79"/>
        <v>0</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0.06</v>
      </c>
      <c r="F420" s="961"/>
      <c r="G420" s="53">
        <f t="shared" si="76"/>
        <v>1</v>
      </c>
      <c r="H420" s="961"/>
      <c r="I420" s="53">
        <f t="shared" si="77"/>
        <v>1</v>
      </c>
      <c r="J420" s="961"/>
      <c r="K420" s="53">
        <f t="shared" si="78"/>
        <v>1</v>
      </c>
      <c r="L420" s="961"/>
      <c r="M420" s="53">
        <f t="shared" si="79"/>
        <v>0</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0.06</v>
      </c>
      <c r="F421" s="961"/>
      <c r="G421" s="53">
        <f t="shared" si="76"/>
        <v>1</v>
      </c>
      <c r="H421" s="961"/>
      <c r="I421" s="53">
        <f t="shared" si="77"/>
        <v>1</v>
      </c>
      <c r="J421" s="961"/>
      <c r="K421" s="53">
        <f t="shared" si="78"/>
        <v>1</v>
      </c>
      <c r="L421" s="961"/>
      <c r="M421" s="53">
        <f t="shared" si="79"/>
        <v>0</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0.06</v>
      </c>
      <c r="F422" s="961"/>
      <c r="G422" s="53">
        <f t="shared" si="76"/>
        <v>1</v>
      </c>
      <c r="H422" s="961"/>
      <c r="I422" s="53">
        <f t="shared" si="77"/>
        <v>1</v>
      </c>
      <c r="J422" s="961"/>
      <c r="K422" s="53">
        <f t="shared" si="78"/>
        <v>1</v>
      </c>
      <c r="L422" s="961"/>
      <c r="M422" s="53">
        <f t="shared" si="79"/>
        <v>0</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0.06</v>
      </c>
      <c r="F423" s="961"/>
      <c r="G423" s="53">
        <f t="shared" si="76"/>
        <v>1</v>
      </c>
      <c r="H423" s="961"/>
      <c r="I423" s="53">
        <f t="shared" si="77"/>
        <v>1</v>
      </c>
      <c r="J423" s="961"/>
      <c r="K423" s="53">
        <f t="shared" si="78"/>
        <v>1</v>
      </c>
      <c r="L423" s="961"/>
      <c r="M423" s="53">
        <f t="shared" si="79"/>
        <v>0</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0.06</v>
      </c>
      <c r="F424" s="961"/>
      <c r="G424" s="53">
        <f t="shared" si="76"/>
        <v>1</v>
      </c>
      <c r="H424" s="961"/>
      <c r="I424" s="53">
        <f t="shared" si="77"/>
        <v>1</v>
      </c>
      <c r="J424" s="961"/>
      <c r="K424" s="53">
        <f t="shared" si="78"/>
        <v>1</v>
      </c>
      <c r="L424" s="961"/>
      <c r="M424" s="53">
        <f t="shared" si="79"/>
        <v>0</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0.06</v>
      </c>
      <c r="F425" s="961"/>
      <c r="G425" s="53">
        <f t="shared" si="76"/>
        <v>1</v>
      </c>
      <c r="H425" s="961"/>
      <c r="I425" s="53">
        <f t="shared" si="77"/>
        <v>1</v>
      </c>
      <c r="J425" s="961"/>
      <c r="K425" s="53">
        <f t="shared" si="78"/>
        <v>1</v>
      </c>
      <c r="L425" s="961"/>
      <c r="M425" s="53">
        <f t="shared" si="79"/>
        <v>0</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0.06</v>
      </c>
      <c r="F426" s="961"/>
      <c r="G426" s="53">
        <f t="shared" si="76"/>
        <v>1</v>
      </c>
      <c r="H426" s="961"/>
      <c r="I426" s="53">
        <f t="shared" si="77"/>
        <v>1</v>
      </c>
      <c r="J426" s="961"/>
      <c r="K426" s="53">
        <f t="shared" si="78"/>
        <v>1</v>
      </c>
      <c r="L426" s="961"/>
      <c r="M426" s="53">
        <f t="shared" si="79"/>
        <v>0</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0.06</v>
      </c>
      <c r="F427" s="961"/>
      <c r="G427" s="53">
        <f t="shared" si="76"/>
        <v>1</v>
      </c>
      <c r="H427" s="961"/>
      <c r="I427" s="53">
        <f t="shared" si="77"/>
        <v>1</v>
      </c>
      <c r="J427" s="961"/>
      <c r="K427" s="53">
        <f t="shared" si="78"/>
        <v>1</v>
      </c>
      <c r="L427" s="961"/>
      <c r="M427" s="53">
        <f t="shared" si="79"/>
        <v>0</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0.06</v>
      </c>
      <c r="F428" s="961"/>
      <c r="G428" s="53">
        <f t="shared" si="76"/>
        <v>1</v>
      </c>
      <c r="H428" s="961"/>
      <c r="I428" s="53">
        <f t="shared" si="77"/>
        <v>1</v>
      </c>
      <c r="J428" s="961"/>
      <c r="K428" s="53">
        <f t="shared" si="78"/>
        <v>1</v>
      </c>
      <c r="L428" s="961"/>
      <c r="M428" s="53">
        <f t="shared" si="79"/>
        <v>0</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0.06</v>
      </c>
      <c r="F429" s="961"/>
      <c r="G429" s="53">
        <f t="shared" si="76"/>
        <v>1</v>
      </c>
      <c r="H429" s="961"/>
      <c r="I429" s="53">
        <f t="shared" si="77"/>
        <v>1</v>
      </c>
      <c r="J429" s="961"/>
      <c r="K429" s="53">
        <f t="shared" si="78"/>
        <v>1</v>
      </c>
      <c r="L429" s="961"/>
      <c r="M429" s="53">
        <f t="shared" si="79"/>
        <v>0</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0.06</v>
      </c>
      <c r="F430" s="961"/>
      <c r="G430" s="53">
        <f t="shared" si="76"/>
        <v>1</v>
      </c>
      <c r="H430" s="961"/>
      <c r="I430" s="53">
        <f t="shared" si="77"/>
        <v>1</v>
      </c>
      <c r="J430" s="961"/>
      <c r="K430" s="53">
        <f t="shared" si="78"/>
        <v>1</v>
      </c>
      <c r="L430" s="961"/>
      <c r="M430" s="53">
        <f t="shared" si="79"/>
        <v>0</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0.06</v>
      </c>
      <c r="F431" s="961"/>
      <c r="G431" s="53">
        <f t="shared" si="76"/>
        <v>1</v>
      </c>
      <c r="H431" s="961"/>
      <c r="I431" s="53">
        <f t="shared" si="77"/>
        <v>1</v>
      </c>
      <c r="J431" s="961"/>
      <c r="K431" s="53">
        <f t="shared" si="78"/>
        <v>1</v>
      </c>
      <c r="L431" s="961"/>
      <c r="M431" s="53">
        <f t="shared" si="79"/>
        <v>0</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0.06</v>
      </c>
      <c r="F432" s="961"/>
      <c r="G432" s="53">
        <f t="shared" si="76"/>
        <v>1</v>
      </c>
      <c r="H432" s="961"/>
      <c r="I432" s="53">
        <f t="shared" si="77"/>
        <v>1</v>
      </c>
      <c r="J432" s="961"/>
      <c r="K432" s="53">
        <f t="shared" si="78"/>
        <v>1</v>
      </c>
      <c r="L432" s="961"/>
      <c r="M432" s="53">
        <f t="shared" si="79"/>
        <v>0</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0.06</v>
      </c>
      <c r="F433" s="961"/>
      <c r="G433" s="53">
        <f t="shared" si="76"/>
        <v>1</v>
      </c>
      <c r="H433" s="961"/>
      <c r="I433" s="53">
        <f t="shared" si="77"/>
        <v>1</v>
      </c>
      <c r="J433" s="961"/>
      <c r="K433" s="53">
        <f t="shared" si="78"/>
        <v>1</v>
      </c>
      <c r="L433" s="961"/>
      <c r="M433" s="53">
        <f t="shared" si="79"/>
        <v>0</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0.06</v>
      </c>
      <c r="F434" s="961"/>
      <c r="G434" s="53">
        <f t="shared" si="76"/>
        <v>1</v>
      </c>
      <c r="H434" s="961"/>
      <c r="I434" s="53">
        <f t="shared" si="77"/>
        <v>1</v>
      </c>
      <c r="J434" s="961"/>
      <c r="K434" s="53">
        <f t="shared" si="78"/>
        <v>1</v>
      </c>
      <c r="L434" s="961"/>
      <c r="M434" s="53">
        <f t="shared" si="79"/>
        <v>0</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0.06</v>
      </c>
      <c r="F435" s="961"/>
      <c r="G435" s="53">
        <f t="shared" si="76"/>
        <v>1</v>
      </c>
      <c r="H435" s="961"/>
      <c r="I435" s="53">
        <f t="shared" si="77"/>
        <v>1</v>
      </c>
      <c r="J435" s="961"/>
      <c r="K435" s="53">
        <f t="shared" si="78"/>
        <v>1</v>
      </c>
      <c r="L435" s="961"/>
      <c r="M435" s="53">
        <f t="shared" si="79"/>
        <v>0</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0.06</v>
      </c>
      <c r="F436" s="961"/>
      <c r="G436" s="53">
        <f t="shared" si="76"/>
        <v>1</v>
      </c>
      <c r="H436" s="961"/>
      <c r="I436" s="53">
        <f t="shared" si="77"/>
        <v>1</v>
      </c>
      <c r="J436" s="961"/>
      <c r="K436" s="53">
        <f t="shared" si="78"/>
        <v>1</v>
      </c>
      <c r="L436" s="961"/>
      <c r="M436" s="53">
        <f t="shared" si="79"/>
        <v>0</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0.06</v>
      </c>
      <c r="F437" s="961"/>
      <c r="G437" s="53">
        <f t="shared" si="76"/>
        <v>1</v>
      </c>
      <c r="H437" s="961"/>
      <c r="I437" s="53">
        <f t="shared" si="77"/>
        <v>1</v>
      </c>
      <c r="J437" s="961"/>
      <c r="K437" s="53">
        <f t="shared" si="78"/>
        <v>1</v>
      </c>
      <c r="L437" s="961"/>
      <c r="M437" s="53">
        <f t="shared" si="79"/>
        <v>0</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0.06</v>
      </c>
      <c r="F438" s="961"/>
      <c r="G438" s="53">
        <f t="shared" si="76"/>
        <v>1</v>
      </c>
      <c r="H438" s="961"/>
      <c r="I438" s="53">
        <f t="shared" si="77"/>
        <v>1</v>
      </c>
      <c r="J438" s="961"/>
      <c r="K438" s="53">
        <f t="shared" si="78"/>
        <v>1</v>
      </c>
      <c r="L438" s="961"/>
      <c r="M438" s="53">
        <f t="shared" si="79"/>
        <v>0</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0.06</v>
      </c>
      <c r="F439" s="961"/>
      <c r="G439" s="53">
        <f t="shared" si="76"/>
        <v>1</v>
      </c>
      <c r="H439" s="961"/>
      <c r="I439" s="53">
        <f t="shared" si="77"/>
        <v>1</v>
      </c>
      <c r="J439" s="961"/>
      <c r="K439" s="53">
        <f t="shared" si="78"/>
        <v>1</v>
      </c>
      <c r="L439" s="961"/>
      <c r="M439" s="53">
        <f t="shared" si="79"/>
        <v>0</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0.06</v>
      </c>
      <c r="F440" s="961"/>
      <c r="G440" s="53">
        <f t="shared" si="76"/>
        <v>1</v>
      </c>
      <c r="H440" s="961"/>
      <c r="I440" s="53">
        <f t="shared" si="77"/>
        <v>1</v>
      </c>
      <c r="J440" s="961"/>
      <c r="K440" s="53">
        <f t="shared" si="78"/>
        <v>1</v>
      </c>
      <c r="L440" s="961"/>
      <c r="M440" s="53">
        <f t="shared" si="79"/>
        <v>0</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0.06</v>
      </c>
      <c r="F441" s="961"/>
      <c r="G441" s="53">
        <f t="shared" si="76"/>
        <v>1</v>
      </c>
      <c r="H441" s="961"/>
      <c r="I441" s="53">
        <f t="shared" si="77"/>
        <v>1</v>
      </c>
      <c r="J441" s="961"/>
      <c r="K441" s="53">
        <f t="shared" si="78"/>
        <v>1</v>
      </c>
      <c r="L441" s="961"/>
      <c r="M441" s="53">
        <f t="shared" si="79"/>
        <v>0</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0.06</v>
      </c>
      <c r="F442" s="961"/>
      <c r="G442" s="53">
        <f t="shared" si="76"/>
        <v>1</v>
      </c>
      <c r="H442" s="961"/>
      <c r="I442" s="53">
        <f t="shared" si="77"/>
        <v>1</v>
      </c>
      <c r="J442" s="961"/>
      <c r="K442" s="53">
        <f t="shared" si="78"/>
        <v>1</v>
      </c>
      <c r="L442" s="961"/>
      <c r="M442" s="53">
        <f t="shared" si="79"/>
        <v>0</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0.06</v>
      </c>
      <c r="F443" s="961"/>
      <c r="G443" s="53">
        <f t="shared" si="76"/>
        <v>1</v>
      </c>
      <c r="H443" s="961"/>
      <c r="I443" s="53">
        <f t="shared" si="77"/>
        <v>1</v>
      </c>
      <c r="J443" s="961"/>
      <c r="K443" s="53">
        <f t="shared" si="78"/>
        <v>1</v>
      </c>
      <c r="L443" s="961"/>
      <c r="M443" s="53">
        <f t="shared" si="79"/>
        <v>0</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0.06</v>
      </c>
      <c r="F444" s="961"/>
      <c r="G444" s="53">
        <f t="shared" si="76"/>
        <v>1</v>
      </c>
      <c r="H444" s="961"/>
      <c r="I444" s="53">
        <f t="shared" si="77"/>
        <v>1</v>
      </c>
      <c r="J444" s="961"/>
      <c r="K444" s="53">
        <f t="shared" si="78"/>
        <v>1</v>
      </c>
      <c r="L444" s="961"/>
      <c r="M444" s="53">
        <f t="shared" si="79"/>
        <v>0</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0.06</v>
      </c>
      <c r="F445" s="961"/>
      <c r="G445" s="53">
        <f t="shared" si="76"/>
        <v>1</v>
      </c>
      <c r="H445" s="961"/>
      <c r="I445" s="53">
        <f t="shared" si="77"/>
        <v>1</v>
      </c>
      <c r="J445" s="961"/>
      <c r="K445" s="53">
        <f t="shared" si="78"/>
        <v>1</v>
      </c>
      <c r="L445" s="961"/>
      <c r="M445" s="53">
        <f t="shared" si="79"/>
        <v>0</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0.06</v>
      </c>
      <c r="F446" s="961"/>
      <c r="G446" s="53">
        <f t="shared" si="76"/>
        <v>1</v>
      </c>
      <c r="H446" s="961"/>
      <c r="I446" s="53">
        <f t="shared" si="77"/>
        <v>1</v>
      </c>
      <c r="J446" s="961"/>
      <c r="K446" s="53">
        <f t="shared" si="78"/>
        <v>1</v>
      </c>
      <c r="L446" s="961"/>
      <c r="M446" s="53">
        <f t="shared" si="79"/>
        <v>0</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0.06</v>
      </c>
      <c r="F447" s="961"/>
      <c r="G447" s="53">
        <f t="shared" si="76"/>
        <v>1</v>
      </c>
      <c r="H447" s="961"/>
      <c r="I447" s="53">
        <f t="shared" si="77"/>
        <v>1</v>
      </c>
      <c r="J447" s="961"/>
      <c r="K447" s="53">
        <f t="shared" si="78"/>
        <v>1</v>
      </c>
      <c r="L447" s="961"/>
      <c r="M447" s="53">
        <f t="shared" si="79"/>
        <v>0</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0.06</v>
      </c>
      <c r="F448" s="961"/>
      <c r="G448" s="53">
        <f t="shared" si="76"/>
        <v>1</v>
      </c>
      <c r="H448" s="961"/>
      <c r="I448" s="53">
        <f t="shared" si="77"/>
        <v>1</v>
      </c>
      <c r="J448" s="961"/>
      <c r="K448" s="53">
        <f t="shared" si="78"/>
        <v>1</v>
      </c>
      <c r="L448" s="961"/>
      <c r="M448" s="53">
        <f t="shared" si="79"/>
        <v>0</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0.06</v>
      </c>
      <c r="F449" s="961"/>
      <c r="G449" s="53">
        <f t="shared" si="76"/>
        <v>1</v>
      </c>
      <c r="H449" s="961"/>
      <c r="I449" s="53">
        <f t="shared" si="77"/>
        <v>1</v>
      </c>
      <c r="J449" s="961"/>
      <c r="K449" s="53">
        <f t="shared" si="78"/>
        <v>1</v>
      </c>
      <c r="L449" s="961"/>
      <c r="M449" s="53">
        <f t="shared" si="79"/>
        <v>0</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0.06</v>
      </c>
      <c r="F450" s="961"/>
      <c r="G450" s="53">
        <f t="shared" si="76"/>
        <v>1</v>
      </c>
      <c r="H450" s="961"/>
      <c r="I450" s="53">
        <f t="shared" si="77"/>
        <v>1</v>
      </c>
      <c r="J450" s="961"/>
      <c r="K450" s="53">
        <f t="shared" si="78"/>
        <v>1</v>
      </c>
      <c r="L450" s="961"/>
      <c r="M450" s="53">
        <f t="shared" si="79"/>
        <v>0</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0.06</v>
      </c>
      <c r="F451" s="961"/>
      <c r="G451" s="53">
        <f t="shared" si="76"/>
        <v>1</v>
      </c>
      <c r="H451" s="961"/>
      <c r="I451" s="53">
        <f t="shared" si="77"/>
        <v>1</v>
      </c>
      <c r="J451" s="961"/>
      <c r="K451" s="53">
        <f t="shared" si="78"/>
        <v>1</v>
      </c>
      <c r="L451" s="961"/>
      <c r="M451" s="53">
        <f t="shared" si="79"/>
        <v>0</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0.06</v>
      </c>
      <c r="F452" s="961"/>
      <c r="G452" s="53">
        <f t="shared" si="76"/>
        <v>1</v>
      </c>
      <c r="H452" s="961"/>
      <c r="I452" s="53">
        <f t="shared" si="77"/>
        <v>1</v>
      </c>
      <c r="J452" s="961"/>
      <c r="K452" s="53">
        <f t="shared" si="78"/>
        <v>1</v>
      </c>
      <c r="L452" s="961"/>
      <c r="M452" s="53">
        <f t="shared" si="79"/>
        <v>0</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0.06</v>
      </c>
      <c r="F453" s="961"/>
      <c r="G453" s="53">
        <f t="shared" si="76"/>
        <v>1</v>
      </c>
      <c r="H453" s="961"/>
      <c r="I453" s="53">
        <f t="shared" si="77"/>
        <v>1</v>
      </c>
      <c r="J453" s="961"/>
      <c r="K453" s="53">
        <f t="shared" si="78"/>
        <v>1</v>
      </c>
      <c r="L453" s="961"/>
      <c r="M453" s="53">
        <f t="shared" si="79"/>
        <v>0</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0.06</v>
      </c>
      <c r="F454" s="961"/>
      <c r="G454" s="53">
        <f t="shared" si="76"/>
        <v>1</v>
      </c>
      <c r="H454" s="961"/>
      <c r="I454" s="53">
        <f t="shared" si="77"/>
        <v>1</v>
      </c>
      <c r="J454" s="961"/>
      <c r="K454" s="53">
        <f t="shared" si="78"/>
        <v>1</v>
      </c>
      <c r="L454" s="961"/>
      <c r="M454" s="53">
        <f t="shared" si="79"/>
        <v>0</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0.06</v>
      </c>
      <c r="F455" s="961"/>
      <c r="G455" s="53">
        <f t="shared" si="76"/>
        <v>1</v>
      </c>
      <c r="H455" s="961"/>
      <c r="I455" s="53">
        <f t="shared" si="77"/>
        <v>1</v>
      </c>
      <c r="J455" s="961"/>
      <c r="K455" s="53">
        <f t="shared" si="78"/>
        <v>1</v>
      </c>
      <c r="L455" s="961"/>
      <c r="M455" s="53">
        <f t="shared" si="79"/>
        <v>0</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0.06</v>
      </c>
      <c r="F456" s="961"/>
      <c r="G456" s="53">
        <f t="shared" si="76"/>
        <v>1</v>
      </c>
      <c r="H456" s="961"/>
      <c r="I456" s="53">
        <f t="shared" si="77"/>
        <v>1</v>
      </c>
      <c r="J456" s="961"/>
      <c r="K456" s="53">
        <f t="shared" si="78"/>
        <v>1</v>
      </c>
      <c r="L456" s="961"/>
      <c r="M456" s="53">
        <f t="shared" si="79"/>
        <v>0</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0.06</v>
      </c>
      <c r="F457" s="961"/>
      <c r="G457" s="53">
        <f t="shared" si="76"/>
        <v>1</v>
      </c>
      <c r="H457" s="961"/>
      <c r="I457" s="53">
        <f t="shared" si="77"/>
        <v>1</v>
      </c>
      <c r="J457" s="961"/>
      <c r="K457" s="53">
        <f t="shared" si="78"/>
        <v>1</v>
      </c>
      <c r="L457" s="961"/>
      <c r="M457" s="53">
        <f t="shared" si="79"/>
        <v>0</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0.06</v>
      </c>
      <c r="F458" s="961"/>
      <c r="G458" s="53">
        <f t="shared" si="76"/>
        <v>1</v>
      </c>
      <c r="H458" s="961"/>
      <c r="I458" s="53">
        <f t="shared" si="77"/>
        <v>1</v>
      </c>
      <c r="J458" s="961"/>
      <c r="K458" s="53">
        <f t="shared" si="78"/>
        <v>1</v>
      </c>
      <c r="L458" s="961"/>
      <c r="M458" s="53">
        <f t="shared" si="79"/>
        <v>0</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0.06</v>
      </c>
      <c r="F459" s="961"/>
      <c r="G459" s="53">
        <f t="shared" si="76"/>
        <v>1</v>
      </c>
      <c r="H459" s="961"/>
      <c r="I459" s="53">
        <f t="shared" si="77"/>
        <v>1</v>
      </c>
      <c r="J459" s="961"/>
      <c r="K459" s="53">
        <f t="shared" si="78"/>
        <v>1</v>
      </c>
      <c r="L459" s="961"/>
      <c r="M459" s="53">
        <f t="shared" si="79"/>
        <v>0</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0.06</v>
      </c>
      <c r="F460" s="961"/>
      <c r="G460" s="53">
        <f t="shared" si="76"/>
        <v>1</v>
      </c>
      <c r="H460" s="961"/>
      <c r="I460" s="53">
        <f t="shared" si="77"/>
        <v>1</v>
      </c>
      <c r="J460" s="961"/>
      <c r="K460" s="53">
        <f t="shared" si="78"/>
        <v>1</v>
      </c>
      <c r="L460" s="961"/>
      <c r="M460" s="53">
        <f t="shared" si="79"/>
        <v>0</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0.06</v>
      </c>
      <c r="F461" s="961"/>
      <c r="G461" s="53">
        <f t="shared" si="76"/>
        <v>1</v>
      </c>
      <c r="H461" s="961"/>
      <c r="I461" s="53">
        <f t="shared" si="77"/>
        <v>1</v>
      </c>
      <c r="J461" s="961"/>
      <c r="K461" s="53">
        <f t="shared" si="78"/>
        <v>1</v>
      </c>
      <c r="L461" s="961"/>
      <c r="M461" s="53">
        <f t="shared" si="79"/>
        <v>0</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0.06</v>
      </c>
      <c r="F462" s="961"/>
      <c r="G462" s="53">
        <f t="shared" si="76"/>
        <v>1</v>
      </c>
      <c r="H462" s="961"/>
      <c r="I462" s="53">
        <f t="shared" si="77"/>
        <v>1</v>
      </c>
      <c r="J462" s="961"/>
      <c r="K462" s="53">
        <f t="shared" si="78"/>
        <v>1</v>
      </c>
      <c r="L462" s="961"/>
      <c r="M462" s="53">
        <f t="shared" si="79"/>
        <v>0</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0.06</v>
      </c>
      <c r="F463" s="961"/>
      <c r="G463" s="53">
        <f t="shared" si="76"/>
        <v>1</v>
      </c>
      <c r="H463" s="961"/>
      <c r="I463" s="53">
        <f t="shared" si="77"/>
        <v>1</v>
      </c>
      <c r="J463" s="961"/>
      <c r="K463" s="53">
        <f t="shared" si="78"/>
        <v>1</v>
      </c>
      <c r="L463" s="961"/>
      <c r="M463" s="53">
        <f t="shared" si="79"/>
        <v>0</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0.06</v>
      </c>
      <c r="F464" s="961"/>
      <c r="G464" s="53">
        <f t="shared" si="76"/>
        <v>1</v>
      </c>
      <c r="H464" s="961"/>
      <c r="I464" s="53">
        <f t="shared" si="77"/>
        <v>1</v>
      </c>
      <c r="J464" s="961"/>
      <c r="K464" s="53">
        <f t="shared" si="78"/>
        <v>1</v>
      </c>
      <c r="L464" s="961"/>
      <c r="M464" s="53">
        <f t="shared" si="79"/>
        <v>0</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0.06</v>
      </c>
      <c r="F465" s="961"/>
      <c r="G465" s="53">
        <f t="shared" si="76"/>
        <v>1</v>
      </c>
      <c r="H465" s="961"/>
      <c r="I465" s="53">
        <f t="shared" si="77"/>
        <v>1</v>
      </c>
      <c r="J465" s="961"/>
      <c r="K465" s="53">
        <f t="shared" si="78"/>
        <v>1</v>
      </c>
      <c r="L465" s="961"/>
      <c r="M465" s="53">
        <f t="shared" si="79"/>
        <v>0</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0.06</v>
      </c>
      <c r="F466" s="961"/>
      <c r="G466" s="53">
        <f t="shared" si="76"/>
        <v>1</v>
      </c>
      <c r="H466" s="961"/>
      <c r="I466" s="53">
        <f t="shared" si="77"/>
        <v>1</v>
      </c>
      <c r="J466" s="961"/>
      <c r="K466" s="53">
        <f t="shared" si="78"/>
        <v>1</v>
      </c>
      <c r="L466" s="961"/>
      <c r="M466" s="53">
        <f t="shared" si="79"/>
        <v>0</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0.06</v>
      </c>
      <c r="F467" s="961"/>
      <c r="G467" s="53">
        <f t="shared" si="76"/>
        <v>1</v>
      </c>
      <c r="H467" s="961"/>
      <c r="I467" s="53">
        <f t="shared" si="77"/>
        <v>1</v>
      </c>
      <c r="J467" s="961"/>
      <c r="K467" s="53">
        <f t="shared" si="78"/>
        <v>1</v>
      </c>
      <c r="L467" s="961"/>
      <c r="M467" s="53">
        <f t="shared" si="79"/>
        <v>0</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0.06</v>
      </c>
      <c r="F468" s="961"/>
      <c r="G468" s="53">
        <f t="shared" si="76"/>
        <v>1</v>
      </c>
      <c r="H468" s="961"/>
      <c r="I468" s="53">
        <f t="shared" si="77"/>
        <v>1</v>
      </c>
      <c r="J468" s="961"/>
      <c r="K468" s="53">
        <f t="shared" si="78"/>
        <v>1</v>
      </c>
      <c r="L468" s="961"/>
      <c r="M468" s="53">
        <f t="shared" si="79"/>
        <v>0</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0.06</v>
      </c>
      <c r="F469" s="961"/>
      <c r="G469" s="53">
        <f t="shared" si="76"/>
        <v>1</v>
      </c>
      <c r="H469" s="961"/>
      <c r="I469" s="53">
        <f t="shared" si="77"/>
        <v>1</v>
      </c>
      <c r="J469" s="961"/>
      <c r="K469" s="53">
        <f t="shared" si="78"/>
        <v>1</v>
      </c>
      <c r="L469" s="961"/>
      <c r="M469" s="53">
        <f t="shared" si="79"/>
        <v>0</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0.06</v>
      </c>
      <c r="F470" s="961"/>
      <c r="G470" s="53">
        <f t="shared" si="76"/>
        <v>1</v>
      </c>
      <c r="H470" s="961"/>
      <c r="I470" s="53">
        <f t="shared" si="77"/>
        <v>1</v>
      </c>
      <c r="J470" s="961"/>
      <c r="K470" s="53">
        <f t="shared" si="78"/>
        <v>1</v>
      </c>
      <c r="L470" s="961"/>
      <c r="M470" s="53">
        <f t="shared" si="79"/>
        <v>0</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0.06</v>
      </c>
      <c r="F471" s="961"/>
      <c r="G471" s="53">
        <f t="shared" si="76"/>
        <v>1</v>
      </c>
      <c r="H471" s="961"/>
      <c r="I471" s="53">
        <f t="shared" si="77"/>
        <v>1</v>
      </c>
      <c r="J471" s="961"/>
      <c r="K471" s="53">
        <f t="shared" si="78"/>
        <v>1</v>
      </c>
      <c r="L471" s="961"/>
      <c r="M471" s="53">
        <f t="shared" si="79"/>
        <v>0</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0.06</v>
      </c>
      <c r="F472" s="961"/>
      <c r="G472" s="53">
        <f t="shared" si="76"/>
        <v>1</v>
      </c>
      <c r="H472" s="961"/>
      <c r="I472" s="53">
        <f t="shared" si="77"/>
        <v>1</v>
      </c>
      <c r="J472" s="961"/>
      <c r="K472" s="53">
        <f t="shared" si="78"/>
        <v>1</v>
      </c>
      <c r="L472" s="961"/>
      <c r="M472" s="53">
        <f t="shared" si="79"/>
        <v>0</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0.06</v>
      </c>
      <c r="F473" s="961"/>
      <c r="G473" s="53">
        <f t="shared" si="76"/>
        <v>1</v>
      </c>
      <c r="H473" s="961"/>
      <c r="I473" s="53">
        <f t="shared" si="77"/>
        <v>1</v>
      </c>
      <c r="J473" s="961"/>
      <c r="K473" s="53">
        <f t="shared" si="78"/>
        <v>1</v>
      </c>
      <c r="L473" s="961"/>
      <c r="M473" s="53">
        <f t="shared" si="79"/>
        <v>0</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0.06</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0</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0.06</v>
      </c>
      <c r="F475" s="961"/>
      <c r="G475" s="53">
        <f t="shared" si="87"/>
        <v>1</v>
      </c>
      <c r="H475" s="961"/>
      <c r="I475" s="53">
        <f t="shared" si="88"/>
        <v>1</v>
      </c>
      <c r="J475" s="961"/>
      <c r="K475" s="53">
        <f t="shared" si="89"/>
        <v>1</v>
      </c>
      <c r="L475" s="961"/>
      <c r="M475" s="53">
        <f t="shared" si="90"/>
        <v>0</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0.06</v>
      </c>
      <c r="F476" s="961"/>
      <c r="G476" s="53">
        <f t="shared" si="87"/>
        <v>1</v>
      </c>
      <c r="H476" s="961"/>
      <c r="I476" s="53">
        <f t="shared" si="88"/>
        <v>1</v>
      </c>
      <c r="J476" s="961"/>
      <c r="K476" s="53">
        <f t="shared" si="89"/>
        <v>1</v>
      </c>
      <c r="L476" s="961"/>
      <c r="M476" s="53">
        <f t="shared" si="90"/>
        <v>0</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0.06</v>
      </c>
      <c r="F477" s="961"/>
      <c r="G477" s="53">
        <f t="shared" si="87"/>
        <v>1</v>
      </c>
      <c r="H477" s="961"/>
      <c r="I477" s="53">
        <f t="shared" si="88"/>
        <v>1</v>
      </c>
      <c r="J477" s="961"/>
      <c r="K477" s="53">
        <f t="shared" si="89"/>
        <v>1</v>
      </c>
      <c r="L477" s="961"/>
      <c r="M477" s="53">
        <f t="shared" si="90"/>
        <v>0</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0.06</v>
      </c>
      <c r="F478" s="961"/>
      <c r="G478" s="53">
        <f t="shared" si="87"/>
        <v>1</v>
      </c>
      <c r="H478" s="961"/>
      <c r="I478" s="53">
        <f t="shared" si="88"/>
        <v>1</v>
      </c>
      <c r="J478" s="961"/>
      <c r="K478" s="53">
        <f t="shared" si="89"/>
        <v>1</v>
      </c>
      <c r="L478" s="961"/>
      <c r="M478" s="53">
        <f t="shared" si="90"/>
        <v>0</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0.06</v>
      </c>
      <c r="F479" s="961"/>
      <c r="G479" s="53">
        <f t="shared" si="87"/>
        <v>1</v>
      </c>
      <c r="H479" s="961"/>
      <c r="I479" s="53">
        <f t="shared" si="88"/>
        <v>1</v>
      </c>
      <c r="J479" s="961"/>
      <c r="K479" s="53">
        <f t="shared" si="89"/>
        <v>1</v>
      </c>
      <c r="L479" s="961"/>
      <c r="M479" s="53">
        <f t="shared" si="90"/>
        <v>0</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0.06</v>
      </c>
      <c r="F480" s="961"/>
      <c r="G480" s="53">
        <f t="shared" si="87"/>
        <v>1</v>
      </c>
      <c r="H480" s="961"/>
      <c r="I480" s="53">
        <f t="shared" si="88"/>
        <v>1</v>
      </c>
      <c r="J480" s="961"/>
      <c r="K480" s="53">
        <f t="shared" si="89"/>
        <v>1</v>
      </c>
      <c r="L480" s="961"/>
      <c r="M480" s="53">
        <f t="shared" si="90"/>
        <v>0</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0.06</v>
      </c>
      <c r="F481" s="961"/>
      <c r="G481" s="53">
        <f t="shared" si="87"/>
        <v>1</v>
      </c>
      <c r="H481" s="961"/>
      <c r="I481" s="53">
        <f t="shared" si="88"/>
        <v>1</v>
      </c>
      <c r="J481" s="961"/>
      <c r="K481" s="53">
        <f t="shared" si="89"/>
        <v>1</v>
      </c>
      <c r="L481" s="961"/>
      <c r="M481" s="53">
        <f t="shared" si="90"/>
        <v>0</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0.06</v>
      </c>
      <c r="F482" s="961"/>
      <c r="G482" s="53">
        <f t="shared" si="87"/>
        <v>1</v>
      </c>
      <c r="H482" s="961"/>
      <c r="I482" s="53">
        <f t="shared" si="88"/>
        <v>1</v>
      </c>
      <c r="J482" s="961"/>
      <c r="K482" s="53">
        <f t="shared" si="89"/>
        <v>1</v>
      </c>
      <c r="L482" s="961"/>
      <c r="M482" s="53">
        <f t="shared" si="90"/>
        <v>0</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0.06</v>
      </c>
      <c r="F483" s="961"/>
      <c r="G483" s="53">
        <f t="shared" si="87"/>
        <v>1</v>
      </c>
      <c r="H483" s="961"/>
      <c r="I483" s="53">
        <f t="shared" si="88"/>
        <v>1</v>
      </c>
      <c r="J483" s="961"/>
      <c r="K483" s="53">
        <f t="shared" si="89"/>
        <v>1</v>
      </c>
      <c r="L483" s="961"/>
      <c r="M483" s="53">
        <f t="shared" si="90"/>
        <v>0</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0.06</v>
      </c>
      <c r="F484" s="961"/>
      <c r="G484" s="53">
        <f t="shared" si="87"/>
        <v>1</v>
      </c>
      <c r="H484" s="961"/>
      <c r="I484" s="53">
        <f t="shared" si="88"/>
        <v>1</v>
      </c>
      <c r="J484" s="961"/>
      <c r="K484" s="53">
        <f t="shared" si="89"/>
        <v>1</v>
      </c>
      <c r="L484" s="961"/>
      <c r="M484" s="53">
        <f t="shared" si="90"/>
        <v>0</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0.06</v>
      </c>
      <c r="F485" s="961"/>
      <c r="G485" s="53">
        <f t="shared" si="87"/>
        <v>1</v>
      </c>
      <c r="H485" s="961"/>
      <c r="I485" s="53">
        <f t="shared" si="88"/>
        <v>1</v>
      </c>
      <c r="J485" s="961"/>
      <c r="K485" s="53">
        <f t="shared" si="89"/>
        <v>1</v>
      </c>
      <c r="L485" s="961"/>
      <c r="M485" s="53">
        <f t="shared" si="90"/>
        <v>0</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0.06</v>
      </c>
      <c r="F486" s="961"/>
      <c r="G486" s="53">
        <f t="shared" si="87"/>
        <v>1</v>
      </c>
      <c r="H486" s="961"/>
      <c r="I486" s="53">
        <f t="shared" si="88"/>
        <v>1</v>
      </c>
      <c r="J486" s="961"/>
      <c r="K486" s="53">
        <f t="shared" si="89"/>
        <v>1</v>
      </c>
      <c r="L486" s="961"/>
      <c r="M486" s="53">
        <f t="shared" si="90"/>
        <v>0</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0.06</v>
      </c>
      <c r="F487" s="961"/>
      <c r="G487" s="53">
        <f t="shared" si="87"/>
        <v>1</v>
      </c>
      <c r="H487" s="961"/>
      <c r="I487" s="53">
        <f t="shared" si="88"/>
        <v>1</v>
      </c>
      <c r="J487" s="961"/>
      <c r="K487" s="53">
        <f t="shared" si="89"/>
        <v>1</v>
      </c>
      <c r="L487" s="961"/>
      <c r="M487" s="53">
        <f t="shared" si="90"/>
        <v>0</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0.06</v>
      </c>
      <c r="F488" s="961"/>
      <c r="G488" s="53">
        <f t="shared" si="87"/>
        <v>1</v>
      </c>
      <c r="H488" s="961"/>
      <c r="I488" s="53">
        <f t="shared" si="88"/>
        <v>1</v>
      </c>
      <c r="J488" s="961"/>
      <c r="K488" s="53">
        <f t="shared" si="89"/>
        <v>1</v>
      </c>
      <c r="L488" s="961"/>
      <c r="M488" s="53">
        <f t="shared" si="90"/>
        <v>0</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0.06</v>
      </c>
      <c r="F489" s="961"/>
      <c r="G489" s="53">
        <f t="shared" si="87"/>
        <v>1</v>
      </c>
      <c r="H489" s="961"/>
      <c r="I489" s="53">
        <f t="shared" si="88"/>
        <v>1</v>
      </c>
      <c r="J489" s="961"/>
      <c r="K489" s="53">
        <f t="shared" si="89"/>
        <v>1</v>
      </c>
      <c r="L489" s="961"/>
      <c r="M489" s="53">
        <f t="shared" si="90"/>
        <v>0</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0.06</v>
      </c>
      <c r="F490" s="961"/>
      <c r="G490" s="53">
        <f t="shared" si="87"/>
        <v>1</v>
      </c>
      <c r="H490" s="961"/>
      <c r="I490" s="53">
        <f t="shared" si="88"/>
        <v>1</v>
      </c>
      <c r="J490" s="961"/>
      <c r="K490" s="53">
        <f t="shared" si="89"/>
        <v>1</v>
      </c>
      <c r="L490" s="961"/>
      <c r="M490" s="53">
        <f t="shared" si="90"/>
        <v>0</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0.06</v>
      </c>
      <c r="F491" s="961"/>
      <c r="G491" s="53">
        <f t="shared" si="87"/>
        <v>1</v>
      </c>
      <c r="H491" s="961"/>
      <c r="I491" s="53">
        <f t="shared" si="88"/>
        <v>1</v>
      </c>
      <c r="J491" s="961"/>
      <c r="K491" s="53">
        <f t="shared" si="89"/>
        <v>1</v>
      </c>
      <c r="L491" s="961"/>
      <c r="M491" s="53">
        <f t="shared" si="90"/>
        <v>0</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0.06</v>
      </c>
      <c r="F492" s="961"/>
      <c r="G492" s="53">
        <f t="shared" si="87"/>
        <v>1</v>
      </c>
      <c r="H492" s="961"/>
      <c r="I492" s="53">
        <f t="shared" si="88"/>
        <v>1</v>
      </c>
      <c r="J492" s="961"/>
      <c r="K492" s="53">
        <f t="shared" si="89"/>
        <v>1</v>
      </c>
      <c r="L492" s="961"/>
      <c r="M492" s="53">
        <f t="shared" si="90"/>
        <v>0</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0.06</v>
      </c>
      <c r="F493" s="961"/>
      <c r="G493" s="53">
        <f t="shared" si="87"/>
        <v>1</v>
      </c>
      <c r="H493" s="961"/>
      <c r="I493" s="53">
        <f t="shared" si="88"/>
        <v>1</v>
      </c>
      <c r="J493" s="961"/>
      <c r="K493" s="53">
        <f t="shared" si="89"/>
        <v>1</v>
      </c>
      <c r="L493" s="961"/>
      <c r="M493" s="53">
        <f t="shared" si="90"/>
        <v>0</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0.06</v>
      </c>
      <c r="F494" s="961"/>
      <c r="G494" s="53">
        <f t="shared" si="87"/>
        <v>1</v>
      </c>
      <c r="H494" s="961"/>
      <c r="I494" s="53">
        <f t="shared" si="88"/>
        <v>1</v>
      </c>
      <c r="J494" s="961"/>
      <c r="K494" s="53">
        <f t="shared" si="89"/>
        <v>1</v>
      </c>
      <c r="L494" s="961"/>
      <c r="M494" s="53">
        <f t="shared" si="90"/>
        <v>0</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0.06</v>
      </c>
      <c r="F495" s="961"/>
      <c r="G495" s="53">
        <f t="shared" si="87"/>
        <v>1</v>
      </c>
      <c r="H495" s="961"/>
      <c r="I495" s="53">
        <f t="shared" si="88"/>
        <v>1</v>
      </c>
      <c r="J495" s="961"/>
      <c r="K495" s="53">
        <f t="shared" si="89"/>
        <v>1</v>
      </c>
      <c r="L495" s="961"/>
      <c r="M495" s="53">
        <f t="shared" si="90"/>
        <v>0</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0.06</v>
      </c>
      <c r="F496" s="961"/>
      <c r="G496" s="53">
        <f t="shared" si="87"/>
        <v>1</v>
      </c>
      <c r="H496" s="961"/>
      <c r="I496" s="53">
        <f t="shared" si="88"/>
        <v>1</v>
      </c>
      <c r="J496" s="961"/>
      <c r="K496" s="53">
        <f t="shared" si="89"/>
        <v>1</v>
      </c>
      <c r="L496" s="961"/>
      <c r="M496" s="53">
        <f t="shared" si="90"/>
        <v>0</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0.06</v>
      </c>
      <c r="F497" s="961"/>
      <c r="G497" s="53">
        <f t="shared" si="87"/>
        <v>1</v>
      </c>
      <c r="H497" s="961"/>
      <c r="I497" s="53">
        <f t="shared" si="88"/>
        <v>1</v>
      </c>
      <c r="J497" s="961"/>
      <c r="K497" s="53">
        <f t="shared" si="89"/>
        <v>1</v>
      </c>
      <c r="L497" s="961"/>
      <c r="M497" s="53">
        <f t="shared" si="90"/>
        <v>0</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0.06</v>
      </c>
      <c r="F498" s="961"/>
      <c r="G498" s="53">
        <f t="shared" si="87"/>
        <v>1</v>
      </c>
      <c r="H498" s="961"/>
      <c r="I498" s="53">
        <f t="shared" si="88"/>
        <v>1</v>
      </c>
      <c r="J498" s="961"/>
      <c r="K498" s="53">
        <f t="shared" si="89"/>
        <v>1</v>
      </c>
      <c r="L498" s="961"/>
      <c r="M498" s="53">
        <f t="shared" si="90"/>
        <v>0</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0.06</v>
      </c>
      <c r="F499" s="961"/>
      <c r="G499" s="53">
        <f t="shared" si="87"/>
        <v>1</v>
      </c>
      <c r="H499" s="961"/>
      <c r="I499" s="53">
        <f t="shared" si="88"/>
        <v>1</v>
      </c>
      <c r="J499" s="961"/>
      <c r="K499" s="53">
        <f t="shared" si="89"/>
        <v>1</v>
      </c>
      <c r="L499" s="961"/>
      <c r="M499" s="53">
        <f t="shared" si="90"/>
        <v>0</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0.06</v>
      </c>
      <c r="F500" s="961"/>
      <c r="G500" s="53">
        <f t="shared" si="87"/>
        <v>1</v>
      </c>
      <c r="H500" s="961"/>
      <c r="I500" s="53">
        <f t="shared" si="88"/>
        <v>1</v>
      </c>
      <c r="J500" s="961"/>
      <c r="K500" s="53">
        <f t="shared" si="89"/>
        <v>1</v>
      </c>
      <c r="L500" s="961"/>
      <c r="M500" s="53">
        <f t="shared" si="90"/>
        <v>0</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0.06</v>
      </c>
      <c r="F501" s="961"/>
      <c r="G501" s="53">
        <f t="shared" si="87"/>
        <v>1</v>
      </c>
      <c r="H501" s="961"/>
      <c r="I501" s="53">
        <f t="shared" si="88"/>
        <v>1</v>
      </c>
      <c r="J501" s="961"/>
      <c r="K501" s="53">
        <f t="shared" si="89"/>
        <v>1</v>
      </c>
      <c r="L501" s="961"/>
      <c r="M501" s="53">
        <f t="shared" si="90"/>
        <v>0</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0.06</v>
      </c>
      <c r="F502" s="961"/>
      <c r="G502" s="53">
        <f t="shared" si="87"/>
        <v>1</v>
      </c>
      <c r="H502" s="961"/>
      <c r="I502" s="53">
        <f t="shared" si="88"/>
        <v>1</v>
      </c>
      <c r="J502" s="961"/>
      <c r="K502" s="53">
        <f t="shared" si="89"/>
        <v>1</v>
      </c>
      <c r="L502" s="961"/>
      <c r="M502" s="53">
        <f t="shared" si="90"/>
        <v>0</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0.06</v>
      </c>
      <c r="F503" s="961"/>
      <c r="G503" s="53">
        <f t="shared" si="87"/>
        <v>1</v>
      </c>
      <c r="H503" s="961"/>
      <c r="I503" s="53">
        <f t="shared" si="88"/>
        <v>1</v>
      </c>
      <c r="J503" s="961"/>
      <c r="K503" s="53">
        <f t="shared" si="89"/>
        <v>1</v>
      </c>
      <c r="L503" s="961"/>
      <c r="M503" s="53">
        <f t="shared" si="90"/>
        <v>0</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0.06</v>
      </c>
      <c r="F504" s="961"/>
      <c r="G504" s="53">
        <f t="shared" si="87"/>
        <v>1</v>
      </c>
      <c r="H504" s="961"/>
      <c r="I504" s="53">
        <f t="shared" si="88"/>
        <v>1</v>
      </c>
      <c r="J504" s="961"/>
      <c r="K504" s="53">
        <f t="shared" si="89"/>
        <v>1</v>
      </c>
      <c r="L504" s="961"/>
      <c r="M504" s="53">
        <f t="shared" si="90"/>
        <v>0</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0.06</v>
      </c>
      <c r="F505" s="961"/>
      <c r="G505" s="53">
        <f t="shared" si="87"/>
        <v>1</v>
      </c>
      <c r="H505" s="961"/>
      <c r="I505" s="53">
        <f t="shared" si="88"/>
        <v>1</v>
      </c>
      <c r="J505" s="961"/>
      <c r="K505" s="53">
        <f t="shared" si="89"/>
        <v>1</v>
      </c>
      <c r="L505" s="961"/>
      <c r="M505" s="53">
        <f t="shared" si="90"/>
        <v>0</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0.06</v>
      </c>
      <c r="F506" s="961"/>
      <c r="G506" s="53">
        <f t="shared" si="87"/>
        <v>1</v>
      </c>
      <c r="H506" s="961"/>
      <c r="I506" s="53">
        <f t="shared" si="88"/>
        <v>1</v>
      </c>
      <c r="J506" s="961"/>
      <c r="K506" s="53">
        <f t="shared" si="89"/>
        <v>1</v>
      </c>
      <c r="L506" s="961"/>
      <c r="M506" s="53">
        <f t="shared" si="90"/>
        <v>0</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0.06</v>
      </c>
      <c r="F507" s="961"/>
      <c r="G507" s="53">
        <f t="shared" si="87"/>
        <v>1</v>
      </c>
      <c r="H507" s="961"/>
      <c r="I507" s="53">
        <f t="shared" si="88"/>
        <v>1</v>
      </c>
      <c r="J507" s="961"/>
      <c r="K507" s="53">
        <f t="shared" si="89"/>
        <v>1</v>
      </c>
      <c r="L507" s="961"/>
      <c r="M507" s="53">
        <f t="shared" si="90"/>
        <v>0</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0.06</v>
      </c>
      <c r="F508" s="961"/>
      <c r="G508" s="53">
        <f t="shared" si="87"/>
        <v>1</v>
      </c>
      <c r="H508" s="961"/>
      <c r="I508" s="53">
        <f t="shared" si="88"/>
        <v>1</v>
      </c>
      <c r="J508" s="961"/>
      <c r="K508" s="53">
        <f t="shared" si="89"/>
        <v>1</v>
      </c>
      <c r="L508" s="961"/>
      <c r="M508" s="53">
        <f t="shared" si="90"/>
        <v>0</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0.06</v>
      </c>
      <c r="F509" s="961"/>
      <c r="G509" s="53">
        <f t="shared" si="87"/>
        <v>1</v>
      </c>
      <c r="H509" s="961"/>
      <c r="I509" s="53">
        <f t="shared" si="88"/>
        <v>1</v>
      </c>
      <c r="J509" s="961"/>
      <c r="K509" s="53">
        <f t="shared" si="89"/>
        <v>1</v>
      </c>
      <c r="L509" s="961"/>
      <c r="M509" s="53">
        <f t="shared" si="90"/>
        <v>0</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0.06</v>
      </c>
      <c r="F510" s="961"/>
      <c r="G510" s="53">
        <f t="shared" si="87"/>
        <v>1</v>
      </c>
      <c r="H510" s="961"/>
      <c r="I510" s="53">
        <f t="shared" si="88"/>
        <v>1</v>
      </c>
      <c r="J510" s="961"/>
      <c r="K510" s="53">
        <f t="shared" si="89"/>
        <v>1</v>
      </c>
      <c r="L510" s="961"/>
      <c r="M510" s="53">
        <f t="shared" si="90"/>
        <v>0</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0.06</v>
      </c>
      <c r="F511" s="961"/>
      <c r="G511" s="53">
        <f t="shared" si="87"/>
        <v>1</v>
      </c>
      <c r="H511" s="961"/>
      <c r="I511" s="53">
        <f t="shared" si="88"/>
        <v>1</v>
      </c>
      <c r="J511" s="961"/>
      <c r="K511" s="53">
        <f t="shared" si="89"/>
        <v>1</v>
      </c>
      <c r="L511" s="961"/>
      <c r="M511" s="53">
        <f t="shared" si="90"/>
        <v>0</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0.06</v>
      </c>
      <c r="F512" s="961"/>
      <c r="G512" s="53">
        <f t="shared" si="87"/>
        <v>1</v>
      </c>
      <c r="H512" s="961"/>
      <c r="I512" s="53">
        <f t="shared" si="88"/>
        <v>1</v>
      </c>
      <c r="J512" s="961"/>
      <c r="K512" s="53">
        <f t="shared" si="89"/>
        <v>1</v>
      </c>
      <c r="L512" s="961"/>
      <c r="M512" s="53">
        <f t="shared" si="90"/>
        <v>0</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0.06</v>
      </c>
      <c r="F513" s="961"/>
      <c r="G513" s="53">
        <f t="shared" si="87"/>
        <v>1</v>
      </c>
      <c r="H513" s="961"/>
      <c r="I513" s="53">
        <f t="shared" si="88"/>
        <v>1</v>
      </c>
      <c r="J513" s="961"/>
      <c r="K513" s="53">
        <f t="shared" si="89"/>
        <v>1</v>
      </c>
      <c r="L513" s="961"/>
      <c r="M513" s="53">
        <f t="shared" si="90"/>
        <v>0</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0.06</v>
      </c>
      <c r="F514" s="961"/>
      <c r="G514" s="53">
        <f t="shared" si="87"/>
        <v>1</v>
      </c>
      <c r="H514" s="961"/>
      <c r="I514" s="53">
        <f t="shared" si="88"/>
        <v>1</v>
      </c>
      <c r="J514" s="961"/>
      <c r="K514" s="53">
        <f t="shared" si="89"/>
        <v>1</v>
      </c>
      <c r="L514" s="961"/>
      <c r="M514" s="53">
        <f t="shared" si="90"/>
        <v>0</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0.06</v>
      </c>
      <c r="F515" s="961"/>
      <c r="G515" s="53">
        <f t="shared" si="87"/>
        <v>1</v>
      </c>
      <c r="H515" s="961"/>
      <c r="I515" s="53">
        <f t="shared" si="88"/>
        <v>1</v>
      </c>
      <c r="J515" s="961"/>
      <c r="K515" s="53">
        <f t="shared" si="89"/>
        <v>1</v>
      </c>
      <c r="L515" s="961"/>
      <c r="M515" s="53">
        <f t="shared" si="90"/>
        <v>0</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0.06</v>
      </c>
      <c r="F516" s="961"/>
      <c r="G516" s="53">
        <f t="shared" si="87"/>
        <v>1</v>
      </c>
      <c r="H516" s="961"/>
      <c r="I516" s="53">
        <f t="shared" si="88"/>
        <v>1</v>
      </c>
      <c r="J516" s="961"/>
      <c r="K516" s="53">
        <f t="shared" si="89"/>
        <v>1</v>
      </c>
      <c r="L516" s="961"/>
      <c r="M516" s="53">
        <f t="shared" si="90"/>
        <v>0</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0.06</v>
      </c>
      <c r="F517" s="961"/>
      <c r="G517" s="53">
        <f t="shared" si="87"/>
        <v>1</v>
      </c>
      <c r="H517" s="961"/>
      <c r="I517" s="53">
        <f t="shared" si="88"/>
        <v>1</v>
      </c>
      <c r="J517" s="961"/>
      <c r="K517" s="53">
        <f t="shared" si="89"/>
        <v>1</v>
      </c>
      <c r="L517" s="961"/>
      <c r="M517" s="53">
        <f t="shared" si="90"/>
        <v>0</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0.06</v>
      </c>
      <c r="F518" s="961"/>
      <c r="G518" s="53">
        <f t="shared" si="87"/>
        <v>1</v>
      </c>
      <c r="H518" s="961"/>
      <c r="I518" s="53">
        <f t="shared" si="88"/>
        <v>1</v>
      </c>
      <c r="J518" s="961"/>
      <c r="K518" s="53">
        <f t="shared" si="89"/>
        <v>1</v>
      </c>
      <c r="L518" s="961"/>
      <c r="M518" s="53">
        <f t="shared" si="90"/>
        <v>0</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0.06</v>
      </c>
      <c r="F519" s="961"/>
      <c r="G519" s="53">
        <f t="shared" si="87"/>
        <v>1</v>
      </c>
      <c r="H519" s="961"/>
      <c r="I519" s="53">
        <f t="shared" si="88"/>
        <v>1</v>
      </c>
      <c r="J519" s="961"/>
      <c r="K519" s="53">
        <f t="shared" si="89"/>
        <v>1</v>
      </c>
      <c r="L519" s="961"/>
      <c r="M519" s="53">
        <f t="shared" si="90"/>
        <v>0</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0.06</v>
      </c>
      <c r="F520" s="961"/>
      <c r="G520" s="53">
        <f t="shared" si="87"/>
        <v>1</v>
      </c>
      <c r="H520" s="961"/>
      <c r="I520" s="53">
        <f t="shared" si="88"/>
        <v>1</v>
      </c>
      <c r="J520" s="961"/>
      <c r="K520" s="53">
        <f t="shared" si="89"/>
        <v>1</v>
      </c>
      <c r="L520" s="961"/>
      <c r="M520" s="53">
        <f t="shared" si="90"/>
        <v>0</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0.06</v>
      </c>
      <c r="F521" s="961"/>
      <c r="G521" s="53">
        <f t="shared" si="87"/>
        <v>1</v>
      </c>
      <c r="H521" s="961"/>
      <c r="I521" s="53">
        <f t="shared" si="88"/>
        <v>1</v>
      </c>
      <c r="J521" s="961"/>
      <c r="K521" s="53">
        <f t="shared" si="89"/>
        <v>1</v>
      </c>
      <c r="L521" s="961"/>
      <c r="M521" s="53">
        <f t="shared" si="90"/>
        <v>0</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0.06</v>
      </c>
      <c r="F522" s="961"/>
      <c r="G522" s="53">
        <f t="shared" si="87"/>
        <v>1</v>
      </c>
      <c r="H522" s="961"/>
      <c r="I522" s="53">
        <f t="shared" si="88"/>
        <v>1</v>
      </c>
      <c r="J522" s="961"/>
      <c r="K522" s="53">
        <f t="shared" si="89"/>
        <v>1</v>
      </c>
      <c r="L522" s="961"/>
      <c r="M522" s="53">
        <f t="shared" si="90"/>
        <v>0</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0.06</v>
      </c>
      <c r="F523" s="961"/>
      <c r="G523" s="53">
        <f t="shared" si="87"/>
        <v>1</v>
      </c>
      <c r="H523" s="961"/>
      <c r="I523" s="53">
        <f t="shared" si="88"/>
        <v>1</v>
      </c>
      <c r="J523" s="961"/>
      <c r="K523" s="53">
        <f t="shared" si="89"/>
        <v>1</v>
      </c>
      <c r="L523" s="961"/>
      <c r="M523" s="53">
        <f t="shared" si="90"/>
        <v>0</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0.06</v>
      </c>
      <c r="F524" s="961"/>
      <c r="G524" s="53">
        <f t="shared" si="87"/>
        <v>1</v>
      </c>
      <c r="H524" s="961"/>
      <c r="I524" s="53">
        <f t="shared" si="88"/>
        <v>1</v>
      </c>
      <c r="J524" s="961"/>
      <c r="K524" s="53">
        <f t="shared" si="89"/>
        <v>1</v>
      </c>
      <c r="L524" s="961"/>
      <c r="M524" s="53">
        <f t="shared" si="90"/>
        <v>0</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F1" sqref="F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t="s">
        <v>2996</v>
      </c>
      <c r="E1" s="505"/>
      <c r="F1" s="2643" t="s">
        <v>3283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11647.55</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532" t="s">
        <v>522</v>
      </c>
      <c r="D4" s="3533"/>
      <c r="E4" s="3556" t="s">
        <v>523</v>
      </c>
      <c r="F4" s="3557"/>
      <c r="G4" s="3532" t="s">
        <v>524</v>
      </c>
      <c r="H4" s="3533"/>
      <c r="I4" s="3532" t="s">
        <v>525</v>
      </c>
      <c r="J4" s="3533"/>
      <c r="K4" s="513" t="s">
        <v>526</v>
      </c>
      <c r="L4" s="2115"/>
      <c r="M4" s="2116"/>
      <c r="N4" s="2116"/>
      <c r="O4" s="2116"/>
      <c r="P4" s="3534" t="s">
        <v>527</v>
      </c>
      <c r="Q4" s="3535"/>
      <c r="R4" s="3520" t="s">
        <v>523</v>
      </c>
      <c r="S4" s="3521"/>
      <c r="T4" s="3520" t="s">
        <v>524</v>
      </c>
      <c r="U4" s="3521"/>
      <c r="V4" s="3540" t="s">
        <v>525</v>
      </c>
      <c r="W4" s="3540"/>
      <c r="X4" s="1550"/>
      <c r="Y4" s="3520" t="s">
        <v>527</v>
      </c>
      <c r="Z4" s="3521"/>
      <c r="AA4" s="3515" t="s">
        <v>523</v>
      </c>
      <c r="AB4" s="3540" t="s">
        <v>524</v>
      </c>
      <c r="AC4" s="3515" t="s">
        <v>525</v>
      </c>
    </row>
    <row r="5" spans="1:29" ht="15">
      <c r="A5" s="514"/>
      <c r="B5" s="515"/>
      <c r="C5" s="3543" t="s">
        <v>2919</v>
      </c>
      <c r="D5" s="3544"/>
      <c r="E5" s="3558" t="s">
        <v>2920</v>
      </c>
      <c r="F5" s="3559"/>
      <c r="G5" s="3543" t="s">
        <v>2921</v>
      </c>
      <c r="H5" s="3544"/>
      <c r="I5" s="3543" t="s">
        <v>2922</v>
      </c>
      <c r="J5" s="3544"/>
      <c r="K5" s="513"/>
      <c r="L5" s="2115"/>
      <c r="M5" s="2116"/>
      <c r="N5" s="2116"/>
      <c r="O5" s="2116"/>
      <c r="P5" s="3536"/>
      <c r="Q5" s="3537"/>
      <c r="R5" s="3522"/>
      <c r="S5" s="3523"/>
      <c r="T5" s="3522"/>
      <c r="U5" s="3523"/>
      <c r="V5" s="3540"/>
      <c r="W5" s="3540"/>
      <c r="X5" s="1550"/>
      <c r="Y5" s="3522"/>
      <c r="Z5" s="3523"/>
      <c r="AA5" s="3516"/>
      <c r="AB5" s="3540"/>
      <c r="AC5" s="3516"/>
    </row>
    <row r="6" spans="1:29" ht="15.75" thickBot="1">
      <c r="A6" s="516"/>
      <c r="B6" s="517"/>
      <c r="C6" s="3541" t="s">
        <v>2923</v>
      </c>
      <c r="D6" s="3542"/>
      <c r="E6" s="3560" t="s">
        <v>2923</v>
      </c>
      <c r="F6" s="3561"/>
      <c r="G6" s="3541" t="s">
        <v>2923</v>
      </c>
      <c r="H6" s="3542"/>
      <c r="I6" s="3541" t="s">
        <v>2923</v>
      </c>
      <c r="J6" s="3542"/>
      <c r="K6" s="513" t="s">
        <v>528</v>
      </c>
      <c r="L6" s="2115"/>
      <c r="M6" s="2116"/>
      <c r="N6" s="2116"/>
      <c r="O6" s="2116"/>
      <c r="P6" s="3538"/>
      <c r="Q6" s="3539"/>
      <c r="R6" s="3522"/>
      <c r="S6" s="3523"/>
      <c r="T6" s="3524"/>
      <c r="U6" s="3525"/>
      <c r="V6" s="3540"/>
      <c r="W6" s="3540"/>
      <c r="X6" s="1550"/>
      <c r="Y6" s="3524"/>
      <c r="Z6" s="3525"/>
      <c r="AA6" s="3517"/>
      <c r="AB6" s="3540"/>
      <c r="AC6" s="3517"/>
    </row>
    <row r="7" spans="1:29" s="1214" customFormat="1" ht="15.75" thickBot="1">
      <c r="A7" s="2748"/>
      <c r="B7" s="2755" t="s">
        <v>529</v>
      </c>
      <c r="C7" s="518">
        <f>'数据-取费表'!B2</f>
        <v>44050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518" t="s">
        <v>530</v>
      </c>
      <c r="Q7" s="3527"/>
      <c r="R7" s="1551" t="s">
        <v>8</v>
      </c>
      <c r="S7" s="1552">
        <f t="shared" ref="S7:S15" si="0">F7</f>
        <v>0</v>
      </c>
      <c r="T7" s="1551" t="s">
        <v>8</v>
      </c>
      <c r="U7" s="1552">
        <f t="shared" ref="U7:U15" si="1">H7</f>
        <v>0</v>
      </c>
      <c r="V7" s="1551" t="s">
        <v>8</v>
      </c>
      <c r="W7" s="1552">
        <f t="shared" ref="W7:W15" si="2">J7</f>
        <v>0</v>
      </c>
      <c r="X7" s="1553"/>
      <c r="Y7" s="3518" t="s">
        <v>530</v>
      </c>
      <c r="Z7" s="3519"/>
      <c r="AA7" s="1554" t="e">
        <f>D7/F7</f>
        <v>#DIV/0!</v>
      </c>
      <c r="AB7" s="1554" t="e">
        <f>D7/H7</f>
        <v>#DIV/0!</v>
      </c>
      <c r="AC7" s="1554" t="e">
        <f>D7/J7</f>
        <v>#DIV/0!</v>
      </c>
    </row>
    <row r="8" spans="1:29" s="1214" customFormat="1" ht="15.75" thickBot="1">
      <c r="A8" s="2749"/>
      <c r="B8" s="2756"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518" t="s">
        <v>533</v>
      </c>
      <c r="Q8" s="3519"/>
      <c r="R8" s="1551" t="s">
        <v>8</v>
      </c>
      <c r="S8" s="1552">
        <f t="shared" si="0"/>
        <v>0</v>
      </c>
      <c r="T8" s="1551" t="s">
        <v>8</v>
      </c>
      <c r="U8" s="1552">
        <f t="shared" si="1"/>
        <v>0</v>
      </c>
      <c r="V8" s="1551" t="s">
        <v>8</v>
      </c>
      <c r="W8" s="1552">
        <f t="shared" si="2"/>
        <v>0</v>
      </c>
      <c r="X8" s="1553"/>
      <c r="Y8" s="3518" t="s">
        <v>533</v>
      </c>
      <c r="Z8" s="3519"/>
      <c r="AA8" s="1554" t="e">
        <f t="shared" ref="AA8:AA46" si="3">D8/F8</f>
        <v>#DIV/0!</v>
      </c>
      <c r="AB8" s="1554" t="e">
        <f t="shared" ref="AB8:AB46" si="4">D8/H8</f>
        <v>#DIV/0!</v>
      </c>
      <c r="AC8" s="1554" t="e">
        <f t="shared" ref="AC8:AC46" si="5">D8/J8</f>
        <v>#DIV/0!</v>
      </c>
    </row>
    <row r="9" spans="1:29" s="1214" customFormat="1" ht="15">
      <c r="A9" s="2750"/>
      <c r="B9" s="2757" t="s">
        <v>2746</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526" t="s">
        <v>535</v>
      </c>
      <c r="Q9" s="1145" t="str">
        <f t="shared" ref="Q9:Q15" si="6">B9</f>
        <v>用途</v>
      </c>
      <c r="R9" s="1551" t="s">
        <v>8</v>
      </c>
      <c r="S9" s="1552">
        <f t="shared" si="0"/>
        <v>100</v>
      </c>
      <c r="T9" s="1551" t="s">
        <v>8</v>
      </c>
      <c r="U9" s="1552">
        <f t="shared" si="1"/>
        <v>100</v>
      </c>
      <c r="V9" s="1551" t="s">
        <v>8</v>
      </c>
      <c r="W9" s="1552">
        <f t="shared" si="2"/>
        <v>100</v>
      </c>
      <c r="X9" s="1553"/>
      <c r="Y9" s="3480"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526"/>
      <c r="Q11" s="1145" t="str">
        <f t="shared" si="6"/>
        <v>容积率</v>
      </c>
      <c r="R11" s="1551" t="s">
        <v>8</v>
      </c>
      <c r="S11" s="1552" t="e">
        <f t="shared" si="0"/>
        <v>#N/A</v>
      </c>
      <c r="T11" s="1551" t="s">
        <v>8</v>
      </c>
      <c r="U11" s="1552" t="e">
        <f t="shared" si="1"/>
        <v>#N/A</v>
      </c>
      <c r="V11" s="1551" t="s">
        <v>8</v>
      </c>
      <c r="W11" s="1552" t="e">
        <f t="shared" si="2"/>
        <v>#N/A</v>
      </c>
      <c r="X11" s="1553"/>
      <c r="Y11" s="3480"/>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526"/>
      <c r="Q12" s="1145">
        <f t="shared" si="6"/>
        <v>111</v>
      </c>
      <c r="R12" s="1551" t="s">
        <v>8</v>
      </c>
      <c r="S12" s="1552">
        <f t="shared" si="0"/>
        <v>100</v>
      </c>
      <c r="T12" s="1551" t="s">
        <v>8</v>
      </c>
      <c r="U12" s="1552">
        <f t="shared" si="1"/>
        <v>100</v>
      </c>
      <c r="V12" s="1551" t="s">
        <v>8</v>
      </c>
      <c r="W12" s="1552">
        <f t="shared" si="2"/>
        <v>100</v>
      </c>
      <c r="X12" s="1553"/>
      <c r="Y12" s="3480"/>
      <c r="Z12" s="1144">
        <f t="shared" si="7"/>
        <v>111</v>
      </c>
      <c r="AA12" s="1554">
        <f>D12/F12</f>
        <v>1</v>
      </c>
      <c r="AB12" s="1554">
        <f>D12/H12</f>
        <v>1</v>
      </c>
      <c r="AC12" s="1554">
        <f>D12/J12</f>
        <v>1</v>
      </c>
    </row>
    <row r="13" spans="1:29" ht="15">
      <c r="A13" s="2753"/>
      <c r="B13" s="2759">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526"/>
      <c r="Q13" s="1145">
        <f t="shared" si="6"/>
        <v>111</v>
      </c>
      <c r="R13" s="1551" t="s">
        <v>8</v>
      </c>
      <c r="S13" s="1552">
        <f t="shared" si="0"/>
        <v>100</v>
      </c>
      <c r="T13" s="1551" t="s">
        <v>8</v>
      </c>
      <c r="U13" s="1552">
        <f t="shared" si="1"/>
        <v>100</v>
      </c>
      <c r="V13" s="1551" t="s">
        <v>8</v>
      </c>
      <c r="W13" s="1552">
        <f t="shared" si="2"/>
        <v>100</v>
      </c>
      <c r="X13" s="1553"/>
      <c r="Y13" s="3480"/>
      <c r="Z13" s="1144">
        <f t="shared" si="7"/>
        <v>111</v>
      </c>
      <c r="AA13" s="1554">
        <f t="shared" si="3"/>
        <v>1</v>
      </c>
      <c r="AB13" s="1554">
        <f t="shared" si="4"/>
        <v>1</v>
      </c>
      <c r="AC13" s="1554">
        <f t="shared" si="5"/>
        <v>1</v>
      </c>
    </row>
    <row r="14" spans="1:29" ht="15.75" thickBot="1">
      <c r="A14" s="2754"/>
      <c r="B14" s="2760">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526"/>
      <c r="Q14" s="1145">
        <f t="shared" si="6"/>
        <v>111</v>
      </c>
      <c r="R14" s="1551" t="s">
        <v>8</v>
      </c>
      <c r="S14" s="1552">
        <f t="shared" si="0"/>
        <v>100</v>
      </c>
      <c r="T14" s="1551" t="s">
        <v>8</v>
      </c>
      <c r="U14" s="1552">
        <f t="shared" si="1"/>
        <v>100</v>
      </c>
      <c r="V14" s="1551" t="s">
        <v>8</v>
      </c>
      <c r="W14" s="1552">
        <f t="shared" si="2"/>
        <v>100</v>
      </c>
      <c r="X14" s="1553"/>
      <c r="Y14" s="3480"/>
      <c r="Z14" s="1144">
        <f t="shared" si="7"/>
        <v>111</v>
      </c>
      <c r="AA14" s="1554">
        <f t="shared" si="3"/>
        <v>1</v>
      </c>
      <c r="AB14" s="1554">
        <f t="shared" si="4"/>
        <v>1</v>
      </c>
      <c r="AC14" s="1554">
        <f t="shared" si="5"/>
        <v>1</v>
      </c>
    </row>
    <row r="15" spans="1:29" ht="71.25">
      <c r="A15" s="2746" t="s">
        <v>2744</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528" t="s">
        <v>540</v>
      </c>
      <c r="Q15" s="1555" t="str">
        <f t="shared" si="6"/>
        <v>商业繁华度</v>
      </c>
      <c r="R15" s="1556" t="s">
        <v>8</v>
      </c>
      <c r="S15" s="1557">
        <f t="shared" si="0"/>
        <v>100</v>
      </c>
      <c r="T15" s="1556" t="s">
        <v>8</v>
      </c>
      <c r="U15" s="1557">
        <f t="shared" si="1"/>
        <v>100</v>
      </c>
      <c r="V15" s="1556" t="s">
        <v>8</v>
      </c>
      <c r="W15" s="1557">
        <f t="shared" si="2"/>
        <v>100</v>
      </c>
      <c r="X15" s="1550"/>
      <c r="Y15" s="3528"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8"/>
      <c r="L16" s="2124"/>
      <c r="M16" s="2116"/>
      <c r="N16" s="2116"/>
      <c r="O16" s="2123"/>
      <c r="P16" s="3529"/>
      <c r="Q16" s="1555"/>
      <c r="R16" s="1556"/>
      <c r="S16" s="1557"/>
      <c r="T16" s="1556"/>
      <c r="U16" s="1557"/>
      <c r="V16" s="1556"/>
      <c r="W16" s="1557"/>
      <c r="X16" s="1550"/>
      <c r="Y16" s="3529"/>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529"/>
      <c r="Q17" s="1555" t="str">
        <f>B17</f>
        <v>交通便捷度</v>
      </c>
      <c r="R17" s="1556" t="s">
        <v>8</v>
      </c>
      <c r="S17" s="1557">
        <f>F17</f>
        <v>100</v>
      </c>
      <c r="T17" s="1556" t="s">
        <v>8</v>
      </c>
      <c r="U17" s="1557">
        <f>H17</f>
        <v>100</v>
      </c>
      <c r="V17" s="1556" t="s">
        <v>8</v>
      </c>
      <c r="W17" s="1557">
        <f>J17</f>
        <v>100</v>
      </c>
      <c r="X17" s="1550"/>
      <c r="Y17" s="352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8"/>
      <c r="L18" s="2124"/>
      <c r="M18" s="2116"/>
      <c r="N18" s="2116"/>
      <c r="O18" s="2123"/>
      <c r="P18" s="3529"/>
      <c r="Q18" s="1555"/>
      <c r="R18" s="1556"/>
      <c r="S18" s="1557"/>
      <c r="T18" s="1556"/>
      <c r="U18" s="1557"/>
      <c r="V18" s="1556"/>
      <c r="W18" s="1557"/>
      <c r="X18" s="1550"/>
      <c r="Y18" s="3529"/>
      <c r="Z18" s="1558"/>
      <c r="AA18" s="1559">
        <v>1</v>
      </c>
      <c r="AB18" s="1559">
        <v>1</v>
      </c>
      <c r="AC18" s="1559">
        <v>1</v>
      </c>
    </row>
    <row r="19" spans="1:29" ht="42.75">
      <c r="A19" s="531"/>
      <c r="B19" s="2561" t="s">
        <v>2537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529"/>
      <c r="Q19" s="1555" t="str">
        <f>B19</f>
        <v>公共配套设施</v>
      </c>
      <c r="R19" s="1556" t="s">
        <v>8</v>
      </c>
      <c r="S19" s="1557">
        <f>F19</f>
        <v>100</v>
      </c>
      <c r="T19" s="1556" t="s">
        <v>8</v>
      </c>
      <c r="U19" s="1557">
        <f>H19</f>
        <v>100</v>
      </c>
      <c r="V19" s="1556" t="s">
        <v>8</v>
      </c>
      <c r="W19" s="1557">
        <f>J19</f>
        <v>100</v>
      </c>
      <c r="X19" s="1550"/>
      <c r="Y19" s="3529"/>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8"/>
      <c r="L20" s="2124"/>
      <c r="M20" s="2116"/>
      <c r="N20" s="2116"/>
      <c r="O20" s="2123"/>
      <c r="P20" s="3529"/>
      <c r="Q20" s="1555"/>
      <c r="R20" s="1556"/>
      <c r="S20" s="1557"/>
      <c r="T20" s="1556"/>
      <c r="U20" s="1557"/>
      <c r="V20" s="1556"/>
      <c r="W20" s="1557"/>
      <c r="X20" s="1550"/>
      <c r="Y20" s="3529"/>
      <c r="Z20" s="1558"/>
      <c r="AA20" s="1559">
        <v>1</v>
      </c>
      <c r="AB20" s="1559">
        <v>1</v>
      </c>
      <c r="AC20" s="1559">
        <v>1</v>
      </c>
    </row>
    <row r="21" spans="1:29" ht="28.5">
      <c r="A21" s="531"/>
      <c r="B21" s="2554"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529"/>
      <c r="Q21" s="2540" t="str">
        <f>B21</f>
        <v>基础设施水平</v>
      </c>
      <c r="R21" s="1556" t="s">
        <v>8</v>
      </c>
      <c r="S21" s="1557">
        <f>F21</f>
        <v>100</v>
      </c>
      <c r="T21" s="1556" t="s">
        <v>8</v>
      </c>
      <c r="U21" s="1557">
        <f>H21</f>
        <v>100</v>
      </c>
      <c r="V21" s="1556" t="s">
        <v>8</v>
      </c>
      <c r="W21" s="1557">
        <f>J21</f>
        <v>100</v>
      </c>
      <c r="X21" s="2542"/>
      <c r="Y21" s="3529"/>
      <c r="Z21" s="2541" t="str">
        <f>Q21</f>
        <v>基础设施水平</v>
      </c>
      <c r="AA21" s="1559">
        <f t="shared" ref="AA21" si="8">D21/F21</f>
        <v>1</v>
      </c>
      <c r="AB21" s="1559">
        <f t="shared" ref="AB21" si="9">D21/H21</f>
        <v>1</v>
      </c>
      <c r="AC21" s="1559">
        <f t="shared" ref="AC21" si="10">D21/J21</f>
        <v>1</v>
      </c>
    </row>
    <row r="22" spans="1:29" ht="15">
      <c r="A22" s="531"/>
      <c r="B22" s="921"/>
      <c r="C22" s="872"/>
      <c r="D22" s="554"/>
      <c r="E22" s="575"/>
      <c r="F22" s="556"/>
      <c r="G22" s="575"/>
      <c r="H22" s="554"/>
      <c r="I22" s="575"/>
      <c r="J22" s="554"/>
      <c r="K22" s="2563"/>
      <c r="L22" s="2124"/>
      <c r="M22" s="2116"/>
      <c r="N22" s="2116"/>
      <c r="O22" s="2123"/>
      <c r="P22" s="3529"/>
      <c r="Q22" s="2540"/>
      <c r="R22" s="1556"/>
      <c r="S22" s="1557"/>
      <c r="T22" s="1556"/>
      <c r="U22" s="1557"/>
      <c r="V22" s="1556"/>
      <c r="W22" s="1557"/>
      <c r="X22" s="2542"/>
      <c r="Y22" s="3529"/>
      <c r="Z22" s="2541"/>
      <c r="AA22" s="1559">
        <v>1</v>
      </c>
      <c r="AB22" s="1559">
        <v>1</v>
      </c>
      <c r="AC22" s="1559">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529"/>
      <c r="Q23" s="1555" t="str">
        <f>B23</f>
        <v>自然及人文环境</v>
      </c>
      <c r="R23" s="1556" t="s">
        <v>8</v>
      </c>
      <c r="S23" s="1557">
        <f>F23</f>
        <v>100</v>
      </c>
      <c r="T23" s="1556" t="s">
        <v>8</v>
      </c>
      <c r="U23" s="1557">
        <f>H23</f>
        <v>100</v>
      </c>
      <c r="V23" s="1556" t="s">
        <v>8</v>
      </c>
      <c r="W23" s="1557">
        <f>J23</f>
        <v>100</v>
      </c>
      <c r="X23" s="1550"/>
      <c r="Y23" s="3529"/>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8"/>
      <c r="L24" s="2124"/>
      <c r="M24" s="2116"/>
      <c r="N24" s="2116"/>
      <c r="O24" s="2123"/>
      <c r="P24" s="3529"/>
      <c r="Q24" s="1555"/>
      <c r="R24" s="1556"/>
      <c r="S24" s="1557"/>
      <c r="T24" s="1556"/>
      <c r="U24" s="1557"/>
      <c r="V24" s="1556"/>
      <c r="W24" s="1557"/>
      <c r="X24" s="1550"/>
      <c r="Y24" s="3529"/>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529"/>
      <c r="Q25" s="1555" t="str">
        <f t="shared" ref="Q25:Q46" si="11">B25</f>
        <v>临街状况</v>
      </c>
      <c r="R25" s="1556" t="s">
        <v>8</v>
      </c>
      <c r="S25" s="1557">
        <f>F25</f>
        <v>100</v>
      </c>
      <c r="T25" s="1556" t="s">
        <v>8</v>
      </c>
      <c r="U25" s="1557">
        <f>H25</f>
        <v>100</v>
      </c>
      <c r="V25" s="1556" t="s">
        <v>8</v>
      </c>
      <c r="W25" s="1557">
        <f>J25</f>
        <v>100</v>
      </c>
      <c r="X25" s="1550"/>
      <c r="Y25" s="3529"/>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529"/>
      <c r="Q26" s="1555" t="str">
        <f t="shared" si="11"/>
        <v>平面位置/可视性</v>
      </c>
      <c r="R26" s="1556" t="s">
        <v>8</v>
      </c>
      <c r="S26" s="1557">
        <f>F26</f>
        <v>100</v>
      </c>
      <c r="T26" s="1556" t="s">
        <v>8</v>
      </c>
      <c r="U26" s="1557">
        <f>H26</f>
        <v>100</v>
      </c>
      <c r="V26" s="1556" t="s">
        <v>8</v>
      </c>
      <c r="W26" s="1557">
        <f>J26</f>
        <v>100</v>
      </c>
      <c r="X26" s="1550"/>
      <c r="Y26" s="3529"/>
      <c r="Z26" s="1558" t="str">
        <f>Q26</f>
        <v>平面位置/可视性</v>
      </c>
      <c r="AA26" s="1559">
        <f t="shared" si="3"/>
        <v>1</v>
      </c>
      <c r="AB26" s="1559">
        <f t="shared" si="4"/>
        <v>1</v>
      </c>
      <c r="AC26" s="1559">
        <f t="shared" si="5"/>
        <v>1</v>
      </c>
    </row>
    <row r="27" spans="1:29" s="1214"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529"/>
      <c r="Q27" s="1145" t="str">
        <f t="shared" si="11"/>
        <v>人流量</v>
      </c>
      <c r="R27" s="1551" t="s">
        <v>8</v>
      </c>
      <c r="S27" s="1552">
        <f>F27</f>
        <v>100</v>
      </c>
      <c r="T27" s="1551" t="s">
        <v>8</v>
      </c>
      <c r="U27" s="1552">
        <f>H27</f>
        <v>100</v>
      </c>
      <c r="V27" s="1551" t="s">
        <v>8</v>
      </c>
      <c r="W27" s="1552">
        <f>J27</f>
        <v>100</v>
      </c>
      <c r="X27" s="1553"/>
      <c r="Y27" s="3529"/>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52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29"/>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529"/>
      <c r="Q29" s="1555">
        <f t="shared" si="11"/>
        <v>111</v>
      </c>
      <c r="R29" s="1556" t="s">
        <v>8</v>
      </c>
      <c r="S29" s="1557">
        <f t="shared" si="12"/>
        <v>100</v>
      </c>
      <c r="T29" s="1556" t="s">
        <v>8</v>
      </c>
      <c r="U29" s="1557">
        <f t="shared" si="13"/>
        <v>100</v>
      </c>
      <c r="V29" s="1556" t="s">
        <v>8</v>
      </c>
      <c r="W29" s="1557">
        <f t="shared" si="14"/>
        <v>100</v>
      </c>
      <c r="X29" s="1550"/>
      <c r="Y29" s="3529"/>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529"/>
      <c r="Q30" s="1555">
        <f t="shared" si="11"/>
        <v>111</v>
      </c>
      <c r="R30" s="1556" t="s">
        <v>8</v>
      </c>
      <c r="S30" s="1557">
        <f t="shared" si="12"/>
        <v>100</v>
      </c>
      <c r="T30" s="1556" t="s">
        <v>8</v>
      </c>
      <c r="U30" s="1557">
        <f t="shared" si="13"/>
        <v>100</v>
      </c>
      <c r="V30" s="1556" t="s">
        <v>8</v>
      </c>
      <c r="W30" s="1557">
        <f t="shared" si="14"/>
        <v>100</v>
      </c>
      <c r="X30" s="1550"/>
      <c r="Y30" s="3529"/>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529"/>
      <c r="Q31" s="1555">
        <f t="shared" si="11"/>
        <v>111</v>
      </c>
      <c r="R31" s="1556" t="s">
        <v>8</v>
      </c>
      <c r="S31" s="1557">
        <f t="shared" si="12"/>
        <v>100</v>
      </c>
      <c r="T31" s="1556" t="s">
        <v>8</v>
      </c>
      <c r="U31" s="1557">
        <f t="shared" si="13"/>
        <v>100</v>
      </c>
      <c r="V31" s="1556" t="s">
        <v>8</v>
      </c>
      <c r="W31" s="1557">
        <f t="shared" si="14"/>
        <v>100</v>
      </c>
      <c r="X31" s="1550"/>
      <c r="Y31" s="3529"/>
      <c r="Z31" s="1558">
        <f t="shared" si="15"/>
        <v>111</v>
      </c>
      <c r="AA31" s="1559">
        <f t="shared" si="3"/>
        <v>1</v>
      </c>
      <c r="AB31" s="1559">
        <f t="shared" si="4"/>
        <v>1</v>
      </c>
      <c r="AC31" s="1559">
        <f t="shared" si="5"/>
        <v>1</v>
      </c>
    </row>
    <row r="32" spans="1:29" ht="15">
      <c r="A32" s="2743" t="s">
        <v>2745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530" t="s">
        <v>550</v>
      </c>
      <c r="Q32" s="1555" t="str">
        <f t="shared" si="11"/>
        <v>商业类型</v>
      </c>
      <c r="R32" s="1556" t="s">
        <v>8</v>
      </c>
      <c r="S32" s="1557">
        <f t="shared" si="12"/>
        <v>100</v>
      </c>
      <c r="T32" s="1556" t="s">
        <v>8</v>
      </c>
      <c r="U32" s="1557">
        <f t="shared" si="13"/>
        <v>100</v>
      </c>
      <c r="V32" s="1556" t="s">
        <v>8</v>
      </c>
      <c r="W32" s="1557">
        <f t="shared" si="14"/>
        <v>100</v>
      </c>
      <c r="X32" s="1550"/>
      <c r="Y32" s="3531" t="s">
        <v>550</v>
      </c>
      <c r="Z32" s="1558" t="str">
        <f t="shared" si="15"/>
        <v>商业类型</v>
      </c>
      <c r="AA32" s="1559">
        <f t="shared" si="3"/>
        <v>1</v>
      </c>
      <c r="AB32" s="1559">
        <f t="shared" si="4"/>
        <v>1</v>
      </c>
      <c r="AC32" s="1559">
        <f t="shared" si="5"/>
        <v>1</v>
      </c>
    </row>
    <row r="33" spans="1:29" s="1333"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531"/>
      <c r="Q33" s="1587" t="str">
        <f t="shared" si="11"/>
        <v>项目建筑规模</v>
      </c>
      <c r="R33" s="1560" t="s">
        <v>8</v>
      </c>
      <c r="S33" s="1561" t="e">
        <f t="shared" si="12"/>
        <v>#N/A</v>
      </c>
      <c r="T33" s="1560" t="s">
        <v>8</v>
      </c>
      <c r="U33" s="1561" t="e">
        <f t="shared" si="13"/>
        <v>#N/A</v>
      </c>
      <c r="V33" s="1560" t="s">
        <v>8</v>
      </c>
      <c r="W33" s="1561" t="e">
        <f t="shared" si="14"/>
        <v>#N/A</v>
      </c>
      <c r="X33" s="1562"/>
      <c r="Y33" s="3531"/>
      <c r="Z33" s="1563" t="str">
        <f t="shared" si="15"/>
        <v>项目建筑规模</v>
      </c>
      <c r="AA33" s="1559" t="e">
        <f t="shared" si="3"/>
        <v>#N/A</v>
      </c>
      <c r="AB33" s="1559" t="e">
        <f t="shared" si="4"/>
        <v>#N/A</v>
      </c>
      <c r="AC33" s="1559"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531"/>
      <c r="Q34" s="1555" t="str">
        <f t="shared" si="11"/>
        <v>建筑结构</v>
      </c>
      <c r="R34" s="1556" t="s">
        <v>8</v>
      </c>
      <c r="S34" s="1557">
        <f t="shared" si="12"/>
        <v>100</v>
      </c>
      <c r="T34" s="1556" t="s">
        <v>8</v>
      </c>
      <c r="U34" s="1557">
        <f t="shared" si="13"/>
        <v>100</v>
      </c>
      <c r="V34" s="1556" t="s">
        <v>8</v>
      </c>
      <c r="W34" s="1557">
        <f t="shared" si="14"/>
        <v>100</v>
      </c>
      <c r="X34" s="1550"/>
      <c r="Y34" s="3531"/>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531"/>
      <c r="Q35" s="1555" t="str">
        <f t="shared" si="11"/>
        <v>公共部分装修</v>
      </c>
      <c r="R35" s="1556" t="s">
        <v>8</v>
      </c>
      <c r="S35" s="1557">
        <f t="shared" si="12"/>
        <v>100</v>
      </c>
      <c r="T35" s="1556" t="s">
        <v>8</v>
      </c>
      <c r="U35" s="1557">
        <f t="shared" si="13"/>
        <v>100</v>
      </c>
      <c r="V35" s="1556" t="s">
        <v>8</v>
      </c>
      <c r="W35" s="1557">
        <f t="shared" si="14"/>
        <v>100</v>
      </c>
      <c r="X35" s="1550"/>
      <c r="Y35" s="3531"/>
      <c r="Z35" s="1558" t="str">
        <f t="shared" si="15"/>
        <v>公共部分装修</v>
      </c>
      <c r="AA35" s="1559">
        <f t="shared" si="3"/>
        <v>1</v>
      </c>
      <c r="AB35" s="1559">
        <f t="shared" si="4"/>
        <v>1</v>
      </c>
      <c r="AC35" s="1559">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531"/>
      <c r="Q36" s="1555" t="str">
        <f t="shared" si="11"/>
        <v>成新度</v>
      </c>
      <c r="R36" s="1556" t="s">
        <v>8</v>
      </c>
      <c r="S36" s="1557" t="e">
        <f t="shared" si="12"/>
        <v>#N/A</v>
      </c>
      <c r="T36" s="1556" t="s">
        <v>8</v>
      </c>
      <c r="U36" s="1557" t="e">
        <f t="shared" si="13"/>
        <v>#N/A</v>
      </c>
      <c r="V36" s="1556" t="s">
        <v>8</v>
      </c>
      <c r="W36" s="1557" t="e">
        <f t="shared" si="14"/>
        <v>#N/A</v>
      </c>
      <c r="X36" s="1550"/>
      <c r="Y36" s="3531"/>
      <c r="Z36" s="1558" t="str">
        <f t="shared" si="15"/>
        <v>成新度</v>
      </c>
      <c r="AA36" s="1559" t="e">
        <f t="shared" si="3"/>
        <v>#N/A</v>
      </c>
      <c r="AB36" s="1559" t="e">
        <f t="shared" si="4"/>
        <v>#N/A</v>
      </c>
      <c r="AC36" s="1559" t="e">
        <f t="shared" si="5"/>
        <v>#N/A</v>
      </c>
    </row>
    <row r="37" spans="1:29" s="1214" customFormat="1" ht="15">
      <c r="A37" s="599"/>
      <c r="B37" s="1877" t="s">
        <v>2556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531"/>
      <c r="Q37" s="1145" t="str">
        <f t="shared" si="11"/>
        <v>市政基础设施</v>
      </c>
      <c r="R37" s="1551" t="s">
        <v>8</v>
      </c>
      <c r="S37" s="1552">
        <f t="shared" si="12"/>
        <v>100</v>
      </c>
      <c r="T37" s="1551" t="s">
        <v>8</v>
      </c>
      <c r="U37" s="1552">
        <f t="shared" si="13"/>
        <v>100</v>
      </c>
      <c r="V37" s="1551" t="s">
        <v>8</v>
      </c>
      <c r="W37" s="1552">
        <f t="shared" si="14"/>
        <v>100</v>
      </c>
      <c r="X37" s="1553"/>
      <c r="Y37" s="3531"/>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531" t="s">
        <v>766</v>
      </c>
      <c r="Q38" s="1555" t="str">
        <f t="shared" si="11"/>
        <v>业态</v>
      </c>
      <c r="R38" s="1556" t="s">
        <v>8</v>
      </c>
      <c r="S38" s="1557">
        <f t="shared" si="12"/>
        <v>100</v>
      </c>
      <c r="T38" s="1556" t="s">
        <v>8</v>
      </c>
      <c r="U38" s="1557">
        <f t="shared" si="13"/>
        <v>100</v>
      </c>
      <c r="V38" s="1556" t="s">
        <v>8</v>
      </c>
      <c r="W38" s="1557">
        <f t="shared" si="14"/>
        <v>100</v>
      </c>
      <c r="X38" s="1550"/>
      <c r="Y38" s="3531"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31"/>
      <c r="Q39" s="1555" t="str">
        <f t="shared" si="11"/>
        <v>层高</v>
      </c>
      <c r="R39" s="1556" t="s">
        <v>8</v>
      </c>
      <c r="S39" s="1557">
        <f t="shared" si="12"/>
        <v>100</v>
      </c>
      <c r="T39" s="1556" t="s">
        <v>8</v>
      </c>
      <c r="U39" s="1557">
        <f t="shared" si="13"/>
        <v>100</v>
      </c>
      <c r="V39" s="1556" t="s">
        <v>8</v>
      </c>
      <c r="W39" s="1557">
        <f t="shared" si="14"/>
        <v>100</v>
      </c>
      <c r="X39" s="1550"/>
      <c r="Y39" s="3531"/>
      <c r="Z39" s="1558" t="str">
        <f t="shared" si="15"/>
        <v>层高</v>
      </c>
      <c r="AA39" s="1559">
        <f t="shared" si="3"/>
        <v>1</v>
      </c>
      <c r="AB39" s="1559">
        <f t="shared" si="4"/>
        <v>1</v>
      </c>
      <c r="AC39" s="1559">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531"/>
      <c r="Q40" s="1555" t="str">
        <f t="shared" si="11"/>
        <v>单套建筑面积</v>
      </c>
      <c r="R40" s="1556" t="s">
        <v>8</v>
      </c>
      <c r="S40" s="1557">
        <f t="shared" si="12"/>
        <v>100</v>
      </c>
      <c r="T40" s="1556" t="s">
        <v>8</v>
      </c>
      <c r="U40" s="1557">
        <f t="shared" si="13"/>
        <v>100</v>
      </c>
      <c r="V40" s="1556" t="s">
        <v>8</v>
      </c>
      <c r="W40" s="1557">
        <f t="shared" si="14"/>
        <v>100</v>
      </c>
      <c r="X40" s="1550"/>
      <c r="Y40" s="3531"/>
      <c r="Z40" s="1558" t="str">
        <f t="shared" si="15"/>
        <v>单套建筑面积</v>
      </c>
      <c r="AA40" s="1559">
        <f t="shared" si="3"/>
        <v>1</v>
      </c>
      <c r="AB40" s="1559">
        <f t="shared" si="4"/>
        <v>1</v>
      </c>
      <c r="AC40" s="1559">
        <f t="shared" si="5"/>
        <v>1</v>
      </c>
    </row>
    <row r="41" spans="1:29" s="1333"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531"/>
      <c r="Q41" s="1587" t="str">
        <f t="shared" si="11"/>
        <v>进深比</v>
      </c>
      <c r="R41" s="1560" t="s">
        <v>8</v>
      </c>
      <c r="S41" s="1561">
        <f t="shared" si="12"/>
        <v>100</v>
      </c>
      <c r="T41" s="1560" t="s">
        <v>8</v>
      </c>
      <c r="U41" s="1561">
        <f t="shared" si="13"/>
        <v>100</v>
      </c>
      <c r="V41" s="1560" t="s">
        <v>8</v>
      </c>
      <c r="W41" s="1561">
        <f t="shared" si="14"/>
        <v>100</v>
      </c>
      <c r="X41" s="1562"/>
      <c r="Y41" s="3531"/>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531"/>
      <c r="Q42" s="1555" t="str">
        <f t="shared" si="11"/>
        <v>内部装修</v>
      </c>
      <c r="R42" s="1556" t="s">
        <v>8</v>
      </c>
      <c r="S42" s="1557">
        <f t="shared" si="12"/>
        <v>100</v>
      </c>
      <c r="T42" s="1556" t="s">
        <v>8</v>
      </c>
      <c r="U42" s="1557">
        <f t="shared" si="13"/>
        <v>100</v>
      </c>
      <c r="V42" s="1556" t="s">
        <v>8</v>
      </c>
      <c r="W42" s="1557">
        <f t="shared" si="14"/>
        <v>100</v>
      </c>
      <c r="X42" s="1550"/>
      <c r="Y42" s="3531"/>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531"/>
      <c r="Q43" s="1555" t="str">
        <f t="shared" si="11"/>
        <v>内部装修维护情况</v>
      </c>
      <c r="R43" s="1556" t="s">
        <v>8</v>
      </c>
      <c r="S43" s="1557">
        <f t="shared" si="12"/>
        <v>100</v>
      </c>
      <c r="T43" s="1556" t="s">
        <v>8</v>
      </c>
      <c r="U43" s="1557">
        <f t="shared" si="13"/>
        <v>100</v>
      </c>
      <c r="V43" s="1556" t="s">
        <v>8</v>
      </c>
      <c r="W43" s="1557">
        <f t="shared" si="14"/>
        <v>100</v>
      </c>
      <c r="X43" s="1550"/>
      <c r="Y43" s="3531"/>
      <c r="Z43" s="1558" t="str">
        <f t="shared" si="15"/>
        <v>内部装修维护情况</v>
      </c>
      <c r="AA43" s="1559">
        <f t="shared" si="3"/>
        <v>1</v>
      </c>
      <c r="AB43" s="1559">
        <f t="shared" si="4"/>
        <v>1</v>
      </c>
      <c r="AC43" s="1559">
        <f t="shared" si="5"/>
        <v>1</v>
      </c>
    </row>
    <row r="44" spans="1:29" s="1214"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531"/>
      <c r="Q44" s="1145">
        <f t="shared" si="11"/>
        <v>111</v>
      </c>
      <c r="R44" s="1551" t="s">
        <v>8</v>
      </c>
      <c r="S44" s="1552">
        <f t="shared" si="12"/>
        <v>100</v>
      </c>
      <c r="T44" s="1551" t="s">
        <v>8</v>
      </c>
      <c r="U44" s="1552">
        <f t="shared" si="13"/>
        <v>100</v>
      </c>
      <c r="V44" s="1551" t="s">
        <v>8</v>
      </c>
      <c r="W44" s="1552">
        <f t="shared" si="14"/>
        <v>100</v>
      </c>
      <c r="X44" s="1553"/>
      <c r="Y44" s="353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531"/>
      <c r="Q45" s="1555">
        <f t="shared" si="11"/>
        <v>111</v>
      </c>
      <c r="R45" s="1556" t="s">
        <v>8</v>
      </c>
      <c r="S45" s="1557">
        <f t="shared" si="12"/>
        <v>100</v>
      </c>
      <c r="T45" s="1556" t="s">
        <v>8</v>
      </c>
      <c r="U45" s="1557">
        <f t="shared" si="13"/>
        <v>100</v>
      </c>
      <c r="V45" s="1556" t="s">
        <v>8</v>
      </c>
      <c r="W45" s="1557">
        <f t="shared" si="14"/>
        <v>100</v>
      </c>
      <c r="X45" s="1550"/>
      <c r="Y45" s="3531"/>
      <c r="Z45" s="1558">
        <f t="shared" si="15"/>
        <v>111</v>
      </c>
      <c r="AA45" s="1559">
        <f t="shared" si="3"/>
        <v>1</v>
      </c>
      <c r="AB45" s="1559">
        <f t="shared" si="4"/>
        <v>1</v>
      </c>
      <c r="AC45" s="1559">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631"/>
      <c r="Q46" s="1555">
        <f t="shared" si="11"/>
        <v>111</v>
      </c>
      <c r="R46" s="1556" t="s">
        <v>8</v>
      </c>
      <c r="S46" s="1557">
        <f t="shared" si="12"/>
        <v>100</v>
      </c>
      <c r="T46" s="1556" t="s">
        <v>8</v>
      </c>
      <c r="U46" s="1557">
        <f t="shared" si="13"/>
        <v>100</v>
      </c>
      <c r="V46" s="1556" t="s">
        <v>8</v>
      </c>
      <c r="W46" s="1557">
        <f t="shared" si="14"/>
        <v>100</v>
      </c>
      <c r="X46" s="1550"/>
      <c r="Y46" s="3631"/>
      <c r="Z46" s="1558">
        <f t="shared" si="15"/>
        <v>111</v>
      </c>
      <c r="AA46" s="1559">
        <f t="shared" si="3"/>
        <v>1</v>
      </c>
      <c r="AB46" s="1559">
        <f t="shared" si="4"/>
        <v>1</v>
      </c>
      <c r="AC46" s="1559">
        <f t="shared" si="5"/>
        <v>1</v>
      </c>
    </row>
    <row r="47" spans="1:29" ht="15">
      <c r="A47" s="606" t="s">
        <v>736</v>
      </c>
      <c r="B47" s="886"/>
      <c r="C47" s="2588" t="s">
        <v>1</v>
      </c>
      <c r="D47" s="2589"/>
      <c r="E47" s="2590"/>
      <c r="F47" s="2591"/>
      <c r="G47" s="2592"/>
      <c r="H47" s="2593"/>
      <c r="I47" s="2590"/>
      <c r="J47" s="2593"/>
      <c r="K47" s="1593"/>
      <c r="L47" s="2126"/>
      <c r="M47" s="2127"/>
      <c r="N47" s="2116"/>
      <c r="O47" s="2127"/>
      <c r="P47" s="3526" t="str">
        <f>A47</f>
        <v>成交单价（元/平方米）</v>
      </c>
      <c r="Q47" s="3526"/>
      <c r="R47" s="3630">
        <f>E47</f>
        <v>0</v>
      </c>
      <c r="S47" s="3630"/>
      <c r="T47" s="3630">
        <f>G47</f>
        <v>0</v>
      </c>
      <c r="U47" s="3630"/>
      <c r="V47" s="3630">
        <f>I47</f>
        <v>0</v>
      </c>
      <c r="W47" s="3630"/>
      <c r="X47" s="1542"/>
      <c r="Y47" s="1564"/>
      <c r="Z47" s="1542"/>
      <c r="AA47" s="1542"/>
      <c r="AB47" s="1542"/>
      <c r="AC47" s="1542"/>
    </row>
    <row r="48" spans="1:29" ht="15.75" thickBot="1">
      <c r="A48" s="614" t="s">
        <v>2750</v>
      </c>
      <c r="B48" s="887"/>
      <c r="C48" s="2594" t="e">
        <f>R49</f>
        <v>#DIV/0!</v>
      </c>
      <c r="D48" s="2595"/>
      <c r="E48" s="2596" t="e">
        <f>R48</f>
        <v>#DIV/0!</v>
      </c>
      <c r="F48" s="2596"/>
      <c r="G48" s="2594" t="e">
        <f>T48</f>
        <v>#DIV/0!</v>
      </c>
      <c r="H48" s="2595"/>
      <c r="I48" s="2596" t="e">
        <f>V48</f>
        <v>#DIV/0!</v>
      </c>
      <c r="J48" s="2595"/>
      <c r="K48" s="1594"/>
      <c r="L48" s="2126"/>
      <c r="M48" s="2127"/>
      <c r="N48" s="2116"/>
      <c r="O48" s="2127"/>
      <c r="P48" s="3526" t="str">
        <f>A48</f>
        <v>比较价格（元/平方米）</v>
      </c>
      <c r="Q48" s="3526"/>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542"/>
      <c r="Y48" s="1542"/>
      <c r="Z48" s="1542"/>
      <c r="AA48" s="1542"/>
      <c r="AB48" s="1542"/>
      <c r="AC48" s="1542"/>
    </row>
    <row r="49" spans="1:29" ht="15.75" thickBot="1">
      <c r="A49" s="620" t="s">
        <v>2925</v>
      </c>
      <c r="B49" s="621"/>
      <c r="C49" s="2597" t="e">
        <f>R49</f>
        <v>#DIV/0!</v>
      </c>
      <c r="D49" s="2597"/>
      <c r="E49" s="2597"/>
      <c r="F49" s="2597"/>
      <c r="G49" s="2597"/>
      <c r="H49" s="2597"/>
      <c r="I49" s="2597"/>
      <c r="J49" s="2597"/>
      <c r="K49" s="1595"/>
      <c r="L49" s="2126"/>
      <c r="M49" s="2127"/>
      <c r="N49" s="2116"/>
      <c r="O49" s="2127"/>
      <c r="P49" s="3547" t="str">
        <f>A49</f>
        <v>估价对象XX用房的比较价格（楼面单价，元/平方米）</v>
      </c>
      <c r="Q49" s="3548"/>
      <c r="R49" s="3629" t="e">
        <f>IF(F1="售价",ROUND(AVERAGE(R48:V48),0),ROUND(AVERAGE(R48:V48),1))</f>
        <v>#DIV/0!</v>
      </c>
      <c r="S49" s="3629"/>
      <c r="T49" s="3629"/>
      <c r="U49" s="3629"/>
      <c r="V49" s="3629"/>
      <c r="W49" s="362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638" t="str">
        <f>YEAR(C7)&amp;"-"&amp;MONTH(C7)</f>
        <v>2020-8</v>
      </c>
      <c r="D58" s="2640">
        <f>EDATE(C58,-1)</f>
        <v>44013</v>
      </c>
      <c r="E58" s="2640">
        <f t="shared" ref="E58:O58" si="16">EDATE(D58,-1)</f>
        <v>43983</v>
      </c>
      <c r="F58" s="2640">
        <f t="shared" si="16"/>
        <v>43952</v>
      </c>
      <c r="G58" s="2640">
        <f t="shared" si="16"/>
        <v>43922</v>
      </c>
      <c r="H58" s="2640">
        <f t="shared" si="16"/>
        <v>43891</v>
      </c>
      <c r="I58" s="2640">
        <f t="shared" si="16"/>
        <v>43862</v>
      </c>
      <c r="J58" s="2640">
        <f t="shared" si="16"/>
        <v>43831</v>
      </c>
      <c r="K58" s="2640">
        <f t="shared" si="16"/>
        <v>43800</v>
      </c>
      <c r="L58" s="2640">
        <f t="shared" si="16"/>
        <v>43770</v>
      </c>
      <c r="M58" s="2640">
        <f t="shared" si="16"/>
        <v>43739</v>
      </c>
      <c r="N58" s="2640">
        <f t="shared" si="16"/>
        <v>43709</v>
      </c>
      <c r="O58" s="2640">
        <f t="shared" si="16"/>
        <v>43678</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2548</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2549</v>
      </c>
      <c r="C82" s="2559" t="s">
        <v>2550</v>
      </c>
      <c r="D82" s="2559" t="s">
        <v>2551</v>
      </c>
      <c r="E82" s="2559" t="s">
        <v>2552</v>
      </c>
      <c r="F82" s="2559" t="s">
        <v>2553</v>
      </c>
      <c r="G82" s="2559" t="s">
        <v>2554</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2547</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643"/>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532" t="s">
        <v>522</v>
      </c>
      <c r="D4" s="3533"/>
      <c r="E4" s="3556" t="s">
        <v>523</v>
      </c>
      <c r="F4" s="3557"/>
      <c r="G4" s="3532" t="s">
        <v>524</v>
      </c>
      <c r="H4" s="3533"/>
      <c r="I4" s="3532" t="s">
        <v>525</v>
      </c>
      <c r="J4" s="3533"/>
      <c r="K4" s="513" t="s">
        <v>526</v>
      </c>
      <c r="L4" s="2115"/>
      <c r="M4" s="2116"/>
      <c r="N4" s="2116"/>
      <c r="O4" s="2116"/>
      <c r="P4" s="3638" t="s">
        <v>527</v>
      </c>
      <c r="Q4" s="3535"/>
      <c r="R4" s="3520" t="s">
        <v>523</v>
      </c>
      <c r="S4" s="3521"/>
      <c r="T4" s="3520" t="s">
        <v>524</v>
      </c>
      <c r="U4" s="3521"/>
      <c r="V4" s="3540" t="s">
        <v>525</v>
      </c>
      <c r="W4" s="3540"/>
      <c r="X4" s="1550"/>
      <c r="Y4" s="3520" t="s">
        <v>527</v>
      </c>
      <c r="Z4" s="3521"/>
      <c r="AA4" s="3515" t="s">
        <v>523</v>
      </c>
      <c r="AB4" s="3515" t="s">
        <v>524</v>
      </c>
      <c r="AC4" s="3515" t="s">
        <v>525</v>
      </c>
    </row>
    <row r="5" spans="1:29" ht="15">
      <c r="A5" s="514"/>
      <c r="B5" s="515"/>
      <c r="C5" s="3543" t="s">
        <v>2919</v>
      </c>
      <c r="D5" s="3544"/>
      <c r="E5" s="3558" t="s">
        <v>2920</v>
      </c>
      <c r="F5" s="3559"/>
      <c r="G5" s="3543" t="s">
        <v>2921</v>
      </c>
      <c r="H5" s="3544"/>
      <c r="I5" s="3543" t="s">
        <v>2922</v>
      </c>
      <c r="J5" s="3544"/>
      <c r="K5" s="513"/>
      <c r="L5" s="2115"/>
      <c r="M5" s="2116"/>
      <c r="N5" s="2116"/>
      <c r="O5" s="2116"/>
      <c r="P5" s="3639"/>
      <c r="Q5" s="3537"/>
      <c r="R5" s="3522"/>
      <c r="S5" s="3523"/>
      <c r="T5" s="3522"/>
      <c r="U5" s="3523"/>
      <c r="V5" s="3540"/>
      <c r="W5" s="3540"/>
      <c r="X5" s="1550"/>
      <c r="Y5" s="3522"/>
      <c r="Z5" s="3523"/>
      <c r="AA5" s="3516"/>
      <c r="AB5" s="3516"/>
      <c r="AC5" s="3516"/>
    </row>
    <row r="6" spans="1:29" ht="15.75" thickBot="1">
      <c r="A6" s="516"/>
      <c r="B6" s="517"/>
      <c r="C6" s="3541" t="s">
        <v>2923</v>
      </c>
      <c r="D6" s="3542"/>
      <c r="E6" s="3560" t="s">
        <v>2923</v>
      </c>
      <c r="F6" s="3561"/>
      <c r="G6" s="3541" t="s">
        <v>2923</v>
      </c>
      <c r="H6" s="3542"/>
      <c r="I6" s="3541" t="s">
        <v>2923</v>
      </c>
      <c r="J6" s="3542"/>
      <c r="K6" s="513" t="s">
        <v>528</v>
      </c>
      <c r="L6" s="2115"/>
      <c r="M6" s="2116"/>
      <c r="N6" s="2116"/>
      <c r="O6" s="2116"/>
      <c r="P6" s="3640"/>
      <c r="Q6" s="3539"/>
      <c r="R6" s="3522"/>
      <c r="S6" s="3523"/>
      <c r="T6" s="3524"/>
      <c r="U6" s="3525"/>
      <c r="V6" s="3540"/>
      <c r="W6" s="3540"/>
      <c r="X6" s="1550"/>
      <c r="Y6" s="3524"/>
      <c r="Z6" s="3525"/>
      <c r="AA6" s="3517"/>
      <c r="AB6" s="3517"/>
      <c r="AC6" s="3517"/>
    </row>
    <row r="7" spans="1:29" s="1214" customFormat="1" ht="15.75" thickBot="1">
      <c r="A7" s="2748"/>
      <c r="B7" s="2755" t="s">
        <v>529</v>
      </c>
      <c r="C7" s="518">
        <f>'数据-取费表'!B2</f>
        <v>44050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527" t="s">
        <v>530</v>
      </c>
      <c r="Q7" s="3527"/>
      <c r="R7" s="1551" t="s">
        <v>8</v>
      </c>
      <c r="S7" s="1552">
        <f t="shared" ref="S7:S15" si="0">F7</f>
        <v>0</v>
      </c>
      <c r="T7" s="1551" t="s">
        <v>8</v>
      </c>
      <c r="U7" s="1552">
        <f t="shared" ref="U7:U15" si="1">H7</f>
        <v>0</v>
      </c>
      <c r="V7" s="1551" t="s">
        <v>8</v>
      </c>
      <c r="W7" s="1552">
        <f t="shared" ref="W7:W15" si="2">J7</f>
        <v>0</v>
      </c>
      <c r="X7" s="1553"/>
      <c r="Y7" s="3518" t="s">
        <v>530</v>
      </c>
      <c r="Z7" s="3519"/>
      <c r="AA7" s="1554" t="e">
        <f>D7/F7</f>
        <v>#DIV/0!</v>
      </c>
      <c r="AB7" s="1554" t="e">
        <f>D7/H7</f>
        <v>#DIV/0!</v>
      </c>
      <c r="AC7" s="1554" t="e">
        <f>D7/J7</f>
        <v>#DIV/0!</v>
      </c>
    </row>
    <row r="8" spans="1:29" s="1214" customFormat="1" ht="15.75" thickBot="1">
      <c r="A8" s="2749"/>
      <c r="B8" s="2756"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527" t="s">
        <v>533</v>
      </c>
      <c r="Q8" s="3519"/>
      <c r="R8" s="1551" t="s">
        <v>8</v>
      </c>
      <c r="S8" s="1552">
        <f t="shared" si="0"/>
        <v>0</v>
      </c>
      <c r="T8" s="1551" t="s">
        <v>8</v>
      </c>
      <c r="U8" s="1552">
        <f t="shared" si="1"/>
        <v>0</v>
      </c>
      <c r="V8" s="1551" t="s">
        <v>8</v>
      </c>
      <c r="W8" s="1552">
        <f t="shared" si="2"/>
        <v>0</v>
      </c>
      <c r="X8" s="1553"/>
      <c r="Y8" s="3518" t="s">
        <v>533</v>
      </c>
      <c r="Z8" s="3519"/>
      <c r="AA8" s="1554" t="e">
        <f t="shared" ref="AA8:AA47" si="3">D8/F8</f>
        <v>#DIV/0!</v>
      </c>
      <c r="AB8" s="1554" t="e">
        <f t="shared" ref="AB8:AB47" si="4">D8/H8</f>
        <v>#DIV/0!</v>
      </c>
      <c r="AC8" s="1554" t="e">
        <f t="shared" ref="AC8:AC47" si="5">D8/J8</f>
        <v>#DIV/0!</v>
      </c>
    </row>
    <row r="9" spans="1:29" s="1214" customFormat="1" ht="15">
      <c r="A9" s="2750"/>
      <c r="B9" s="2757" t="s">
        <v>2746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526" t="s">
        <v>535</v>
      </c>
      <c r="Q9" s="1145" t="str">
        <f t="shared" ref="Q9:Q15" si="6">B9</f>
        <v>用途</v>
      </c>
      <c r="R9" s="1551" t="s">
        <v>8</v>
      </c>
      <c r="S9" s="1552">
        <f t="shared" si="0"/>
        <v>100</v>
      </c>
      <c r="T9" s="1551" t="s">
        <v>8</v>
      </c>
      <c r="U9" s="1552">
        <f t="shared" si="1"/>
        <v>100</v>
      </c>
      <c r="V9" s="1551" t="s">
        <v>8</v>
      </c>
      <c r="W9" s="1552">
        <f t="shared" si="2"/>
        <v>100</v>
      </c>
      <c r="X9" s="1553"/>
      <c r="Y9" s="3480"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526"/>
      <c r="Q11" s="1145" t="str">
        <f t="shared" si="6"/>
        <v>容积率</v>
      </c>
      <c r="R11" s="1551" t="s">
        <v>8</v>
      </c>
      <c r="S11" s="1552" t="e">
        <f t="shared" si="0"/>
        <v>#N/A</v>
      </c>
      <c r="T11" s="1551" t="s">
        <v>8</v>
      </c>
      <c r="U11" s="1552" t="e">
        <f t="shared" si="1"/>
        <v>#N/A</v>
      </c>
      <c r="V11" s="1551" t="s">
        <v>8</v>
      </c>
      <c r="W11" s="1552" t="e">
        <f t="shared" si="2"/>
        <v>#N/A</v>
      </c>
      <c r="X11" s="1553"/>
      <c r="Y11" s="3480"/>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526"/>
      <c r="Q12" s="1145">
        <f t="shared" si="6"/>
        <v>111</v>
      </c>
      <c r="R12" s="1551" t="s">
        <v>8</v>
      </c>
      <c r="S12" s="1552">
        <f t="shared" si="0"/>
        <v>100</v>
      </c>
      <c r="T12" s="1551" t="s">
        <v>8</v>
      </c>
      <c r="U12" s="1552">
        <f t="shared" si="1"/>
        <v>100</v>
      </c>
      <c r="V12" s="1551" t="s">
        <v>8</v>
      </c>
      <c r="W12" s="1552">
        <f t="shared" si="2"/>
        <v>100</v>
      </c>
      <c r="X12" s="1553"/>
      <c r="Y12" s="3480"/>
      <c r="Z12" s="1144">
        <f t="shared" si="7"/>
        <v>111</v>
      </c>
      <c r="AA12" s="1554">
        <f>D12/F12</f>
        <v>1</v>
      </c>
      <c r="AB12" s="1554">
        <f>D12/H12</f>
        <v>1</v>
      </c>
      <c r="AC12" s="1554">
        <f>D12/J12</f>
        <v>1</v>
      </c>
    </row>
    <row r="13" spans="1:29" ht="15">
      <c r="A13" s="2753"/>
      <c r="B13" s="2759">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526"/>
      <c r="Q13" s="1145">
        <f t="shared" si="6"/>
        <v>111</v>
      </c>
      <c r="R13" s="1551" t="s">
        <v>8</v>
      </c>
      <c r="S13" s="1552">
        <f t="shared" si="0"/>
        <v>100</v>
      </c>
      <c r="T13" s="1551" t="s">
        <v>8</v>
      </c>
      <c r="U13" s="1552">
        <f t="shared" si="1"/>
        <v>100</v>
      </c>
      <c r="V13" s="1551" t="s">
        <v>8</v>
      </c>
      <c r="W13" s="1552">
        <f t="shared" si="2"/>
        <v>100</v>
      </c>
      <c r="X13" s="1553"/>
      <c r="Y13" s="3480"/>
      <c r="Z13" s="1144">
        <f t="shared" si="7"/>
        <v>111</v>
      </c>
      <c r="AA13" s="1554">
        <f t="shared" si="3"/>
        <v>1</v>
      </c>
      <c r="AB13" s="1554">
        <f t="shared" si="4"/>
        <v>1</v>
      </c>
      <c r="AC13" s="1554">
        <f t="shared" si="5"/>
        <v>1</v>
      </c>
    </row>
    <row r="14" spans="1:29" ht="15.75" thickBot="1">
      <c r="A14" s="2754"/>
      <c r="B14" s="2760">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526"/>
      <c r="Q14" s="1145">
        <f t="shared" si="6"/>
        <v>111</v>
      </c>
      <c r="R14" s="1551" t="s">
        <v>8</v>
      </c>
      <c r="S14" s="1552">
        <f t="shared" si="0"/>
        <v>100</v>
      </c>
      <c r="T14" s="1551" t="s">
        <v>8</v>
      </c>
      <c r="U14" s="1552">
        <f t="shared" si="1"/>
        <v>100</v>
      </c>
      <c r="V14" s="1551" t="s">
        <v>8</v>
      </c>
      <c r="W14" s="1552">
        <f t="shared" si="2"/>
        <v>100</v>
      </c>
      <c r="X14" s="1553"/>
      <c r="Y14" s="3480"/>
      <c r="Z14" s="1144">
        <f t="shared" si="7"/>
        <v>111</v>
      </c>
      <c r="AA14" s="1554">
        <f t="shared" si="3"/>
        <v>1</v>
      </c>
      <c r="AB14" s="1554">
        <f t="shared" si="4"/>
        <v>1</v>
      </c>
      <c r="AC14" s="1554">
        <f t="shared" si="5"/>
        <v>1</v>
      </c>
    </row>
    <row r="15" spans="1:29" ht="71.25">
      <c r="A15" s="2746" t="s">
        <v>2744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528" t="s">
        <v>540</v>
      </c>
      <c r="Q15" s="1555" t="str">
        <f t="shared" si="6"/>
        <v>办公集聚程度</v>
      </c>
      <c r="R15" s="1556" t="s">
        <v>8</v>
      </c>
      <c r="S15" s="1557">
        <f t="shared" si="0"/>
        <v>100</v>
      </c>
      <c r="T15" s="1556" t="s">
        <v>8</v>
      </c>
      <c r="U15" s="1557">
        <f t="shared" si="1"/>
        <v>100</v>
      </c>
      <c r="V15" s="1556" t="s">
        <v>8</v>
      </c>
      <c r="W15" s="1557">
        <f t="shared" si="2"/>
        <v>100</v>
      </c>
      <c r="X15" s="1550"/>
      <c r="Y15" s="3528"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8"/>
      <c r="L16" s="2124"/>
      <c r="M16" s="2116"/>
      <c r="N16" s="2116"/>
      <c r="O16" s="2116"/>
      <c r="P16" s="3529"/>
      <c r="Q16" s="1555"/>
      <c r="R16" s="1556"/>
      <c r="S16" s="1557"/>
      <c r="T16" s="1556"/>
      <c r="U16" s="1557"/>
      <c r="V16" s="1556"/>
      <c r="W16" s="1557"/>
      <c r="X16" s="1550"/>
      <c r="Y16" s="3529"/>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529"/>
      <c r="Q17" s="1555" t="str">
        <f>B17</f>
        <v>交通便捷度</v>
      </c>
      <c r="R17" s="1556" t="s">
        <v>8</v>
      </c>
      <c r="S17" s="1557">
        <f>F17</f>
        <v>100</v>
      </c>
      <c r="T17" s="1556" t="s">
        <v>8</v>
      </c>
      <c r="U17" s="1557">
        <f>H17</f>
        <v>100</v>
      </c>
      <c r="V17" s="1556" t="s">
        <v>8</v>
      </c>
      <c r="W17" s="1557">
        <f>J17</f>
        <v>100</v>
      </c>
      <c r="X17" s="1550"/>
      <c r="Y17" s="3529"/>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8"/>
      <c r="L18" s="2124"/>
      <c r="M18" s="2116"/>
      <c r="N18" s="2116"/>
      <c r="O18" s="2116"/>
      <c r="P18" s="3529"/>
      <c r="Q18" s="1555"/>
      <c r="R18" s="1556"/>
      <c r="S18" s="1557"/>
      <c r="T18" s="1556"/>
      <c r="U18" s="1557"/>
      <c r="V18" s="1556"/>
      <c r="W18" s="1557"/>
      <c r="X18" s="1550"/>
      <c r="Y18" s="3529"/>
      <c r="Z18" s="1558"/>
      <c r="AA18" s="1559">
        <v>1</v>
      </c>
      <c r="AB18" s="1559">
        <v>1</v>
      </c>
      <c r="AC18" s="1559">
        <v>1</v>
      </c>
    </row>
    <row r="19" spans="1:29" ht="42.75">
      <c r="A19" s="531"/>
      <c r="B19" s="2564" t="s">
        <v>2537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529"/>
      <c r="Q19" s="1555" t="str">
        <f>B19</f>
        <v>公共配套设施</v>
      </c>
      <c r="R19" s="1556" t="s">
        <v>8</v>
      </c>
      <c r="S19" s="1557">
        <f>F19</f>
        <v>100</v>
      </c>
      <c r="T19" s="1556" t="s">
        <v>8</v>
      </c>
      <c r="U19" s="1557">
        <f>H19</f>
        <v>100</v>
      </c>
      <c r="V19" s="1556" t="s">
        <v>8</v>
      </c>
      <c r="W19" s="1557">
        <f>J19</f>
        <v>100</v>
      </c>
      <c r="X19" s="1550"/>
      <c r="Y19" s="3529"/>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8"/>
      <c r="L20" s="2124"/>
      <c r="M20" s="2116"/>
      <c r="N20" s="2116"/>
      <c r="O20" s="2116"/>
      <c r="P20" s="3529"/>
      <c r="Q20" s="1555"/>
      <c r="R20" s="1556"/>
      <c r="S20" s="1557"/>
      <c r="T20" s="1556"/>
      <c r="U20" s="1557"/>
      <c r="V20" s="1556"/>
      <c r="W20" s="1557"/>
      <c r="X20" s="1550"/>
      <c r="Y20" s="3529"/>
      <c r="Z20" s="1558"/>
      <c r="AA20" s="1559">
        <v>1</v>
      </c>
      <c r="AB20" s="1559">
        <v>1</v>
      </c>
      <c r="AC20" s="1559">
        <v>1</v>
      </c>
    </row>
    <row r="21" spans="1:29" ht="28.5">
      <c r="A21" s="531"/>
      <c r="B21" s="2552" t="s">
        <v>2549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529"/>
      <c r="Q21" s="2540" t="str">
        <f>B21</f>
        <v>基础设施水平</v>
      </c>
      <c r="R21" s="1556" t="s">
        <v>8</v>
      </c>
      <c r="S21" s="1557">
        <f>F21</f>
        <v>100</v>
      </c>
      <c r="T21" s="1556" t="s">
        <v>8</v>
      </c>
      <c r="U21" s="1557">
        <f>H21</f>
        <v>100</v>
      </c>
      <c r="V21" s="1556" t="s">
        <v>8</v>
      </c>
      <c r="W21" s="1557">
        <f>J21</f>
        <v>100</v>
      </c>
      <c r="X21" s="2542"/>
      <c r="Y21" s="3529"/>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529"/>
      <c r="Q22" s="2540"/>
      <c r="R22" s="1556"/>
      <c r="S22" s="1557"/>
      <c r="T22" s="1556"/>
      <c r="U22" s="1557"/>
      <c r="V22" s="1556"/>
      <c r="W22" s="1557"/>
      <c r="X22" s="2542"/>
      <c r="Y22" s="3529"/>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529"/>
      <c r="Q23" s="1555" t="str">
        <f>B23</f>
        <v>环境质量</v>
      </c>
      <c r="R23" s="1556" t="s">
        <v>8</v>
      </c>
      <c r="S23" s="1557">
        <f>F23</f>
        <v>100</v>
      </c>
      <c r="T23" s="1556" t="s">
        <v>8</v>
      </c>
      <c r="U23" s="1557">
        <f>H23</f>
        <v>100</v>
      </c>
      <c r="V23" s="1556" t="s">
        <v>8</v>
      </c>
      <c r="W23" s="1557">
        <f>J23</f>
        <v>100</v>
      </c>
      <c r="X23" s="1550"/>
      <c r="Y23" s="3529"/>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8"/>
      <c r="L24" s="2124"/>
      <c r="M24" s="2116"/>
      <c r="N24" s="2116"/>
      <c r="O24" s="2116"/>
      <c r="P24" s="3529"/>
      <c r="Q24" s="1555"/>
      <c r="R24" s="1556"/>
      <c r="S24" s="1557"/>
      <c r="T24" s="1556"/>
      <c r="U24" s="1557"/>
      <c r="V24" s="1556"/>
      <c r="W24" s="1557"/>
      <c r="X24" s="1550"/>
      <c r="Y24" s="3529"/>
      <c r="Z24" s="1558"/>
      <c r="AA24" s="1559">
        <v>1</v>
      </c>
      <c r="AB24" s="1559">
        <v>1</v>
      </c>
      <c r="AC24" s="1559">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529"/>
      <c r="Q25" s="1555" t="str">
        <f>B25</f>
        <v>毗邻道路的类型与等级</v>
      </c>
      <c r="R25" s="1556" t="s">
        <v>8</v>
      </c>
      <c r="S25" s="1557">
        <f>F25</f>
        <v>100</v>
      </c>
      <c r="T25" s="1556" t="s">
        <v>8</v>
      </c>
      <c r="U25" s="1557">
        <f>H25</f>
        <v>100</v>
      </c>
      <c r="V25" s="1556" t="s">
        <v>8</v>
      </c>
      <c r="W25" s="1557">
        <f>J25</f>
        <v>100</v>
      </c>
      <c r="X25" s="1550"/>
      <c r="Y25" s="3529"/>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8"/>
      <c r="L26" s="2124"/>
      <c r="M26" s="2116"/>
      <c r="N26" s="2116"/>
      <c r="O26" s="2116"/>
      <c r="P26" s="3529"/>
      <c r="Q26" s="1555"/>
      <c r="R26" s="1556"/>
      <c r="S26" s="1557"/>
      <c r="T26" s="1556"/>
      <c r="U26" s="1557"/>
      <c r="V26" s="1556"/>
      <c r="W26" s="1557"/>
      <c r="X26" s="1550"/>
      <c r="Y26" s="3529"/>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529"/>
      <c r="Q27" s="1555" t="str">
        <f t="shared" ref="Q27:Q47" si="11">B27</f>
        <v>楼层</v>
      </c>
      <c r="R27" s="1556" t="s">
        <v>8</v>
      </c>
      <c r="S27" s="1557">
        <f>F27</f>
        <v>100</v>
      </c>
      <c r="T27" s="1556" t="s">
        <v>8</v>
      </c>
      <c r="U27" s="1557">
        <f>H27</f>
        <v>100</v>
      </c>
      <c r="V27" s="1556" t="s">
        <v>8</v>
      </c>
      <c r="W27" s="1557">
        <f>J27</f>
        <v>100</v>
      </c>
      <c r="X27" s="1550"/>
      <c r="Y27" s="3529"/>
      <c r="Z27" s="1558" t="str">
        <f>Q27</f>
        <v>楼层</v>
      </c>
      <c r="AA27" s="1559">
        <f t="shared" si="3"/>
        <v>1</v>
      </c>
      <c r="AB27" s="1559">
        <f t="shared" si="4"/>
        <v>1</v>
      </c>
      <c r="AC27" s="1559">
        <f t="shared" si="5"/>
        <v>1</v>
      </c>
    </row>
    <row r="28" spans="1:29" s="1214"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529"/>
      <c r="Q28" s="1145" t="str">
        <f t="shared" si="11"/>
        <v>朝向</v>
      </c>
      <c r="R28" s="1551" t="s">
        <v>8</v>
      </c>
      <c r="S28" s="1552">
        <f>F28</f>
        <v>100</v>
      </c>
      <c r="T28" s="1551" t="s">
        <v>8</v>
      </c>
      <c r="U28" s="1552">
        <f>H28</f>
        <v>100</v>
      </c>
      <c r="V28" s="1551" t="s">
        <v>8</v>
      </c>
      <c r="W28" s="1552">
        <f>J28</f>
        <v>100</v>
      </c>
      <c r="X28" s="1553"/>
      <c r="Y28" s="3529"/>
      <c r="Z28" s="1144" t="str">
        <f>Q28</f>
        <v>朝向</v>
      </c>
      <c r="AA28" s="1559">
        <f>D28/F28</f>
        <v>1</v>
      </c>
      <c r="AB28" s="1559">
        <f>D28/H28</f>
        <v>1</v>
      </c>
      <c r="AC28" s="1559">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529"/>
      <c r="Q29" s="1555">
        <f t="shared" si="11"/>
        <v>111</v>
      </c>
      <c r="R29" s="1556" t="s">
        <v>8</v>
      </c>
      <c r="S29" s="1557">
        <f t="shared" ref="S29:S47" si="12">F29</f>
        <v>100</v>
      </c>
      <c r="T29" s="1556" t="s">
        <v>8</v>
      </c>
      <c r="U29" s="1557">
        <f t="shared" ref="U29:U47" si="13">H29</f>
        <v>100</v>
      </c>
      <c r="V29" s="1556" t="s">
        <v>8</v>
      </c>
      <c r="W29" s="1557">
        <f t="shared" ref="W29:W47" si="14">J29</f>
        <v>100</v>
      </c>
      <c r="X29" s="1550"/>
      <c r="Y29" s="3529"/>
      <c r="Z29" s="1558">
        <f t="shared" ref="Z29:Z47" si="15">Q29</f>
        <v>111</v>
      </c>
      <c r="AA29" s="1559">
        <f t="shared" si="3"/>
        <v>1</v>
      </c>
      <c r="AB29" s="1559">
        <f t="shared" si="4"/>
        <v>1</v>
      </c>
      <c r="AC29" s="1559">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529"/>
      <c r="Q30" s="1555">
        <f t="shared" si="11"/>
        <v>111</v>
      </c>
      <c r="R30" s="1556" t="s">
        <v>8</v>
      </c>
      <c r="S30" s="1557">
        <f t="shared" si="12"/>
        <v>100</v>
      </c>
      <c r="T30" s="1556" t="s">
        <v>8</v>
      </c>
      <c r="U30" s="1557">
        <f t="shared" si="13"/>
        <v>100</v>
      </c>
      <c r="V30" s="1556" t="s">
        <v>8</v>
      </c>
      <c r="W30" s="1557">
        <f t="shared" si="14"/>
        <v>100</v>
      </c>
      <c r="X30" s="1550"/>
      <c r="Y30" s="3529"/>
      <c r="Z30" s="1558">
        <f t="shared" si="15"/>
        <v>111</v>
      </c>
      <c r="AA30" s="1559">
        <f t="shared" si="3"/>
        <v>1</v>
      </c>
      <c r="AB30" s="1559">
        <f t="shared" si="4"/>
        <v>1</v>
      </c>
      <c r="AC30" s="1559">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529"/>
      <c r="Q31" s="1555">
        <f t="shared" si="11"/>
        <v>111</v>
      </c>
      <c r="R31" s="1556" t="s">
        <v>8</v>
      </c>
      <c r="S31" s="1557">
        <f t="shared" si="12"/>
        <v>100</v>
      </c>
      <c r="T31" s="1556" t="s">
        <v>8</v>
      </c>
      <c r="U31" s="1557">
        <f t="shared" si="13"/>
        <v>100</v>
      </c>
      <c r="V31" s="1556" t="s">
        <v>8</v>
      </c>
      <c r="W31" s="1557">
        <f t="shared" si="14"/>
        <v>100</v>
      </c>
      <c r="X31" s="1550"/>
      <c r="Y31" s="3529"/>
      <c r="Z31" s="1558">
        <f t="shared" si="15"/>
        <v>111</v>
      </c>
      <c r="AA31" s="1559">
        <f t="shared" si="3"/>
        <v>1</v>
      </c>
      <c r="AB31" s="1559">
        <f t="shared" si="4"/>
        <v>1</v>
      </c>
      <c r="AC31" s="1559">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529"/>
      <c r="Q32" s="1555">
        <f t="shared" si="11"/>
        <v>111</v>
      </c>
      <c r="R32" s="1556" t="s">
        <v>8</v>
      </c>
      <c r="S32" s="1557">
        <f t="shared" si="12"/>
        <v>100</v>
      </c>
      <c r="T32" s="1556" t="s">
        <v>8</v>
      </c>
      <c r="U32" s="1557">
        <f t="shared" si="13"/>
        <v>100</v>
      </c>
      <c r="V32" s="1556" t="s">
        <v>8</v>
      </c>
      <c r="W32" s="1557">
        <f t="shared" si="14"/>
        <v>100</v>
      </c>
      <c r="X32" s="1550"/>
      <c r="Y32" s="3529"/>
      <c r="Z32" s="1558">
        <f t="shared" si="15"/>
        <v>111</v>
      </c>
      <c r="AA32" s="1559">
        <f t="shared" si="3"/>
        <v>1</v>
      </c>
      <c r="AB32" s="1559">
        <f t="shared" si="4"/>
        <v>1</v>
      </c>
      <c r="AC32" s="1559">
        <f t="shared" si="5"/>
        <v>1</v>
      </c>
    </row>
    <row r="33" spans="1:29" ht="15">
      <c r="A33" s="2743" t="s">
        <v>2745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530" t="s">
        <v>550</v>
      </c>
      <c r="Q33" s="1555" t="str">
        <f t="shared" si="11"/>
        <v>建筑类型</v>
      </c>
      <c r="R33" s="1556" t="s">
        <v>8</v>
      </c>
      <c r="S33" s="1557">
        <f t="shared" si="12"/>
        <v>100</v>
      </c>
      <c r="T33" s="1556" t="s">
        <v>8</v>
      </c>
      <c r="U33" s="1557">
        <f t="shared" si="13"/>
        <v>100</v>
      </c>
      <c r="V33" s="1556" t="s">
        <v>8</v>
      </c>
      <c r="W33" s="1557">
        <f t="shared" si="14"/>
        <v>100</v>
      </c>
      <c r="X33" s="1550"/>
      <c r="Y33" s="3531" t="s">
        <v>550</v>
      </c>
      <c r="Z33" s="1558" t="str">
        <f t="shared" si="15"/>
        <v>建筑类型</v>
      </c>
      <c r="AA33" s="1559">
        <f t="shared" si="3"/>
        <v>1</v>
      </c>
      <c r="AB33" s="1559">
        <f t="shared" si="4"/>
        <v>1</v>
      </c>
      <c r="AC33" s="1559">
        <f t="shared" si="5"/>
        <v>1</v>
      </c>
    </row>
    <row r="34" spans="1:29" s="1333"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531"/>
      <c r="Q34" s="1587" t="str">
        <f t="shared" si="11"/>
        <v>项目建筑规模</v>
      </c>
      <c r="R34" s="1560" t="s">
        <v>8</v>
      </c>
      <c r="S34" s="1561" t="e">
        <f t="shared" si="12"/>
        <v>#N/A</v>
      </c>
      <c r="T34" s="1560" t="s">
        <v>8</v>
      </c>
      <c r="U34" s="1561" t="e">
        <f t="shared" si="13"/>
        <v>#N/A</v>
      </c>
      <c r="V34" s="1560" t="s">
        <v>8</v>
      </c>
      <c r="W34" s="1561" t="e">
        <f t="shared" si="14"/>
        <v>#N/A</v>
      </c>
      <c r="X34" s="1562"/>
      <c r="Y34" s="3531"/>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531"/>
      <c r="Q35" s="1555" t="str">
        <f t="shared" si="11"/>
        <v>建筑结构</v>
      </c>
      <c r="R35" s="1556" t="s">
        <v>8</v>
      </c>
      <c r="S35" s="1557">
        <f t="shared" si="12"/>
        <v>100</v>
      </c>
      <c r="T35" s="1556" t="s">
        <v>8</v>
      </c>
      <c r="U35" s="1557">
        <f t="shared" si="13"/>
        <v>100</v>
      </c>
      <c r="V35" s="1556" t="s">
        <v>8</v>
      </c>
      <c r="W35" s="1557">
        <f t="shared" si="14"/>
        <v>100</v>
      </c>
      <c r="X35" s="1550"/>
      <c r="Y35" s="3531"/>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531"/>
      <c r="Q36" s="1555" t="str">
        <f t="shared" si="11"/>
        <v>公共部分装修</v>
      </c>
      <c r="R36" s="1556" t="s">
        <v>8</v>
      </c>
      <c r="S36" s="1557">
        <f t="shared" si="12"/>
        <v>100</v>
      </c>
      <c r="T36" s="1556" t="s">
        <v>8</v>
      </c>
      <c r="U36" s="1557">
        <f t="shared" si="13"/>
        <v>100</v>
      </c>
      <c r="V36" s="1556" t="s">
        <v>8</v>
      </c>
      <c r="W36" s="1557">
        <f t="shared" si="14"/>
        <v>100</v>
      </c>
      <c r="X36" s="1550"/>
      <c r="Y36" s="3531"/>
      <c r="Z36" s="1558" t="str">
        <f t="shared" si="15"/>
        <v>公共部分装修</v>
      </c>
      <c r="AA36" s="1559">
        <f t="shared" si="3"/>
        <v>1</v>
      </c>
      <c r="AB36" s="1559">
        <f t="shared" si="4"/>
        <v>1</v>
      </c>
      <c r="AC36" s="1559">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531"/>
      <c r="Q37" s="1555" t="str">
        <f t="shared" si="11"/>
        <v>成新度</v>
      </c>
      <c r="R37" s="1556" t="s">
        <v>8</v>
      </c>
      <c r="S37" s="1557" t="e">
        <f t="shared" si="12"/>
        <v>#N/A</v>
      </c>
      <c r="T37" s="1556" t="s">
        <v>8</v>
      </c>
      <c r="U37" s="1557" t="e">
        <f t="shared" si="13"/>
        <v>#N/A</v>
      </c>
      <c r="V37" s="1556" t="s">
        <v>8</v>
      </c>
      <c r="W37" s="1557" t="e">
        <f t="shared" si="14"/>
        <v>#N/A</v>
      </c>
      <c r="X37" s="1550"/>
      <c r="Y37" s="3531"/>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531"/>
      <c r="Q38" s="1145" t="str">
        <f t="shared" si="11"/>
        <v>写字楼等级</v>
      </c>
      <c r="R38" s="1551" t="s">
        <v>8</v>
      </c>
      <c r="S38" s="1552">
        <f t="shared" si="12"/>
        <v>100</v>
      </c>
      <c r="T38" s="1551" t="s">
        <v>8</v>
      </c>
      <c r="U38" s="1552">
        <f t="shared" si="13"/>
        <v>100</v>
      </c>
      <c r="V38" s="1551" t="s">
        <v>8</v>
      </c>
      <c r="W38" s="1552">
        <f t="shared" si="14"/>
        <v>100</v>
      </c>
      <c r="X38" s="1553"/>
      <c r="Y38" s="3531"/>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531" t="s">
        <v>550</v>
      </c>
      <c r="Q39" s="1555" t="str">
        <f t="shared" si="11"/>
        <v>物业管理</v>
      </c>
      <c r="R39" s="1556" t="s">
        <v>8</v>
      </c>
      <c r="S39" s="1557">
        <f t="shared" si="12"/>
        <v>100</v>
      </c>
      <c r="T39" s="1556" t="s">
        <v>8</v>
      </c>
      <c r="U39" s="1557">
        <f t="shared" si="13"/>
        <v>100</v>
      </c>
      <c r="V39" s="1556" t="s">
        <v>8</v>
      </c>
      <c r="W39" s="1557">
        <f t="shared" si="14"/>
        <v>100</v>
      </c>
      <c r="X39" s="1550"/>
      <c r="Y39" s="3531" t="s">
        <v>550</v>
      </c>
      <c r="Z39" s="1558" t="str">
        <f t="shared" si="15"/>
        <v>物业管理</v>
      </c>
      <c r="AA39" s="1559">
        <f t="shared" si="3"/>
        <v>1</v>
      </c>
      <c r="AB39" s="1559">
        <f t="shared" si="4"/>
        <v>1</v>
      </c>
      <c r="AC39" s="1559">
        <f t="shared" si="5"/>
        <v>1</v>
      </c>
    </row>
    <row r="40" spans="1:29" ht="15">
      <c r="A40" s="593"/>
      <c r="B40" s="1877" t="s">
        <v>2556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531"/>
      <c r="Q40" s="1555" t="str">
        <f t="shared" si="11"/>
        <v>市政基础设施</v>
      </c>
      <c r="R40" s="1556" t="s">
        <v>8</v>
      </c>
      <c r="S40" s="1557">
        <f t="shared" si="12"/>
        <v>100</v>
      </c>
      <c r="T40" s="1556" t="s">
        <v>8</v>
      </c>
      <c r="U40" s="1557">
        <f t="shared" si="13"/>
        <v>100</v>
      </c>
      <c r="V40" s="1556" t="s">
        <v>8</v>
      </c>
      <c r="W40" s="1557">
        <f t="shared" si="14"/>
        <v>100</v>
      </c>
      <c r="X40" s="1550"/>
      <c r="Y40" s="3531"/>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531"/>
      <c r="Q41" s="1555" t="str">
        <f t="shared" si="11"/>
        <v>层高</v>
      </c>
      <c r="R41" s="1556" t="s">
        <v>8</v>
      </c>
      <c r="S41" s="1557">
        <f t="shared" si="12"/>
        <v>100</v>
      </c>
      <c r="T41" s="1556" t="s">
        <v>8</v>
      </c>
      <c r="U41" s="1557">
        <f t="shared" si="13"/>
        <v>100</v>
      </c>
      <c r="V41" s="1556" t="s">
        <v>8</v>
      </c>
      <c r="W41" s="1557">
        <f t="shared" si="14"/>
        <v>100</v>
      </c>
      <c r="X41" s="1550"/>
      <c r="Y41" s="3531"/>
      <c r="Z41" s="1558" t="str">
        <f t="shared" si="15"/>
        <v>层高</v>
      </c>
      <c r="AA41" s="1559">
        <f t="shared" si="3"/>
        <v>1</v>
      </c>
      <c r="AB41" s="1559">
        <f t="shared" si="4"/>
        <v>1</v>
      </c>
      <c r="AC41" s="1559">
        <f t="shared" si="5"/>
        <v>1</v>
      </c>
    </row>
    <row r="42" spans="1:29" s="1333"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531"/>
      <c r="Q42" s="1587" t="str">
        <f t="shared" si="11"/>
        <v>单套建筑面积</v>
      </c>
      <c r="R42" s="1560" t="s">
        <v>8</v>
      </c>
      <c r="S42" s="1561">
        <f t="shared" si="12"/>
        <v>100</v>
      </c>
      <c r="T42" s="1560" t="s">
        <v>8</v>
      </c>
      <c r="U42" s="1561">
        <f t="shared" si="13"/>
        <v>100</v>
      </c>
      <c r="V42" s="1560" t="s">
        <v>8</v>
      </c>
      <c r="W42" s="1561">
        <f t="shared" si="14"/>
        <v>100</v>
      </c>
      <c r="X42" s="1562"/>
      <c r="Y42" s="3531"/>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531"/>
      <c r="Q43" s="1555" t="str">
        <f t="shared" si="11"/>
        <v>内部装修</v>
      </c>
      <c r="R43" s="1556" t="s">
        <v>8</v>
      </c>
      <c r="S43" s="1557">
        <f t="shared" si="12"/>
        <v>100</v>
      </c>
      <c r="T43" s="1556" t="s">
        <v>8</v>
      </c>
      <c r="U43" s="1557">
        <f t="shared" si="13"/>
        <v>100</v>
      </c>
      <c r="V43" s="1556" t="s">
        <v>8</v>
      </c>
      <c r="W43" s="1557">
        <f t="shared" si="14"/>
        <v>100</v>
      </c>
      <c r="X43" s="1550"/>
      <c r="Y43" s="3531"/>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531"/>
      <c r="Q44" s="1555" t="str">
        <f t="shared" si="11"/>
        <v>内部装修维护情况</v>
      </c>
      <c r="R44" s="1556" t="s">
        <v>8</v>
      </c>
      <c r="S44" s="1557">
        <f t="shared" si="12"/>
        <v>100</v>
      </c>
      <c r="T44" s="1556" t="s">
        <v>8</v>
      </c>
      <c r="U44" s="1557">
        <f t="shared" si="13"/>
        <v>100</v>
      </c>
      <c r="V44" s="1556" t="s">
        <v>8</v>
      </c>
      <c r="W44" s="1557">
        <f t="shared" si="14"/>
        <v>100</v>
      </c>
      <c r="X44" s="1550"/>
      <c r="Y44" s="3531"/>
      <c r="Z44" s="1558" t="str">
        <f t="shared" si="15"/>
        <v>内部装修维护情况</v>
      </c>
      <c r="AA44" s="1559">
        <f t="shared" si="3"/>
        <v>1</v>
      </c>
      <c r="AB44" s="1559">
        <f t="shared" si="4"/>
        <v>1</v>
      </c>
      <c r="AC44" s="1559">
        <f t="shared" si="5"/>
        <v>1</v>
      </c>
    </row>
    <row r="45" spans="1:29" s="1214"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531"/>
      <c r="Q45" s="1145">
        <f t="shared" si="11"/>
        <v>111</v>
      </c>
      <c r="R45" s="1551" t="s">
        <v>8</v>
      </c>
      <c r="S45" s="1552">
        <f t="shared" si="12"/>
        <v>100</v>
      </c>
      <c r="T45" s="1551" t="s">
        <v>8</v>
      </c>
      <c r="U45" s="1552">
        <f t="shared" si="13"/>
        <v>100</v>
      </c>
      <c r="V45" s="1551" t="s">
        <v>8</v>
      </c>
      <c r="W45" s="1552">
        <f t="shared" si="14"/>
        <v>100</v>
      </c>
      <c r="X45" s="1553"/>
      <c r="Y45" s="3531"/>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531"/>
      <c r="Q46" s="1555">
        <f t="shared" si="11"/>
        <v>111</v>
      </c>
      <c r="R46" s="1556" t="s">
        <v>8</v>
      </c>
      <c r="S46" s="1557">
        <f t="shared" si="12"/>
        <v>100</v>
      </c>
      <c r="T46" s="1556" t="s">
        <v>8</v>
      </c>
      <c r="U46" s="1557">
        <f t="shared" si="13"/>
        <v>100</v>
      </c>
      <c r="V46" s="1556" t="s">
        <v>8</v>
      </c>
      <c r="W46" s="1557">
        <f t="shared" si="14"/>
        <v>100</v>
      </c>
      <c r="X46" s="1550"/>
      <c r="Y46" s="3531"/>
      <c r="Z46" s="1558">
        <f t="shared" si="15"/>
        <v>111</v>
      </c>
      <c r="AA46" s="1559">
        <f t="shared" si="3"/>
        <v>1</v>
      </c>
      <c r="AB46" s="1559">
        <f t="shared" si="4"/>
        <v>1</v>
      </c>
      <c r="AC46" s="1559">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631"/>
      <c r="Q47" s="1555">
        <f t="shared" si="11"/>
        <v>111</v>
      </c>
      <c r="R47" s="1556" t="s">
        <v>8</v>
      </c>
      <c r="S47" s="1557">
        <f t="shared" si="12"/>
        <v>100</v>
      </c>
      <c r="T47" s="1556" t="s">
        <v>8</v>
      </c>
      <c r="U47" s="1557">
        <f t="shared" si="13"/>
        <v>100</v>
      </c>
      <c r="V47" s="1556" t="s">
        <v>8</v>
      </c>
      <c r="W47" s="1557">
        <f t="shared" si="14"/>
        <v>100</v>
      </c>
      <c r="X47" s="1550"/>
      <c r="Y47" s="3631"/>
      <c r="Z47" s="1558">
        <f t="shared" si="15"/>
        <v>111</v>
      </c>
      <c r="AA47" s="1559">
        <f t="shared" si="3"/>
        <v>1</v>
      </c>
      <c r="AB47" s="1559">
        <f t="shared" si="4"/>
        <v>1</v>
      </c>
      <c r="AC47" s="1559">
        <f t="shared" si="5"/>
        <v>1</v>
      </c>
    </row>
    <row r="48" spans="1:29" ht="15">
      <c r="A48" s="606" t="s">
        <v>736</v>
      </c>
      <c r="B48" s="886"/>
      <c r="C48" s="2588" t="s">
        <v>1</v>
      </c>
      <c r="D48" s="2589"/>
      <c r="E48" s="2590"/>
      <c r="F48" s="2591"/>
      <c r="G48" s="2592"/>
      <c r="H48" s="2593"/>
      <c r="I48" s="2590"/>
      <c r="J48" s="2593"/>
      <c r="K48" s="1593"/>
      <c r="L48" s="2126"/>
      <c r="M48" s="2116"/>
      <c r="N48" s="2116"/>
      <c r="O48" s="2116"/>
      <c r="P48" s="3548" t="str">
        <f>A48</f>
        <v>成交单价（元/平方米）</v>
      </c>
      <c r="Q48" s="3526"/>
      <c r="R48" s="3630">
        <f>E48</f>
        <v>0</v>
      </c>
      <c r="S48" s="3630"/>
      <c r="T48" s="3630">
        <f>G48</f>
        <v>0</v>
      </c>
      <c r="U48" s="3630"/>
      <c r="V48" s="3630">
        <f>I48</f>
        <v>0</v>
      </c>
      <c r="W48" s="3630"/>
      <c r="X48" s="1542"/>
      <c r="Y48" s="1564"/>
      <c r="Z48" s="1542"/>
      <c r="AA48" s="1542"/>
      <c r="AB48" s="1542"/>
      <c r="AC48" s="1542"/>
    </row>
    <row r="49" spans="1:29" ht="15.75" thickBot="1">
      <c r="A49" s="614" t="s">
        <v>2750</v>
      </c>
      <c r="B49" s="887"/>
      <c r="C49" s="2594" t="e">
        <f>R50</f>
        <v>#DIV/0!</v>
      </c>
      <c r="D49" s="2595"/>
      <c r="E49" s="2596" t="e">
        <f>R49</f>
        <v>#DIV/0!</v>
      </c>
      <c r="F49" s="2596"/>
      <c r="G49" s="2594" t="e">
        <f>T49</f>
        <v>#DIV/0!</v>
      </c>
      <c r="H49" s="2595"/>
      <c r="I49" s="2596" t="e">
        <f>V49</f>
        <v>#DIV/0!</v>
      </c>
      <c r="J49" s="2595"/>
      <c r="K49" s="1594"/>
      <c r="L49" s="2126"/>
      <c r="M49" s="2116"/>
      <c r="N49" s="2116"/>
      <c r="O49" s="2116"/>
      <c r="P49" s="3548" t="str">
        <f>A49</f>
        <v>比较价格（元/平方米）</v>
      </c>
      <c r="Q49" s="3526"/>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542"/>
      <c r="Y49" s="1542"/>
      <c r="Z49" s="1542"/>
      <c r="AA49" s="1542"/>
      <c r="AB49" s="1542"/>
      <c r="AC49" s="1542"/>
    </row>
    <row r="50" spans="1:29" ht="15.75" thickBot="1">
      <c r="A50" s="620" t="s">
        <v>2925</v>
      </c>
      <c r="B50" s="621"/>
      <c r="C50" s="2597" t="e">
        <f>R50</f>
        <v>#DIV/0!</v>
      </c>
      <c r="D50" s="2597"/>
      <c r="E50" s="2597"/>
      <c r="F50" s="2597"/>
      <c r="G50" s="2597"/>
      <c r="H50" s="2597"/>
      <c r="I50" s="2597"/>
      <c r="J50" s="2597"/>
      <c r="K50" s="1595"/>
      <c r="L50" s="2126"/>
      <c r="M50" s="2116"/>
      <c r="N50" s="2116"/>
      <c r="O50" s="2116"/>
      <c r="P50" s="3641" t="str">
        <f>A50</f>
        <v>估价对象XX用房的比较价格（楼面单价，元/平方米）</v>
      </c>
      <c r="Q50" s="3548"/>
      <c r="R50" s="3629" t="e">
        <f>IF(F1="售价",ROUND(AVERAGE(R49:V49),0),ROUND(AVERAGE(R49:V49),1))</f>
        <v>#DIV/0!</v>
      </c>
      <c r="S50" s="3629"/>
      <c r="T50" s="3629"/>
      <c r="U50" s="3629"/>
      <c r="V50" s="3629"/>
      <c r="W50" s="3629"/>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4" t="s">
        <v>529</v>
      </c>
      <c r="B59" s="645"/>
      <c r="C59" s="2638" t="str">
        <f>YEAR(C7)&amp;"-"&amp;MONTH(C7)</f>
        <v>2020-8</v>
      </c>
      <c r="D59" s="2640">
        <f>EDATE(C59,-1)</f>
        <v>44013</v>
      </c>
      <c r="E59" s="2640">
        <f t="shared" ref="E59:O59" si="16">EDATE(D59,-1)</f>
        <v>43983</v>
      </c>
      <c r="F59" s="2640">
        <f t="shared" si="16"/>
        <v>43952</v>
      </c>
      <c r="G59" s="2640">
        <f t="shared" si="16"/>
        <v>43922</v>
      </c>
      <c r="H59" s="2640">
        <f t="shared" si="16"/>
        <v>43891</v>
      </c>
      <c r="I59" s="2640">
        <f t="shared" si="16"/>
        <v>43862</v>
      </c>
      <c r="J59" s="2640">
        <f t="shared" si="16"/>
        <v>43831</v>
      </c>
      <c r="K59" s="2640">
        <f t="shared" si="16"/>
        <v>43800</v>
      </c>
      <c r="L59" s="2640">
        <f t="shared" si="16"/>
        <v>43770</v>
      </c>
      <c r="M59" s="2640">
        <f t="shared" si="16"/>
        <v>43739</v>
      </c>
      <c r="N59" s="2640">
        <f t="shared" si="16"/>
        <v>43709</v>
      </c>
      <c r="O59" s="2640">
        <f t="shared" si="16"/>
        <v>43678</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2548</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2549</v>
      </c>
      <c r="C83" s="2559" t="s">
        <v>2550</v>
      </c>
      <c r="D83" s="2559" t="s">
        <v>2551</v>
      </c>
      <c r="E83" s="2559" t="s">
        <v>2552</v>
      </c>
      <c r="F83" s="2559" t="s">
        <v>2553</v>
      </c>
      <c r="G83" s="2559" t="s">
        <v>2554</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2547</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643"/>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532" t="s">
        <v>522</v>
      </c>
      <c r="D4" s="3533"/>
      <c r="E4" s="3556" t="s">
        <v>523</v>
      </c>
      <c r="F4" s="3557"/>
      <c r="G4" s="3532" t="s">
        <v>524</v>
      </c>
      <c r="H4" s="3533"/>
      <c r="I4" s="3532" t="s">
        <v>525</v>
      </c>
      <c r="J4" s="3533"/>
      <c r="K4" s="513" t="s">
        <v>526</v>
      </c>
      <c r="L4" s="2115"/>
      <c r="M4" s="2116"/>
      <c r="N4" s="2116"/>
      <c r="O4" s="2116"/>
      <c r="P4" s="3534" t="s">
        <v>527</v>
      </c>
      <c r="Q4" s="3535"/>
      <c r="R4" s="3520" t="s">
        <v>523</v>
      </c>
      <c r="S4" s="3521"/>
      <c r="T4" s="3520" t="s">
        <v>524</v>
      </c>
      <c r="U4" s="3521"/>
      <c r="V4" s="3540" t="s">
        <v>525</v>
      </c>
      <c r="W4" s="3540"/>
      <c r="X4" s="1550"/>
      <c r="Y4" s="3520" t="s">
        <v>527</v>
      </c>
      <c r="Z4" s="3521"/>
      <c r="AA4" s="3515" t="s">
        <v>523</v>
      </c>
      <c r="AB4" s="3516" t="s">
        <v>524</v>
      </c>
      <c r="AC4" s="3515" t="s">
        <v>525</v>
      </c>
    </row>
    <row r="5" spans="1:29" ht="15">
      <c r="A5" s="514"/>
      <c r="B5" s="515"/>
      <c r="C5" s="3543" t="s">
        <v>2919</v>
      </c>
      <c r="D5" s="3544"/>
      <c r="E5" s="3558" t="s">
        <v>2920</v>
      </c>
      <c r="F5" s="3559"/>
      <c r="G5" s="3543" t="s">
        <v>2921</v>
      </c>
      <c r="H5" s="3544"/>
      <c r="I5" s="3543" t="s">
        <v>2922</v>
      </c>
      <c r="J5" s="3544"/>
      <c r="K5" s="513"/>
      <c r="L5" s="2115"/>
      <c r="M5" s="2116"/>
      <c r="N5" s="2116"/>
      <c r="O5" s="2116"/>
      <c r="P5" s="3536"/>
      <c r="Q5" s="3537"/>
      <c r="R5" s="3522"/>
      <c r="S5" s="3523"/>
      <c r="T5" s="3522"/>
      <c r="U5" s="3523"/>
      <c r="V5" s="3540"/>
      <c r="W5" s="3540"/>
      <c r="X5" s="1550"/>
      <c r="Y5" s="3522"/>
      <c r="Z5" s="3523"/>
      <c r="AA5" s="3516"/>
      <c r="AB5" s="3516"/>
      <c r="AC5" s="3516"/>
    </row>
    <row r="6" spans="1:29" ht="15.75" thickBot="1">
      <c r="A6" s="516"/>
      <c r="B6" s="517"/>
      <c r="C6" s="3541" t="s">
        <v>2923</v>
      </c>
      <c r="D6" s="3542"/>
      <c r="E6" s="3560" t="s">
        <v>2923</v>
      </c>
      <c r="F6" s="3561"/>
      <c r="G6" s="3541" t="s">
        <v>2923</v>
      </c>
      <c r="H6" s="3542"/>
      <c r="I6" s="3541" t="s">
        <v>2923</v>
      </c>
      <c r="J6" s="3542"/>
      <c r="K6" s="513" t="s">
        <v>528</v>
      </c>
      <c r="L6" s="2115"/>
      <c r="M6" s="2116"/>
      <c r="N6" s="2116"/>
      <c r="O6" s="2116"/>
      <c r="P6" s="3538"/>
      <c r="Q6" s="3539"/>
      <c r="R6" s="3522"/>
      <c r="S6" s="3523"/>
      <c r="T6" s="3524"/>
      <c r="U6" s="3525"/>
      <c r="V6" s="3540"/>
      <c r="W6" s="3540"/>
      <c r="X6" s="1550"/>
      <c r="Y6" s="3524"/>
      <c r="Z6" s="3525"/>
      <c r="AA6" s="3517"/>
      <c r="AB6" s="3517"/>
      <c r="AC6" s="3517"/>
    </row>
    <row r="7" spans="1:29" s="1214" customFormat="1" ht="15.75" thickBot="1">
      <c r="A7" s="2748"/>
      <c r="B7" s="2755" t="s">
        <v>529</v>
      </c>
      <c r="C7" s="518">
        <f>'数据-取费表'!B2</f>
        <v>44050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518" t="s">
        <v>530</v>
      </c>
      <c r="Q7" s="3527"/>
      <c r="R7" s="1551" t="s">
        <v>8</v>
      </c>
      <c r="S7" s="1552">
        <f t="shared" ref="S7:S15" si="0">F7</f>
        <v>0</v>
      </c>
      <c r="T7" s="1551" t="s">
        <v>8</v>
      </c>
      <c r="U7" s="1552">
        <f t="shared" ref="U7:U15" si="1">H7</f>
        <v>0</v>
      </c>
      <c r="V7" s="1551" t="s">
        <v>8</v>
      </c>
      <c r="W7" s="1552">
        <f t="shared" ref="W7:W15" si="2">J7</f>
        <v>0</v>
      </c>
      <c r="X7" s="1553"/>
      <c r="Y7" s="3518" t="s">
        <v>530</v>
      </c>
      <c r="Z7" s="3519"/>
      <c r="AA7" s="1554" t="e">
        <f>D7/F7</f>
        <v>#DIV/0!</v>
      </c>
      <c r="AB7" s="1554" t="e">
        <f>D7/H7</f>
        <v>#DIV/0!</v>
      </c>
      <c r="AC7" s="1554" t="e">
        <f>D7/J7</f>
        <v>#DIV/0!</v>
      </c>
    </row>
    <row r="8" spans="1:29" s="1214" customFormat="1" ht="15.75" thickBot="1">
      <c r="A8" s="2749"/>
      <c r="B8" s="2756"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518" t="s">
        <v>533</v>
      </c>
      <c r="Q8" s="3519"/>
      <c r="R8" s="1551" t="s">
        <v>8</v>
      </c>
      <c r="S8" s="1552">
        <f t="shared" si="0"/>
        <v>0</v>
      </c>
      <c r="T8" s="1551" t="s">
        <v>8</v>
      </c>
      <c r="U8" s="1552">
        <f t="shared" si="1"/>
        <v>0</v>
      </c>
      <c r="V8" s="1551" t="s">
        <v>8</v>
      </c>
      <c r="W8" s="1552">
        <f t="shared" si="2"/>
        <v>0</v>
      </c>
      <c r="X8" s="1553"/>
      <c r="Y8" s="3518" t="s">
        <v>533</v>
      </c>
      <c r="Z8" s="3519"/>
      <c r="AA8" s="1554" t="e">
        <f t="shared" ref="AA8:AA40" si="3">D8/F8</f>
        <v>#DIV/0!</v>
      </c>
      <c r="AB8" s="1554" t="e">
        <f t="shared" ref="AB8:AB40" si="4">D8/H8</f>
        <v>#DIV/0!</v>
      </c>
      <c r="AC8" s="1554" t="e">
        <f t="shared" ref="AC8:AC40" si="5">D8/J8</f>
        <v>#DIV/0!</v>
      </c>
    </row>
    <row r="9" spans="1:29" s="1214" customFormat="1" ht="15">
      <c r="A9" s="2750"/>
      <c r="B9" s="2757" t="s">
        <v>2746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526" t="s">
        <v>535</v>
      </c>
      <c r="Q9" s="1145" t="str">
        <f t="shared" ref="Q9:Q15" si="6">B9</f>
        <v>用途</v>
      </c>
      <c r="R9" s="1551" t="s">
        <v>8</v>
      </c>
      <c r="S9" s="1552">
        <f t="shared" si="0"/>
        <v>100</v>
      </c>
      <c r="T9" s="1551" t="s">
        <v>8</v>
      </c>
      <c r="U9" s="1552">
        <f t="shared" si="1"/>
        <v>100</v>
      </c>
      <c r="V9" s="1551" t="s">
        <v>8</v>
      </c>
      <c r="W9" s="1552">
        <f t="shared" si="2"/>
        <v>100</v>
      </c>
      <c r="X9" s="1553"/>
      <c r="Y9" s="3480" t="s">
        <v>536</v>
      </c>
      <c r="Z9" s="1144" t="str">
        <f t="shared" ref="Z9:Z15" si="7">Q9</f>
        <v>用途</v>
      </c>
      <c r="AA9" s="1554">
        <f t="shared" si="3"/>
        <v>1</v>
      </c>
      <c r="AB9" s="1554">
        <f t="shared" si="4"/>
        <v>1</v>
      </c>
      <c r="AC9" s="1554">
        <f t="shared" si="5"/>
        <v>1</v>
      </c>
    </row>
    <row r="10" spans="1:29" s="1332" customFormat="1" ht="27">
      <c r="A10" s="2751"/>
      <c r="B10" s="2756" t="s">
        <v>2747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2"/>
      <c r="B11" s="2756" t="s">
        <v>2748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526"/>
      <c r="Q11" s="1145" t="str">
        <f t="shared" si="6"/>
        <v>容积率</v>
      </c>
      <c r="R11" s="1551" t="s">
        <v>8</v>
      </c>
      <c r="S11" s="1552" t="e">
        <f t="shared" si="0"/>
        <v>#N/A</v>
      </c>
      <c r="T11" s="1551" t="s">
        <v>8</v>
      </c>
      <c r="U11" s="1552" t="e">
        <f t="shared" si="1"/>
        <v>#N/A</v>
      </c>
      <c r="V11" s="1551" t="s">
        <v>8</v>
      </c>
      <c r="W11" s="1552" t="e">
        <f t="shared" si="2"/>
        <v>#N/A</v>
      </c>
      <c r="X11" s="1553"/>
      <c r="Y11" s="3480"/>
      <c r="Z11" s="1144" t="str">
        <f t="shared" si="7"/>
        <v>容积率</v>
      </c>
      <c r="AA11" s="1554" t="e">
        <f t="shared" si="3"/>
        <v>#N/A</v>
      </c>
      <c r="AB11" s="1554" t="e">
        <f t="shared" si="4"/>
        <v>#N/A</v>
      </c>
      <c r="AC11" s="1554" t="e">
        <f t="shared" si="5"/>
        <v>#N/A</v>
      </c>
    </row>
    <row r="12" spans="1:29" s="1214" customFormat="1" ht="15">
      <c r="A12" s="2753"/>
      <c r="B12" s="2759">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526"/>
      <c r="Q12" s="1145">
        <f t="shared" si="6"/>
        <v>111</v>
      </c>
      <c r="R12" s="1551" t="s">
        <v>8</v>
      </c>
      <c r="S12" s="1552">
        <f t="shared" si="0"/>
        <v>100</v>
      </c>
      <c r="T12" s="1551" t="s">
        <v>8</v>
      </c>
      <c r="U12" s="1552">
        <f t="shared" si="1"/>
        <v>100</v>
      </c>
      <c r="V12" s="1551" t="s">
        <v>8</v>
      </c>
      <c r="W12" s="1552">
        <f t="shared" si="2"/>
        <v>100</v>
      </c>
      <c r="X12" s="1553"/>
      <c r="Y12" s="3480"/>
      <c r="Z12" s="1144">
        <f t="shared" si="7"/>
        <v>111</v>
      </c>
      <c r="AA12" s="1554">
        <f>D12/F12</f>
        <v>1</v>
      </c>
      <c r="AB12" s="1554">
        <f>D12/H12</f>
        <v>1</v>
      </c>
      <c r="AC12" s="1554">
        <f>D12/J12</f>
        <v>1</v>
      </c>
    </row>
    <row r="13" spans="1:29" ht="15">
      <c r="A13" s="2753"/>
      <c r="B13" s="2759">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526"/>
      <c r="Q13" s="1145">
        <f t="shared" si="6"/>
        <v>111</v>
      </c>
      <c r="R13" s="1551" t="s">
        <v>8</v>
      </c>
      <c r="S13" s="1552">
        <f t="shared" si="0"/>
        <v>100</v>
      </c>
      <c r="T13" s="1551" t="s">
        <v>8</v>
      </c>
      <c r="U13" s="1552">
        <f t="shared" si="1"/>
        <v>100</v>
      </c>
      <c r="V13" s="1551" t="s">
        <v>8</v>
      </c>
      <c r="W13" s="1552">
        <f t="shared" si="2"/>
        <v>100</v>
      </c>
      <c r="X13" s="1553"/>
      <c r="Y13" s="3480"/>
      <c r="Z13" s="1144">
        <f t="shared" si="7"/>
        <v>111</v>
      </c>
      <c r="AA13" s="1554">
        <f t="shared" si="3"/>
        <v>1</v>
      </c>
      <c r="AB13" s="1554">
        <f t="shared" si="4"/>
        <v>1</v>
      </c>
      <c r="AC13" s="1554">
        <f t="shared" si="5"/>
        <v>1</v>
      </c>
    </row>
    <row r="14" spans="1:29" ht="15.75" thickBot="1">
      <c r="A14" s="2754"/>
      <c r="B14" s="2760">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526"/>
      <c r="Q14" s="1145">
        <f t="shared" si="6"/>
        <v>111</v>
      </c>
      <c r="R14" s="1551" t="s">
        <v>8</v>
      </c>
      <c r="S14" s="1552">
        <f t="shared" si="0"/>
        <v>100</v>
      </c>
      <c r="T14" s="1551" t="s">
        <v>8</v>
      </c>
      <c r="U14" s="1552">
        <f t="shared" si="1"/>
        <v>100</v>
      </c>
      <c r="V14" s="1551" t="s">
        <v>8</v>
      </c>
      <c r="W14" s="1552">
        <f t="shared" si="2"/>
        <v>100</v>
      </c>
      <c r="X14" s="1553"/>
      <c r="Y14" s="3480"/>
      <c r="Z14" s="1144">
        <f t="shared" si="7"/>
        <v>111</v>
      </c>
      <c r="AA14" s="1554">
        <f t="shared" si="3"/>
        <v>1</v>
      </c>
      <c r="AB14" s="1554">
        <f t="shared" si="4"/>
        <v>1</v>
      </c>
      <c r="AC14" s="1554">
        <f t="shared" si="5"/>
        <v>1</v>
      </c>
    </row>
    <row r="15" spans="1:29" ht="57">
      <c r="A15" s="2746" t="s">
        <v>2744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528" t="s">
        <v>540</v>
      </c>
      <c r="Q15" s="1555" t="str">
        <f t="shared" si="6"/>
        <v>产业集聚程度</v>
      </c>
      <c r="R15" s="1556" t="s">
        <v>8</v>
      </c>
      <c r="S15" s="1557">
        <f t="shared" si="0"/>
        <v>100</v>
      </c>
      <c r="T15" s="1556" t="s">
        <v>8</v>
      </c>
      <c r="U15" s="1557">
        <f t="shared" si="1"/>
        <v>100</v>
      </c>
      <c r="V15" s="1556" t="s">
        <v>8</v>
      </c>
      <c r="W15" s="1557">
        <f t="shared" si="2"/>
        <v>100</v>
      </c>
      <c r="X15" s="1550"/>
      <c r="Y15" s="3528"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8"/>
      <c r="L16" s="2124"/>
      <c r="M16" s="2116"/>
      <c r="N16" s="2116"/>
      <c r="O16" s="2123"/>
      <c r="P16" s="3529"/>
      <c r="Q16" s="1555"/>
      <c r="R16" s="1556"/>
      <c r="S16" s="1557"/>
      <c r="T16" s="1556"/>
      <c r="U16" s="1557"/>
      <c r="V16" s="1556"/>
      <c r="W16" s="1557"/>
      <c r="X16" s="1550"/>
      <c r="Y16" s="3529"/>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529"/>
      <c r="Q17" s="1555" t="str">
        <f>B17</f>
        <v>交通便捷度</v>
      </c>
      <c r="R17" s="1556" t="s">
        <v>8</v>
      </c>
      <c r="S17" s="1557">
        <f>F17</f>
        <v>100</v>
      </c>
      <c r="T17" s="1556" t="s">
        <v>8</v>
      </c>
      <c r="U17" s="1557">
        <f>H17</f>
        <v>100</v>
      </c>
      <c r="V17" s="1556" t="s">
        <v>8</v>
      </c>
      <c r="W17" s="1557">
        <f>J17</f>
        <v>100</v>
      </c>
      <c r="X17" s="1550"/>
      <c r="Y17" s="352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8"/>
      <c r="L18" s="2124"/>
      <c r="M18" s="2116"/>
      <c r="N18" s="2116"/>
      <c r="O18" s="2123"/>
      <c r="P18" s="3529"/>
      <c r="Q18" s="1555"/>
      <c r="R18" s="1556"/>
      <c r="S18" s="1557"/>
      <c r="T18" s="1556"/>
      <c r="U18" s="1557"/>
      <c r="V18" s="1556"/>
      <c r="W18" s="1557"/>
      <c r="X18" s="1550"/>
      <c r="Y18" s="3529"/>
      <c r="Z18" s="1558"/>
      <c r="AA18" s="1559">
        <v>1</v>
      </c>
      <c r="AB18" s="1559">
        <v>1</v>
      </c>
      <c r="AC18" s="1559">
        <v>1</v>
      </c>
    </row>
    <row r="19" spans="1:29" ht="42.75">
      <c r="A19" s="531"/>
      <c r="B19" s="2564" t="s">
        <v>2537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529"/>
      <c r="Q19" s="1555" t="str">
        <f>B19</f>
        <v>公共配套设施</v>
      </c>
      <c r="R19" s="1556" t="s">
        <v>8</v>
      </c>
      <c r="S19" s="1557">
        <f>F19</f>
        <v>100</v>
      </c>
      <c r="T19" s="1556" t="s">
        <v>8</v>
      </c>
      <c r="U19" s="1557">
        <f>H19</f>
        <v>100</v>
      </c>
      <c r="V19" s="1556" t="s">
        <v>8</v>
      </c>
      <c r="W19" s="1557">
        <f>J19</f>
        <v>100</v>
      </c>
      <c r="X19" s="1550"/>
      <c r="Y19" s="3529"/>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8"/>
      <c r="L20" s="2124"/>
      <c r="M20" s="2116"/>
      <c r="N20" s="2116"/>
      <c r="O20" s="2123"/>
      <c r="P20" s="3529"/>
      <c r="Q20" s="1555"/>
      <c r="R20" s="1556"/>
      <c r="S20" s="1557"/>
      <c r="T20" s="1556"/>
      <c r="U20" s="1557"/>
      <c r="V20" s="1556"/>
      <c r="W20" s="1557"/>
      <c r="X20" s="1550"/>
      <c r="Y20" s="3529"/>
      <c r="Z20" s="1558"/>
      <c r="AA20" s="1559">
        <v>1</v>
      </c>
      <c r="AB20" s="1559">
        <v>1</v>
      </c>
      <c r="AC20" s="1559">
        <v>1</v>
      </c>
    </row>
    <row r="21" spans="1:29" ht="28.5">
      <c r="A21" s="531"/>
      <c r="B21" s="2552" t="s">
        <v>2549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529"/>
      <c r="Q21" s="2540" t="str">
        <f>B21</f>
        <v>基础设施水平</v>
      </c>
      <c r="R21" s="1556" t="s">
        <v>8</v>
      </c>
      <c r="S21" s="1557">
        <f>F21</f>
        <v>100</v>
      </c>
      <c r="T21" s="1556" t="s">
        <v>8</v>
      </c>
      <c r="U21" s="1557">
        <f>H21</f>
        <v>100</v>
      </c>
      <c r="V21" s="1556" t="s">
        <v>8</v>
      </c>
      <c r="W21" s="1557">
        <f>J21</f>
        <v>100</v>
      </c>
      <c r="X21" s="2542"/>
      <c r="Y21" s="3529"/>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529"/>
      <c r="Q22" s="2540"/>
      <c r="R22" s="1556"/>
      <c r="S22" s="1557"/>
      <c r="T22" s="1556"/>
      <c r="U22" s="1557"/>
      <c r="V22" s="1556"/>
      <c r="W22" s="1557"/>
      <c r="X22" s="2542"/>
      <c r="Y22" s="3529"/>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529"/>
      <c r="Q23" s="1555" t="str">
        <f>B23</f>
        <v>环境质量</v>
      </c>
      <c r="R23" s="1556" t="s">
        <v>8</v>
      </c>
      <c r="S23" s="1557">
        <f>F23</f>
        <v>100</v>
      </c>
      <c r="T23" s="1556" t="s">
        <v>8</v>
      </c>
      <c r="U23" s="1557">
        <f>H23</f>
        <v>100</v>
      </c>
      <c r="V23" s="1556" t="s">
        <v>8</v>
      </c>
      <c r="W23" s="1557">
        <f>J23</f>
        <v>100</v>
      </c>
      <c r="X23" s="1550"/>
      <c r="Y23" s="3529"/>
      <c r="Z23" s="1558" t="str">
        <f>Q23</f>
        <v>环境质量</v>
      </c>
      <c r="AA23" s="1559">
        <f t="shared" si="3"/>
        <v>1</v>
      </c>
      <c r="AB23" s="1559">
        <f t="shared" si="4"/>
        <v>1</v>
      </c>
      <c r="AC23" s="1559">
        <f t="shared" si="5"/>
        <v>1</v>
      </c>
    </row>
    <row r="24" spans="1:29" ht="15">
      <c r="A24" s="531"/>
      <c r="B24" s="921"/>
      <c r="C24" s="575"/>
      <c r="D24" s="554"/>
      <c r="E24" s="555"/>
      <c r="F24" s="556"/>
      <c r="G24" s="557"/>
      <c r="H24" s="554"/>
      <c r="I24" s="555"/>
      <c r="J24" s="554"/>
      <c r="K24" s="898"/>
      <c r="L24" s="2124"/>
      <c r="M24" s="2116"/>
      <c r="N24" s="2116"/>
      <c r="O24" s="2123"/>
      <c r="P24" s="3529"/>
      <c r="Q24" s="1555"/>
      <c r="R24" s="1556"/>
      <c r="S24" s="1557"/>
      <c r="T24" s="1556"/>
      <c r="U24" s="1557"/>
      <c r="V24" s="1556"/>
      <c r="W24" s="1557"/>
      <c r="X24" s="1550"/>
      <c r="Y24" s="3529"/>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529"/>
      <c r="Q25" s="1555">
        <f>B25</f>
        <v>111</v>
      </c>
      <c r="R25" s="1556" t="s">
        <v>8</v>
      </c>
      <c r="S25" s="1557">
        <f>F25</f>
        <v>100</v>
      </c>
      <c r="T25" s="1556" t="s">
        <v>8</v>
      </c>
      <c r="U25" s="1557">
        <f>H25</f>
        <v>100</v>
      </c>
      <c r="V25" s="1556" t="s">
        <v>8</v>
      </c>
      <c r="W25" s="1557">
        <f>J25</f>
        <v>100</v>
      </c>
      <c r="X25" s="1550"/>
      <c r="Y25" s="3529"/>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529"/>
      <c r="Q26" s="1555">
        <f t="shared" ref="Q26:Q40" si="11">B26</f>
        <v>111</v>
      </c>
      <c r="R26" s="1556" t="s">
        <v>8</v>
      </c>
      <c r="S26" s="1557">
        <f>F26</f>
        <v>100</v>
      </c>
      <c r="T26" s="1556" t="s">
        <v>8</v>
      </c>
      <c r="U26" s="1557">
        <f>H26</f>
        <v>100</v>
      </c>
      <c r="V26" s="1556" t="s">
        <v>8</v>
      </c>
      <c r="W26" s="1557">
        <f>J26</f>
        <v>100</v>
      </c>
      <c r="X26" s="1550"/>
      <c r="Y26" s="3529"/>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529"/>
      <c r="Q27" s="1145">
        <f t="shared" si="11"/>
        <v>111</v>
      </c>
      <c r="R27" s="1551" t="s">
        <v>8</v>
      </c>
      <c r="S27" s="1552">
        <f>F27</f>
        <v>100</v>
      </c>
      <c r="T27" s="1551" t="s">
        <v>8</v>
      </c>
      <c r="U27" s="1552">
        <f>H27</f>
        <v>100</v>
      </c>
      <c r="V27" s="1551" t="s">
        <v>8</v>
      </c>
      <c r="W27" s="1552">
        <f>J27</f>
        <v>100</v>
      </c>
      <c r="X27" s="1553"/>
      <c r="Y27" s="3529"/>
      <c r="Z27" s="1144">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529"/>
      <c r="Q28" s="1555">
        <f t="shared" si="11"/>
        <v>111</v>
      </c>
      <c r="R28" s="1556" t="s">
        <v>8</v>
      </c>
      <c r="S28" s="1557">
        <f t="shared" ref="S28:S40" si="12">F28</f>
        <v>100</v>
      </c>
      <c r="T28" s="1556" t="s">
        <v>8</v>
      </c>
      <c r="U28" s="1557">
        <f t="shared" ref="U28:U40" si="13">H28</f>
        <v>100</v>
      </c>
      <c r="V28" s="1556" t="s">
        <v>8</v>
      </c>
      <c r="W28" s="1557">
        <f t="shared" ref="W28:W40" si="14">J28</f>
        <v>100</v>
      </c>
      <c r="X28" s="1550"/>
      <c r="Y28" s="3529"/>
      <c r="Z28" s="1558">
        <f t="shared" ref="Z28:Z40" si="15">Q28</f>
        <v>111</v>
      </c>
      <c r="AA28" s="1559">
        <f t="shared" si="3"/>
        <v>1</v>
      </c>
      <c r="AB28" s="1559">
        <f t="shared" si="4"/>
        <v>1</v>
      </c>
      <c r="AC28" s="1559">
        <f t="shared" si="5"/>
        <v>1</v>
      </c>
    </row>
    <row r="29" spans="1:29" ht="15">
      <c r="A29" s="2743" t="s">
        <v>2745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530" t="s">
        <v>550</v>
      </c>
      <c r="Q29" s="1555" t="str">
        <f t="shared" si="11"/>
        <v>建筑类型</v>
      </c>
      <c r="R29" s="1556" t="s">
        <v>8</v>
      </c>
      <c r="S29" s="1557">
        <f t="shared" si="12"/>
        <v>100</v>
      </c>
      <c r="T29" s="1556" t="s">
        <v>8</v>
      </c>
      <c r="U29" s="1557">
        <f t="shared" si="13"/>
        <v>100</v>
      </c>
      <c r="V29" s="1556" t="s">
        <v>8</v>
      </c>
      <c r="W29" s="1557">
        <f t="shared" si="14"/>
        <v>100</v>
      </c>
      <c r="X29" s="1550"/>
      <c r="Y29" s="3531" t="s">
        <v>550</v>
      </c>
      <c r="Z29" s="1558" t="str">
        <f t="shared" si="15"/>
        <v>建筑类型</v>
      </c>
      <c r="AA29" s="1559">
        <f t="shared" si="3"/>
        <v>1</v>
      </c>
      <c r="AB29" s="1559">
        <f t="shared" si="4"/>
        <v>1</v>
      </c>
      <c r="AC29" s="1559">
        <f t="shared" si="5"/>
        <v>1</v>
      </c>
    </row>
    <row r="30" spans="1:29" s="1333"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531"/>
      <c r="Q30" s="1587" t="str">
        <f t="shared" si="11"/>
        <v>项目建筑规模</v>
      </c>
      <c r="R30" s="1560" t="s">
        <v>8</v>
      </c>
      <c r="S30" s="1561" t="e">
        <f t="shared" si="12"/>
        <v>#N/A</v>
      </c>
      <c r="T30" s="1560" t="s">
        <v>8</v>
      </c>
      <c r="U30" s="1561" t="e">
        <f t="shared" si="13"/>
        <v>#N/A</v>
      </c>
      <c r="V30" s="1560" t="s">
        <v>8</v>
      </c>
      <c r="W30" s="1561" t="e">
        <f t="shared" si="14"/>
        <v>#N/A</v>
      </c>
      <c r="X30" s="1562"/>
      <c r="Y30" s="3531"/>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531"/>
      <c r="Q31" s="1555" t="str">
        <f t="shared" si="11"/>
        <v>建筑结构</v>
      </c>
      <c r="R31" s="1556" t="s">
        <v>8</v>
      </c>
      <c r="S31" s="1557">
        <f t="shared" si="12"/>
        <v>100</v>
      </c>
      <c r="T31" s="1556" t="s">
        <v>8</v>
      </c>
      <c r="U31" s="1557">
        <f t="shared" si="13"/>
        <v>100</v>
      </c>
      <c r="V31" s="1556" t="s">
        <v>8</v>
      </c>
      <c r="W31" s="1557">
        <f t="shared" si="14"/>
        <v>100</v>
      </c>
      <c r="X31" s="1550"/>
      <c r="Y31" s="3531"/>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531"/>
      <c r="Q32" s="1555" t="str">
        <f t="shared" si="11"/>
        <v>公共部分装修</v>
      </c>
      <c r="R32" s="1556" t="s">
        <v>8</v>
      </c>
      <c r="S32" s="1557">
        <f t="shared" si="12"/>
        <v>100</v>
      </c>
      <c r="T32" s="1556" t="s">
        <v>8</v>
      </c>
      <c r="U32" s="1557">
        <f t="shared" si="13"/>
        <v>100</v>
      </c>
      <c r="V32" s="1556" t="s">
        <v>8</v>
      </c>
      <c r="W32" s="1557">
        <f t="shared" si="14"/>
        <v>100</v>
      </c>
      <c r="X32" s="1550"/>
      <c r="Y32" s="3531"/>
      <c r="Z32" s="1558" t="str">
        <f t="shared" si="15"/>
        <v>公共部分装修</v>
      </c>
      <c r="AA32" s="1559">
        <f t="shared" si="3"/>
        <v>1</v>
      </c>
      <c r="AB32" s="1559">
        <f t="shared" si="4"/>
        <v>1</v>
      </c>
      <c r="AC32" s="1559">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531"/>
      <c r="Q33" s="1555" t="str">
        <f t="shared" si="11"/>
        <v>成新度</v>
      </c>
      <c r="R33" s="1556" t="s">
        <v>8</v>
      </c>
      <c r="S33" s="1557" t="e">
        <f t="shared" si="12"/>
        <v>#N/A</v>
      </c>
      <c r="T33" s="1556" t="s">
        <v>8</v>
      </c>
      <c r="U33" s="1557" t="e">
        <f t="shared" si="13"/>
        <v>#N/A</v>
      </c>
      <c r="V33" s="1556" t="s">
        <v>8</v>
      </c>
      <c r="W33" s="1557" t="e">
        <f t="shared" si="14"/>
        <v>#N/A</v>
      </c>
      <c r="X33" s="1550"/>
      <c r="Y33" s="3531"/>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531"/>
      <c r="Q34" s="1145" t="str">
        <f t="shared" si="11"/>
        <v>物业管理</v>
      </c>
      <c r="R34" s="1551" t="s">
        <v>8</v>
      </c>
      <c r="S34" s="1552">
        <f t="shared" si="12"/>
        <v>100</v>
      </c>
      <c r="T34" s="1551" t="s">
        <v>8</v>
      </c>
      <c r="U34" s="1552">
        <f t="shared" si="13"/>
        <v>100</v>
      </c>
      <c r="V34" s="1551" t="s">
        <v>8</v>
      </c>
      <c r="W34" s="1552">
        <f t="shared" si="14"/>
        <v>100</v>
      </c>
      <c r="X34" s="1553"/>
      <c r="Y34" s="3531"/>
      <c r="Z34" s="1144" t="str">
        <f t="shared" si="15"/>
        <v>物业管理</v>
      </c>
      <c r="AA34" s="1554">
        <f t="shared" si="3"/>
        <v>1</v>
      </c>
      <c r="AB34" s="1554">
        <f t="shared" si="4"/>
        <v>1</v>
      </c>
      <c r="AC34" s="1554">
        <f t="shared" si="5"/>
        <v>1</v>
      </c>
    </row>
    <row r="35" spans="1:29" ht="15">
      <c r="A35" s="593"/>
      <c r="B35" s="1877" t="s">
        <v>2556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531" t="s">
        <v>550</v>
      </c>
      <c r="Q35" s="1555" t="str">
        <f t="shared" si="11"/>
        <v>市政基础设施</v>
      </c>
      <c r="R35" s="1556" t="s">
        <v>8</v>
      </c>
      <c r="S35" s="1557">
        <f t="shared" si="12"/>
        <v>100</v>
      </c>
      <c r="T35" s="1556" t="s">
        <v>8</v>
      </c>
      <c r="U35" s="1557">
        <f t="shared" si="13"/>
        <v>100</v>
      </c>
      <c r="V35" s="1556" t="s">
        <v>8</v>
      </c>
      <c r="W35" s="1557">
        <f t="shared" si="14"/>
        <v>100</v>
      </c>
      <c r="X35" s="1550"/>
      <c r="Y35" s="3531"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531"/>
      <c r="Q36" s="1555" t="str">
        <f t="shared" si="11"/>
        <v>内部装修</v>
      </c>
      <c r="R36" s="1556" t="s">
        <v>8</v>
      </c>
      <c r="S36" s="1557">
        <f t="shared" si="12"/>
        <v>100</v>
      </c>
      <c r="T36" s="1556" t="s">
        <v>8</v>
      </c>
      <c r="U36" s="1557">
        <f t="shared" si="13"/>
        <v>100</v>
      </c>
      <c r="V36" s="1556" t="s">
        <v>8</v>
      </c>
      <c r="W36" s="1557">
        <f t="shared" si="14"/>
        <v>100</v>
      </c>
      <c r="X36" s="1550"/>
      <c r="Y36" s="3531"/>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531"/>
      <c r="Q37" s="1555" t="str">
        <f t="shared" si="11"/>
        <v>内部装修状况</v>
      </c>
      <c r="R37" s="1556" t="s">
        <v>8</v>
      </c>
      <c r="S37" s="1557">
        <f t="shared" si="12"/>
        <v>100</v>
      </c>
      <c r="T37" s="1556" t="s">
        <v>8</v>
      </c>
      <c r="U37" s="1557">
        <f t="shared" si="13"/>
        <v>100</v>
      </c>
      <c r="V37" s="1556" t="s">
        <v>8</v>
      </c>
      <c r="W37" s="1557">
        <f t="shared" si="14"/>
        <v>100</v>
      </c>
      <c r="X37" s="1550"/>
      <c r="Y37" s="3531"/>
      <c r="Z37" s="1558" t="str">
        <f t="shared" si="15"/>
        <v>内部装修状况</v>
      </c>
      <c r="AA37" s="1559">
        <f t="shared" si="3"/>
        <v>1</v>
      </c>
      <c r="AB37" s="1559">
        <f t="shared" si="4"/>
        <v>1</v>
      </c>
      <c r="AC37" s="1559">
        <f t="shared" si="5"/>
        <v>1</v>
      </c>
    </row>
    <row r="38" spans="1:29" s="133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531"/>
      <c r="Q38" s="1587">
        <f t="shared" si="11"/>
        <v>111</v>
      </c>
      <c r="R38" s="1560" t="s">
        <v>8</v>
      </c>
      <c r="S38" s="1561">
        <f t="shared" si="12"/>
        <v>100</v>
      </c>
      <c r="T38" s="1560" t="s">
        <v>8</v>
      </c>
      <c r="U38" s="1561">
        <f t="shared" si="13"/>
        <v>100</v>
      </c>
      <c r="V38" s="1560" t="s">
        <v>8</v>
      </c>
      <c r="W38" s="1561">
        <f t="shared" si="14"/>
        <v>100</v>
      </c>
      <c r="X38" s="1562"/>
      <c r="Y38" s="3531"/>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531"/>
      <c r="Q39" s="1555">
        <f t="shared" si="11"/>
        <v>111</v>
      </c>
      <c r="R39" s="1556" t="s">
        <v>8</v>
      </c>
      <c r="S39" s="1557">
        <f t="shared" si="12"/>
        <v>100</v>
      </c>
      <c r="T39" s="1556" t="s">
        <v>8</v>
      </c>
      <c r="U39" s="1557">
        <f t="shared" si="13"/>
        <v>100</v>
      </c>
      <c r="V39" s="1556" t="s">
        <v>8</v>
      </c>
      <c r="W39" s="1557">
        <f t="shared" si="14"/>
        <v>100</v>
      </c>
      <c r="X39" s="1550"/>
      <c r="Y39" s="3531"/>
      <c r="Z39" s="1558">
        <f t="shared" si="15"/>
        <v>111</v>
      </c>
      <c r="AA39" s="1559">
        <f t="shared" si="3"/>
        <v>1</v>
      </c>
      <c r="AB39" s="1559">
        <f t="shared" si="4"/>
        <v>1</v>
      </c>
      <c r="AC39" s="1559">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631"/>
      <c r="Q40" s="1555">
        <f t="shared" si="11"/>
        <v>111</v>
      </c>
      <c r="R40" s="1556" t="s">
        <v>8</v>
      </c>
      <c r="S40" s="1557">
        <f t="shared" si="12"/>
        <v>100</v>
      </c>
      <c r="T40" s="1556" t="s">
        <v>8</v>
      </c>
      <c r="U40" s="1557">
        <f t="shared" si="13"/>
        <v>100</v>
      </c>
      <c r="V40" s="1556" t="s">
        <v>8</v>
      </c>
      <c r="W40" s="1557">
        <f t="shared" si="14"/>
        <v>100</v>
      </c>
      <c r="X40" s="1550"/>
      <c r="Y40" s="3631"/>
      <c r="Z40" s="1558">
        <f t="shared" si="15"/>
        <v>111</v>
      </c>
      <c r="AA40" s="1559">
        <f t="shared" si="3"/>
        <v>1</v>
      </c>
      <c r="AB40" s="1559">
        <f t="shared" si="4"/>
        <v>1</v>
      </c>
      <c r="AC40" s="1559">
        <f t="shared" si="5"/>
        <v>1</v>
      </c>
    </row>
    <row r="41" spans="1:29" ht="15">
      <c r="A41" s="606" t="s">
        <v>736</v>
      </c>
      <c r="B41" s="886"/>
      <c r="C41" s="2588" t="s">
        <v>1</v>
      </c>
      <c r="D41" s="2589"/>
      <c r="E41" s="2590"/>
      <c r="F41" s="2591"/>
      <c r="G41" s="2592"/>
      <c r="H41" s="2593"/>
      <c r="I41" s="2590"/>
      <c r="J41" s="2593"/>
      <c r="K41" s="1593"/>
      <c r="L41" s="2126"/>
      <c r="M41" s="2127"/>
      <c r="N41" s="2116"/>
      <c r="O41" s="2127"/>
      <c r="P41" s="3526" t="str">
        <f>A41</f>
        <v>成交单价（元/平方米）</v>
      </c>
      <c r="Q41" s="3526"/>
      <c r="R41" s="3630">
        <f>E41</f>
        <v>0</v>
      </c>
      <c r="S41" s="3630"/>
      <c r="T41" s="3630">
        <f>G41</f>
        <v>0</v>
      </c>
      <c r="U41" s="3630"/>
      <c r="V41" s="3630">
        <f>I41</f>
        <v>0</v>
      </c>
      <c r="W41" s="3630"/>
      <c r="X41" s="1542"/>
      <c r="Y41" s="1564"/>
      <c r="Z41" s="1542"/>
      <c r="AA41" s="1542"/>
      <c r="AB41" s="1542"/>
      <c r="AC41" s="1542"/>
    </row>
    <row r="42" spans="1:29" ht="15.75" thickBot="1">
      <c r="A42" s="614" t="s">
        <v>2750</v>
      </c>
      <c r="B42" s="887"/>
      <c r="C42" s="2594" t="e">
        <f>R43</f>
        <v>#DIV/0!</v>
      </c>
      <c r="D42" s="2595"/>
      <c r="E42" s="2596" t="e">
        <f>R42</f>
        <v>#DIV/0!</v>
      </c>
      <c r="F42" s="2596"/>
      <c r="G42" s="2594" t="e">
        <f>T42</f>
        <v>#DIV/0!</v>
      </c>
      <c r="H42" s="2595"/>
      <c r="I42" s="2596" t="e">
        <f>V42</f>
        <v>#DIV/0!</v>
      </c>
      <c r="J42" s="2595"/>
      <c r="K42" s="1594"/>
      <c r="L42" s="2126"/>
      <c r="M42" s="2127"/>
      <c r="N42" s="2116"/>
      <c r="O42" s="2127"/>
      <c r="P42" s="3526" t="str">
        <f>A42</f>
        <v>比较价格（元/平方米）</v>
      </c>
      <c r="Q42" s="3526"/>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542"/>
      <c r="Y42" s="1542"/>
      <c r="Z42" s="1542"/>
      <c r="AA42" s="1542"/>
      <c r="AB42" s="1542"/>
      <c r="AC42" s="1542"/>
    </row>
    <row r="43" spans="1:29" ht="15.75" thickBot="1">
      <c r="A43" s="620" t="s">
        <v>2925</v>
      </c>
      <c r="B43" s="621"/>
      <c r="C43" s="2597" t="e">
        <f>R43</f>
        <v>#DIV/0!</v>
      </c>
      <c r="D43" s="2597"/>
      <c r="E43" s="2597"/>
      <c r="F43" s="2597"/>
      <c r="G43" s="2597"/>
      <c r="H43" s="2597"/>
      <c r="I43" s="2597"/>
      <c r="J43" s="2597"/>
      <c r="K43" s="1595"/>
      <c r="L43" s="2126"/>
      <c r="M43" s="2127"/>
      <c r="N43" s="2127"/>
      <c r="O43" s="2127"/>
      <c r="P43" s="3547" t="str">
        <f>A43</f>
        <v>估价对象XX用房的比较价格（楼面单价，元/平方米）</v>
      </c>
      <c r="Q43" s="3548"/>
      <c r="R43" s="3629" t="e">
        <f>IF(F1="售价",ROUND(AVERAGE(R42:V42),0),ROUND(AVERAGE(R42:V42),1))</f>
        <v>#DIV/0!</v>
      </c>
      <c r="S43" s="3629"/>
      <c r="T43" s="3629"/>
      <c r="U43" s="3629"/>
      <c r="V43" s="3629"/>
      <c r="W43" s="3629"/>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4" t="s">
        <v>529</v>
      </c>
      <c r="B52" s="645"/>
      <c r="C52" s="2638" t="str">
        <f>YEAR(C7)&amp;"-"&amp;MONTH(C7)</f>
        <v>2020-8</v>
      </c>
      <c r="D52" s="2640">
        <f>EDATE(C52,-1)</f>
        <v>44013</v>
      </c>
      <c r="E52" s="2640">
        <f t="shared" ref="E52:O52" si="16">EDATE(D52,-1)</f>
        <v>43983</v>
      </c>
      <c r="F52" s="2640">
        <f t="shared" si="16"/>
        <v>43952</v>
      </c>
      <c r="G52" s="2640">
        <f t="shared" si="16"/>
        <v>43922</v>
      </c>
      <c r="H52" s="2640">
        <f t="shared" si="16"/>
        <v>43891</v>
      </c>
      <c r="I52" s="2640">
        <f t="shared" si="16"/>
        <v>43862</v>
      </c>
      <c r="J52" s="2640">
        <f t="shared" si="16"/>
        <v>43831</v>
      </c>
      <c r="K52" s="2640">
        <f t="shared" si="16"/>
        <v>43800</v>
      </c>
      <c r="L52" s="2640">
        <f t="shared" si="16"/>
        <v>43770</v>
      </c>
      <c r="M52" s="2640">
        <f t="shared" si="16"/>
        <v>43739</v>
      </c>
      <c r="N52" s="2640">
        <f t="shared" si="16"/>
        <v>43709</v>
      </c>
      <c r="O52" s="2640">
        <f t="shared" si="16"/>
        <v>43678</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2548</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2549</v>
      </c>
      <c r="C76" s="2559" t="s">
        <v>2550</v>
      </c>
      <c r="D76" s="2559" t="s">
        <v>2551</v>
      </c>
      <c r="E76" s="2559" t="s">
        <v>2552</v>
      </c>
      <c r="F76" s="2559" t="s">
        <v>2553</v>
      </c>
      <c r="G76" s="2559" t="s">
        <v>2554</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2547</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1898</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1899</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177193.01平方米。根据《建设工程规划许可证》[]、《出让合同》[]，估价对象规划建筑面积为472085.52平方米。</v>
      </c>
    </row>
    <row r="7" spans="1:4" ht="93.75">
      <c r="A7" s="2709" t="s">
        <v>2738</v>
      </c>
    </row>
    <row r="8" spans="1:4" ht="18.75">
      <c r="A8" s="1776" t="s">
        <v>1900</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2018</v>
      </c>
    </row>
    <row r="11" spans="1:4" ht="18.75">
      <c r="A11" s="1762" t="str">
        <f>TEXT(项目基本情况!D3,"yyyy年m月d日;;")&amp;IF(项目基本情况!B3=项目基本情况!D3,"（评估专业人员勘察现场之日）","")</f>
        <v>2020年8月7日（评估专业人员勘察现场之日）</v>
      </c>
    </row>
    <row r="12" spans="1:4" ht="18.75">
      <c r="A12" s="1779" t="s">
        <v>2017</v>
      </c>
    </row>
    <row r="13" spans="1:4" ht="18.75">
      <c r="A13" s="1773" t="s">
        <v>2063</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2064</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2065</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根据《国有土地使用证》[]，估价对象（分摊）出让国有建设用地使用权面积为177193.01平方米。根据《建设工程规划许可证》[]、《出让合同》[]，估价对象规划建筑面积为472085.52平方米。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2066</v>
      </c>
    </row>
    <row r="23" spans="1:1" ht="18.75">
      <c r="A23" s="2711" t="s">
        <v>2739</v>
      </c>
    </row>
    <row r="24" spans="1:1" ht="18.75">
      <c r="A24" s="1773" t="s">
        <v>2067</v>
      </c>
    </row>
    <row r="25" spans="1:1" ht="75">
      <c r="A25" s="1773" t="str">
        <f>定义!C53</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2019</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2020</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2996</v>
      </c>
      <c r="D1" s="3209" t="s">
        <v>949</v>
      </c>
      <c r="E1" s="2348" t="s">
        <v>867</v>
      </c>
      <c r="F1" s="2349">
        <f ca="1">J53</f>
        <v>31.66</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17577</v>
      </c>
      <c r="C2" s="2039"/>
      <c r="D2" s="2037"/>
      <c r="E2" s="2038"/>
      <c r="F2" s="2038"/>
      <c r="G2" s="1573"/>
      <c r="H2" s="2039"/>
      <c r="I2" s="2039"/>
      <c r="J2" s="2039"/>
      <c r="K2" s="2040"/>
      <c r="L2" s="2039"/>
      <c r="M2" s="2039"/>
    </row>
    <row r="3" spans="1:33" ht="18" customHeight="1" thickBot="1">
      <c r="A3" s="832" t="s">
        <v>519</v>
      </c>
      <c r="B3" s="833">
        <f ca="1">IF(ISERROR(B2*10000/F43),0,ROUND(B2*10000/F43,0))</f>
        <v>15091</v>
      </c>
      <c r="C3" s="2039"/>
      <c r="D3" s="2037"/>
      <c r="E3" s="2038"/>
      <c r="F3" s="2038"/>
      <c r="G3" s="1573"/>
      <c r="H3" s="775" t="s">
        <v>695</v>
      </c>
      <c r="I3" s="1357"/>
      <c r="J3" s="1357"/>
      <c r="K3" s="1574"/>
      <c r="L3" s="1357"/>
      <c r="M3" s="1357"/>
    </row>
    <row r="4" spans="1:33" ht="18" customHeight="1">
      <c r="A4" s="776" t="s">
        <v>698</v>
      </c>
      <c r="B4" s="777" t="s">
        <v>631</v>
      </c>
      <c r="C4" s="777" t="s">
        <v>632</v>
      </c>
      <c r="D4" s="777" t="s">
        <v>633</v>
      </c>
      <c r="E4" s="778" t="s">
        <v>1725</v>
      </c>
      <c r="F4" s="779"/>
      <c r="G4" s="1575"/>
      <c r="H4" s="776" t="s">
        <v>698</v>
      </c>
      <c r="I4" s="777" t="s">
        <v>631</v>
      </c>
      <c r="J4" s="777" t="s">
        <v>632</v>
      </c>
      <c r="K4" s="777" t="s">
        <v>633</v>
      </c>
      <c r="L4" s="778" t="s">
        <v>1725</v>
      </c>
      <c r="M4" s="779"/>
    </row>
    <row r="5" spans="1:33" ht="18" customHeight="1">
      <c r="A5" s="780">
        <v>1</v>
      </c>
      <c r="B5" s="781" t="s">
        <v>2449</v>
      </c>
      <c r="C5" s="55">
        <f ca="1">C6+C10+C12</f>
        <v>1149</v>
      </c>
      <c r="D5" s="2457" t="s">
        <v>2452</v>
      </c>
      <c r="E5" s="2451"/>
      <c r="F5" s="2452"/>
      <c r="G5" s="1575"/>
      <c r="H5" s="780">
        <v>1</v>
      </c>
      <c r="I5" s="781" t="s">
        <v>2449</v>
      </c>
      <c r="J5" s="55">
        <f ca="1">J6+J10+J12</f>
        <v>0</v>
      </c>
      <c r="K5" s="2457" t="s">
        <v>2452</v>
      </c>
      <c r="L5" s="2451"/>
      <c r="M5" s="2452"/>
    </row>
    <row r="6" spans="1:33" ht="18" customHeight="1">
      <c r="A6" s="1812" t="s">
        <v>1818</v>
      </c>
      <c r="B6" s="3600" t="s">
        <v>2454</v>
      </c>
      <c r="C6" s="782">
        <f ca="1">ROUND(F6*F8*F7*(1-F9)/10000,0)</f>
        <v>1148</v>
      </c>
      <c r="D6" s="2458" t="s">
        <v>2453</v>
      </c>
      <c r="E6" s="783" t="s">
        <v>637</v>
      </c>
      <c r="F6" s="784">
        <f ca="1">INDIRECT("'数据-取费表'!u"&amp;$G$1)</f>
        <v>3</v>
      </c>
      <c r="G6" s="1575"/>
      <c r="H6" s="2465" t="s">
        <v>1818</v>
      </c>
      <c r="I6" s="3600" t="s">
        <v>2454</v>
      </c>
      <c r="J6" s="782">
        <f ca="1">ROUND(M6*M8*M7*(1-M9)/10000,0)</f>
        <v>0</v>
      </c>
      <c r="K6" s="340" t="s">
        <v>1731</v>
      </c>
      <c r="L6" s="783" t="s">
        <v>637</v>
      </c>
      <c r="M6" s="784">
        <f ca="1">INDIRECT("'数据-取费表'!z"&amp;$G$1)</f>
        <v>0</v>
      </c>
    </row>
    <row r="7" spans="1:33" ht="18" customHeight="1">
      <c r="A7" s="2461"/>
      <c r="B7" s="3601"/>
      <c r="C7" s="787"/>
      <c r="D7" s="788"/>
      <c r="E7" s="783" t="s">
        <v>638</v>
      </c>
      <c r="F7" s="784">
        <f ca="1">IF(INDIRECT("'数据-取费表'!ah"&amp;$G$1)="",INDIRECT("'数据-取费表'!k"&amp;$G$1),INDIRECT("'数据-取费表'!ah"&amp;$G$1))</f>
        <v>11647.55</v>
      </c>
      <c r="G7" s="1575"/>
      <c r="H7" s="2450"/>
      <c r="I7" s="3601"/>
      <c r="J7" s="787"/>
      <c r="K7" s="788"/>
      <c r="L7" s="783" t="s">
        <v>638</v>
      </c>
      <c r="M7" s="784">
        <f ca="1">F7</f>
        <v>11647.55</v>
      </c>
    </row>
    <row r="8" spans="1:33" ht="18" customHeight="1">
      <c r="A8" s="2454"/>
      <c r="B8" s="3602"/>
      <c r="C8" s="787"/>
      <c r="D8" s="788"/>
      <c r="E8" s="783" t="s">
        <v>639</v>
      </c>
      <c r="F8" s="784">
        <f ca="1">INDIRECT("'数据-取费表'!ai"&amp;$G$1)</f>
        <v>365</v>
      </c>
      <c r="G8" s="1575"/>
      <c r="H8" s="2450"/>
      <c r="I8" s="3602"/>
      <c r="J8" s="787"/>
      <c r="K8" s="788"/>
      <c r="L8" s="783" t="s">
        <v>639</v>
      </c>
      <c r="M8" s="784">
        <f ca="1">INDIRECT("'数据-取费表'!ai"&amp;$G$1)</f>
        <v>365</v>
      </c>
    </row>
    <row r="9" spans="1:33" ht="18" customHeight="1">
      <c r="A9" s="785"/>
      <c r="B9" s="3603"/>
      <c r="C9" s="787"/>
      <c r="D9" s="788"/>
      <c r="E9" s="783" t="s">
        <v>1735</v>
      </c>
      <c r="F9" s="793">
        <f ca="1">INDIRECT("'数据-取费表'!w"&amp;$G$1)</f>
        <v>0.1</v>
      </c>
      <c r="G9" s="1575"/>
      <c r="H9" s="2466"/>
      <c r="I9" s="3602"/>
      <c r="J9" s="787"/>
      <c r="K9" s="788"/>
      <c r="L9" s="794" t="s">
        <v>1735</v>
      </c>
      <c r="M9" s="795">
        <f ca="1">INDIRECT("'数据-取费表'!ab"&amp;$G$1)</f>
        <v>0</v>
      </c>
    </row>
    <row r="10" spans="1:33" ht="18" customHeight="1">
      <c r="A10" s="1812" t="s">
        <v>1819</v>
      </c>
      <c r="B10" s="2455" t="s">
        <v>2450</v>
      </c>
      <c r="C10" s="798">
        <f ca="1">ROUND(IF(F10="押一",C6/12*F11,IF(F10="押二",C6/12*2*F11,IF(F10="押三",C6/12*3*F11,C11*F11))),0)</f>
        <v>1</v>
      </c>
      <c r="D10" s="2462" t="s">
        <v>2963</v>
      </c>
      <c r="E10" s="2459" t="s">
        <v>2455</v>
      </c>
      <c r="F10" s="2582" t="s">
        <v>3300</v>
      </c>
      <c r="G10" s="1575"/>
      <c r="H10" s="2522" t="s">
        <v>1819</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2447</v>
      </c>
      <c r="F11" s="795">
        <f ca="1">'数据-取费表'!B39</f>
        <v>1.4999999999999999E-2</v>
      </c>
      <c r="G11" s="1575"/>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75"/>
      <c r="H12" s="2512" t="s">
        <v>2458</v>
      </c>
      <c r="I12" s="2525" t="s">
        <v>2451</v>
      </c>
      <c r="J12" s="2526"/>
      <c r="K12" s="2501"/>
      <c r="L12" s="2502"/>
      <c r="M12" s="2515"/>
    </row>
    <row r="13" spans="1:33" ht="18" customHeight="1" thickTop="1">
      <c r="A13" s="1811">
        <v>2</v>
      </c>
      <c r="B13" s="1809" t="s">
        <v>644</v>
      </c>
      <c r="C13" s="791">
        <f ca="1">ROUND(C29*F13,0)</f>
        <v>6633</v>
      </c>
      <c r="D13" s="1816" t="s">
        <v>2288</v>
      </c>
      <c r="E13" s="1816" t="s">
        <v>643</v>
      </c>
      <c r="F13" s="2497">
        <f ca="1">INDIRECT("'数据-取费表'!y"&amp;$G$1)</f>
        <v>1</v>
      </c>
      <c r="G13" s="1575"/>
      <c r="H13" s="1811">
        <v>2</v>
      </c>
      <c r="I13" s="1809" t="s">
        <v>644</v>
      </c>
      <c r="J13" s="1801">
        <f ca="1">ROUND(J14*J15,0)</f>
        <v>0</v>
      </c>
      <c r="K13" s="1803" t="s">
        <v>1737</v>
      </c>
      <c r="L13" s="2513"/>
      <c r="M13" s="2514"/>
    </row>
    <row r="14" spans="1:33" ht="18" customHeight="1">
      <c r="A14" s="1630" t="s">
        <v>1825</v>
      </c>
      <c r="B14" s="783" t="s">
        <v>645</v>
      </c>
      <c r="C14" s="803">
        <f ca="1">INDIRECT("'数据-取费表'!m"&amp;$G$1)+INDIRECT("'数据-取费表'!t"&amp;$G$1)</f>
        <v>4292</v>
      </c>
      <c r="D14" s="3175" t="s">
        <v>646</v>
      </c>
      <c r="E14" s="3176"/>
      <c r="F14" s="804"/>
      <c r="G14" s="1575"/>
      <c r="H14" s="1631" t="s">
        <v>1818</v>
      </c>
      <c r="I14" s="2213" t="s">
        <v>2815</v>
      </c>
      <c r="J14" s="53">
        <f ca="1">C29</f>
        <v>6633</v>
      </c>
      <c r="K14" s="26"/>
      <c r="L14" s="800"/>
      <c r="M14" s="801"/>
    </row>
    <row r="15" spans="1:33" s="2046" customFormat="1" ht="18" customHeight="1" thickBot="1">
      <c r="A15" s="1630" t="s">
        <v>1826</v>
      </c>
      <c r="B15" s="783" t="s">
        <v>647</v>
      </c>
      <c r="C15" s="53">
        <f ca="1">ROUND(C14*F15,0)</f>
        <v>129</v>
      </c>
      <c r="D15" s="805" t="s">
        <v>648</v>
      </c>
      <c r="E15" s="805" t="s">
        <v>649</v>
      </c>
      <c r="F15" s="806">
        <f>'数据-取费表'!B33</f>
        <v>0.03</v>
      </c>
      <c r="G15" s="1576"/>
      <c r="H15" s="2512" t="s">
        <v>1883</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650</v>
      </c>
      <c r="C16" s="53">
        <f ca="1">ROUND(INDIRECT("'数据-取费表'!m"&amp;$G$1)*F16,0)</f>
        <v>0</v>
      </c>
      <c r="D16" s="783" t="s">
        <v>648</v>
      </c>
      <c r="E16" s="783" t="s">
        <v>649</v>
      </c>
      <c r="F16" s="808">
        <f ca="1">IF(INDIRECT("'数据-取费表'!c"&amp;$G$1)="住宅",'数据-取费表'!B34,0)</f>
        <v>0</v>
      </c>
      <c r="G16" s="1575"/>
      <c r="H16" s="1811" t="s">
        <v>7</v>
      </c>
      <c r="I16" s="1809" t="s">
        <v>651</v>
      </c>
      <c r="J16" s="791">
        <f ca="1">ROUND(J17+J22+J23+J24,0)</f>
        <v>660</v>
      </c>
      <c r="K16" s="1803" t="s">
        <v>652</v>
      </c>
      <c r="L16" s="3177"/>
      <c r="M16" s="2452"/>
    </row>
    <row r="17" spans="1:33" s="2046" customFormat="1" ht="18" customHeight="1">
      <c r="A17" s="1630" t="s">
        <v>1881</v>
      </c>
      <c r="B17" s="783" t="s">
        <v>653</v>
      </c>
      <c r="C17" s="53">
        <f ca="1">ROUND(F17*(F43+INDIRECT("'数据-取费表'!S"&amp;$G$1))/10000,0)</f>
        <v>225</v>
      </c>
      <c r="D17" s="783" t="s">
        <v>654</v>
      </c>
      <c r="E17" s="783" t="s">
        <v>655</v>
      </c>
      <c r="F17" s="56">
        <f>'数据-取费表'!B35</f>
        <v>180</v>
      </c>
      <c r="G17" s="1576"/>
      <c r="H17" s="1631" t="s">
        <v>1818</v>
      </c>
      <c r="I17" s="783" t="s">
        <v>656</v>
      </c>
      <c r="J17" s="53">
        <f ca="1">ROUND(IF(项目基本情况!B11="自然人",J6*M17/(1+'数据-取费表'!C42),J18+J19+J20),0)</f>
        <v>561</v>
      </c>
      <c r="K17" s="3175" t="s">
        <v>657</v>
      </c>
      <c r="L17" s="3174"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64</v>
      </c>
      <c r="D18" s="783" t="s">
        <v>648</v>
      </c>
      <c r="E18" s="783" t="s">
        <v>649</v>
      </c>
      <c r="F18" s="808">
        <f>'数据-取费表'!B36</f>
        <v>1.4999999999999999E-2</v>
      </c>
      <c r="G18" s="1576"/>
      <c r="H18" s="1630" t="s">
        <v>1825</v>
      </c>
      <c r="I18" s="783" t="s">
        <v>660</v>
      </c>
      <c r="J18" s="53">
        <f ca="1">ROUND(J6*M18/(1+'数据-取费表'!C42),1)</f>
        <v>0</v>
      </c>
      <c r="K18" s="3174" t="s">
        <v>661</v>
      </c>
      <c r="L18" s="783" t="s">
        <v>649</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662</v>
      </c>
      <c r="C19" s="53">
        <f ca="1">SUM(C14:C18)</f>
        <v>4710</v>
      </c>
      <c r="D19" s="260" t="s">
        <v>663</v>
      </c>
      <c r="E19" s="3179"/>
      <c r="F19" s="56"/>
      <c r="G19" s="1575"/>
      <c r="H19" s="1630" t="s">
        <v>1826</v>
      </c>
      <c r="I19" s="783" t="s">
        <v>664</v>
      </c>
      <c r="J19" s="53">
        <f ca="1">IF(K19="按租金收入计税",ROUND(J6*M19/(1+'数据-取费表'!C42),1),ROUND(C29*F33*0.7,1))</f>
        <v>557.20000000000005</v>
      </c>
      <c r="K19" s="810" t="s">
        <v>665</v>
      </c>
      <c r="L19" s="783" t="s">
        <v>649</v>
      </c>
      <c r="M19" s="808">
        <f>IF(K19="按租金收入计税",'数据-取费表'!B51,'数据-取费表'!B50)</f>
        <v>1.2E-2</v>
      </c>
    </row>
    <row r="20" spans="1:33" s="2046" customFormat="1" ht="18" customHeight="1">
      <c r="A20" s="1631" t="s">
        <v>1883</v>
      </c>
      <c r="B20" s="783" t="s">
        <v>666</v>
      </c>
      <c r="C20" s="53">
        <f ca="1">ROUND(C19*F20,0)</f>
        <v>94</v>
      </c>
      <c r="D20" s="811" t="s">
        <v>667</v>
      </c>
      <c r="E20" s="783" t="s">
        <v>649</v>
      </c>
      <c r="F20" s="808">
        <f>'数据-取费表'!B37</f>
        <v>0.02</v>
      </c>
      <c r="G20" s="1576"/>
      <c r="H20" s="1633" t="s">
        <v>1827</v>
      </c>
      <c r="I20" s="340" t="s">
        <v>668</v>
      </c>
      <c r="J20" s="54">
        <f ca="1">ROUND(M20*M21/10000,0)</f>
        <v>4</v>
      </c>
      <c r="K20" s="813" t="s">
        <v>669</v>
      </c>
      <c r="L20" s="783" t="s">
        <v>670</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671</v>
      </c>
      <c r="C21" s="53" t="s">
        <v>1</v>
      </c>
      <c r="D21" s="811" t="s">
        <v>2289</v>
      </c>
      <c r="E21" s="783" t="s">
        <v>673</v>
      </c>
      <c r="F21" s="808">
        <f>'数据-取费表'!B38</f>
        <v>0.02</v>
      </c>
      <c r="G21" s="1576"/>
      <c r="H21" s="2467"/>
      <c r="I21" s="792"/>
      <c r="J21" s="69"/>
      <c r="K21" s="815"/>
      <c r="L21" s="783" t="s">
        <v>674</v>
      </c>
      <c r="M21" s="784">
        <f ca="1">INDIRECT("'数据-取费表'!r"&amp;$G$1)</f>
        <v>4681.7800000000007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675</v>
      </c>
      <c r="C22" s="53"/>
      <c r="D22" s="2533" t="str">
        <f>IF(F23&lt;=1,"单利计息。","复利计息。")&amp;"建造成本、管理费用、销售费用产生的利息。"</f>
        <v>复利计息。建造成本、管理费用、销售费用产生的利息。</v>
      </c>
      <c r="E22" s="3179"/>
      <c r="F22" s="56"/>
      <c r="G22" s="1575"/>
      <c r="H22" s="1631" t="s">
        <v>1883</v>
      </c>
      <c r="I22" s="783" t="s">
        <v>676</v>
      </c>
      <c r="J22" s="53">
        <f ca="1">ROUND(J14*M22,0)</f>
        <v>99</v>
      </c>
      <c r="K22" s="3174" t="s">
        <v>677</v>
      </c>
      <c r="L22" s="783" t="s">
        <v>649</v>
      </c>
      <c r="M22" s="816">
        <f ca="1">INDIRECT("'数据-取费表'!Ak"&amp;$G$1)</f>
        <v>1.4999999999999999E-2</v>
      </c>
    </row>
    <row r="23" spans="1:33" s="2046" customFormat="1" ht="18" customHeight="1">
      <c r="A23" s="1630" t="s">
        <v>1825</v>
      </c>
      <c r="B23" s="783" t="s">
        <v>2428</v>
      </c>
      <c r="C23" s="53">
        <f ca="1">ROUND(IF('数据-取费表'!B22&lt;=1,(C19+C20)*F24*F23/2,(C19+C20)*(POWER((1+F24),F23/2)-1)),0)</f>
        <v>346</v>
      </c>
      <c r="D23" s="2532" t="str">
        <f>IF(F23&lt;=1,"(建造成本+管理费用)×利率×(建设周期÷2)","(建造成本+管理费用)×((1+利率)^(建设周期÷2)-1)")</f>
        <v>(建造成本+管理费用)×((1+利率)^(建设周期÷2)-1)</v>
      </c>
      <c r="E23" s="783" t="s">
        <v>678</v>
      </c>
      <c r="F23" s="639">
        <f>'数据-取费表'!B20</f>
        <v>3</v>
      </c>
      <c r="G23" s="1576"/>
      <c r="H23" s="1631" t="s">
        <v>1884</v>
      </c>
      <c r="I23" s="783" t="s">
        <v>679</v>
      </c>
      <c r="J23" s="53">
        <f ca="1">ROUND(J13*M23,0)</f>
        <v>0</v>
      </c>
      <c r="K23" s="3174" t="s">
        <v>680</v>
      </c>
      <c r="L23" s="783" t="s">
        <v>649</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681</v>
      </c>
      <c r="C24" s="53">
        <f ca="1">ROUND(IF('数据-取费表'!B22&lt;=1,F21*F24*F23/2,F21*(POWER((1+F24),F23/2)-1)),4)</f>
        <v>1.4E-3</v>
      </c>
      <c r="D24" s="2532" t="str">
        <f>IF(F23&lt;=1,"销售费用×利率×(建设周期÷2)","销售费用×((1+利率)^(建设周期÷2)-1)")</f>
        <v>销售费用×((1+利率)^(建设周期÷2)-1)</v>
      </c>
      <c r="E24" s="783" t="s">
        <v>682</v>
      </c>
      <c r="F24" s="818">
        <f ca="1">'数据-取费表'!B40</f>
        <v>4.7500000000000001E-2</v>
      </c>
      <c r="G24" s="1576"/>
      <c r="H24" s="2512" t="s">
        <v>1885</v>
      </c>
      <c r="I24" s="2507" t="s">
        <v>666</v>
      </c>
      <c r="J24" s="2505">
        <f ca="1">ROUND(J5*M24,0)</f>
        <v>0</v>
      </c>
      <c r="K24" s="2506" t="s">
        <v>683</v>
      </c>
      <c r="L24" s="2507" t="s">
        <v>649</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685</v>
      </c>
      <c r="E25" s="3179"/>
      <c r="F25" s="56"/>
      <c r="G25" s="1575"/>
      <c r="H25" s="1811" t="s">
        <v>1770</v>
      </c>
      <c r="I25" s="2842" t="s">
        <v>2812</v>
      </c>
      <c r="J25" s="791">
        <f ca="1">J5-J16</f>
        <v>-660</v>
      </c>
      <c r="K25" s="2509" t="s">
        <v>700</v>
      </c>
      <c r="L25" s="2510"/>
      <c r="M25" s="2511"/>
    </row>
    <row r="26" spans="1:33" ht="18" customHeight="1">
      <c r="A26" s="1630" t="s">
        <v>1825</v>
      </c>
      <c r="B26" s="783" t="s">
        <v>2429</v>
      </c>
      <c r="C26" s="53">
        <f ca="1">ROUND((C19+C20)*F26,0)</f>
        <v>961</v>
      </c>
      <c r="D26" s="811" t="s">
        <v>701</v>
      </c>
      <c r="E26" s="794" t="s">
        <v>702</v>
      </c>
      <c r="F26" s="793">
        <f ca="1">INDIRECT("'数据-取费表'!q"&amp;$G$1)</f>
        <v>0.2</v>
      </c>
      <c r="G26" s="1575"/>
      <c r="H26" s="2463" t="s">
        <v>1774</v>
      </c>
      <c r="I26" s="2214" t="s">
        <v>2817</v>
      </c>
      <c r="J26" s="782">
        <f ca="1">IF(J5&lt;&gt;0,ROUND(J25*(1-((1+M28)/(1+M26))^M27)/(M26-M28),0),0)</f>
        <v>0</v>
      </c>
      <c r="K26" s="813" t="s">
        <v>704</v>
      </c>
      <c r="L26" s="783" t="s">
        <v>2410</v>
      </c>
      <c r="M26" s="793">
        <f ca="1">INDIRECT("'数据-取费表'!I"&amp;$G$1)</f>
        <v>5.5E-2</v>
      </c>
    </row>
    <row r="27" spans="1:33" ht="18" customHeight="1">
      <c r="A27" s="1630" t="s">
        <v>1826</v>
      </c>
      <c r="B27" s="783" t="s">
        <v>686</v>
      </c>
      <c r="C27" s="53">
        <f ca="1">ROUND(F21*F26,4)</f>
        <v>4.0000000000000001E-3</v>
      </c>
      <c r="D27" s="811" t="s">
        <v>706</v>
      </c>
      <c r="E27" s="805"/>
      <c r="F27" s="806"/>
      <c r="G27" s="1575"/>
      <c r="H27" s="2464"/>
      <c r="I27" s="786"/>
      <c r="J27" s="787"/>
      <c r="K27" s="820" t="s">
        <v>707</v>
      </c>
      <c r="L27" s="783" t="s">
        <v>708</v>
      </c>
      <c r="M27" s="821">
        <f ca="1">INDIRECT("'数据-取费表'!ag"&amp;$G$1)</f>
        <v>0</v>
      </c>
    </row>
    <row r="28" spans="1:33" s="2046" customFormat="1" ht="18" customHeight="1">
      <c r="A28" s="1632" t="s">
        <v>1835</v>
      </c>
      <c r="B28" s="783" t="s">
        <v>687</v>
      </c>
      <c r="C28" s="53">
        <f>ROUND(F28/(1+'数据-取费表'!C42),4)</f>
        <v>5.33E-2</v>
      </c>
      <c r="D28" s="811" t="s">
        <v>2290</v>
      </c>
      <c r="E28" s="783" t="s">
        <v>649</v>
      </c>
      <c r="F28" s="808">
        <f>'数据-取费表'!B41</f>
        <v>5.6000000000000001E-2</v>
      </c>
      <c r="G28" s="1576"/>
      <c r="H28" s="1811"/>
      <c r="I28" s="790"/>
      <c r="J28" s="791"/>
      <c r="K28" s="815"/>
      <c r="L28" s="783" t="s">
        <v>710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6633</v>
      </c>
      <c r="D29" s="2506"/>
      <c r="E29" s="2507"/>
      <c r="F29" s="2508"/>
      <c r="G29" s="1576"/>
      <c r="H29" s="822" t="s">
        <v>1781</v>
      </c>
      <c r="I29" s="823" t="s">
        <v>1782</v>
      </c>
      <c r="J29" s="824">
        <f ca="1">ROUND(J26/(1+F40)^F41,0)</f>
        <v>0</v>
      </c>
      <c r="K29" s="825" t="s">
        <v>688</v>
      </c>
      <c r="L29" s="826"/>
      <c r="M29" s="827">
        <f ca="1">INDIRECT("'数据-取费表'!k"&amp;$G$1)</f>
        <v>11647.55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651</v>
      </c>
      <c r="C30" s="791">
        <f ca="1">ROUND(C31+C36+C37+C38,0)</f>
        <v>323</v>
      </c>
      <c r="D30" s="1803" t="s">
        <v>652</v>
      </c>
      <c r="E30" s="3177"/>
      <c r="F30" s="2452"/>
      <c r="G30" s="2044"/>
      <c r="H30" s="2047"/>
      <c r="I30" s="2048"/>
      <c r="J30" s="2049"/>
      <c r="K30" s="2050"/>
      <c r="L30" s="2051"/>
      <c r="M30" s="2052"/>
    </row>
    <row r="31" spans="1:33" ht="18" customHeight="1">
      <c r="A31" s="1631" t="s">
        <v>1818</v>
      </c>
      <c r="B31" s="783" t="s">
        <v>656</v>
      </c>
      <c r="C31" s="53">
        <f ca="1">ROUND(IF(项目基本情况!B11="自然人",C6*F31/(1+'数据-取费表'!C42),C32+C33+C34),1)</f>
        <v>196.1</v>
      </c>
      <c r="D31" s="3175" t="s">
        <v>657</v>
      </c>
      <c r="E31" s="3174" t="s">
        <v>690</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660</v>
      </c>
      <c r="C32" s="53">
        <f ca="1">ROUND(C6*F32/(1+'数据-取费表'!C42),1)</f>
        <v>61.2</v>
      </c>
      <c r="D32" s="3174" t="s">
        <v>661</v>
      </c>
      <c r="E32" s="783" t="s">
        <v>649</v>
      </c>
      <c r="F32" s="808">
        <f>'数据-取费表'!B41</f>
        <v>5.6000000000000001E-2</v>
      </c>
      <c r="G32" s="2044"/>
      <c r="H32" s="2053"/>
      <c r="I32" s="2054"/>
      <c r="J32" s="2055"/>
      <c r="K32" s="2056"/>
      <c r="L32" s="2057"/>
      <c r="M32" s="2058"/>
    </row>
    <row r="33" spans="1:18" ht="18" customHeight="1">
      <c r="A33" s="1630" t="s">
        <v>1826</v>
      </c>
      <c r="B33" s="783" t="s">
        <v>664</v>
      </c>
      <c r="C33" s="53">
        <f ca="1">IF(D33="按租金收入计税",ROUND(C6*F33/(1+'数据-取费表'!C42),1),IF(D33="按房产原值计税",ROUND(C29*F33*0.7,1),INDIRECT("'数据-取费表'!Aj"&amp;$G$1)))</f>
        <v>131.19999999999999</v>
      </c>
      <c r="D33" s="810" t="s">
        <v>3027</v>
      </c>
      <c r="E33" s="783" t="s">
        <v>649</v>
      </c>
      <c r="F33" s="808">
        <f>IF(D33="按租金收入计税",'数据-取费表'!B51,'数据-取费表'!B50)</f>
        <v>0.12</v>
      </c>
      <c r="G33" s="2044"/>
      <c r="H33" s="2059"/>
      <c r="I33" s="2059"/>
      <c r="J33" s="2059"/>
      <c r="K33" s="2060"/>
      <c r="L33" s="2059"/>
      <c r="M33" s="2059"/>
    </row>
    <row r="34" spans="1:18" ht="18" customHeight="1">
      <c r="A34" s="1633" t="s">
        <v>1827</v>
      </c>
      <c r="B34" s="340" t="s">
        <v>668</v>
      </c>
      <c r="C34" s="54">
        <f ca="1">ROUND(F34*F35/10000,1)</f>
        <v>3.7</v>
      </c>
      <c r="D34" s="813" t="s">
        <v>669</v>
      </c>
      <c r="E34" s="783" t="s">
        <v>670</v>
      </c>
      <c r="F34" s="639">
        <f>'数据-取费表'!B52</f>
        <v>8</v>
      </c>
      <c r="G34" s="2044"/>
      <c r="H34" s="2047"/>
      <c r="I34" s="834" t="s">
        <v>1807</v>
      </c>
      <c r="J34" s="835"/>
      <c r="K34" s="2062"/>
      <c r="L34" s="2061"/>
      <c r="M34" s="2061"/>
    </row>
    <row r="35" spans="1:18" ht="18" customHeight="1">
      <c r="A35" s="814"/>
      <c r="B35" s="792"/>
      <c r="C35" s="69"/>
      <c r="D35" s="815"/>
      <c r="E35" s="783" t="s">
        <v>674</v>
      </c>
      <c r="F35" s="784">
        <f ca="1">INDIRECT("'数据-取费表'!r"&amp;$G$1)</f>
        <v>4681.7800000000007</v>
      </c>
      <c r="G35" s="2044"/>
      <c r="H35" s="2047"/>
      <c r="I35" s="836" t="s">
        <v>1808</v>
      </c>
      <c r="J35" s="837">
        <f ca="1">ROUND(C13*J36,0)</f>
        <v>531</v>
      </c>
      <c r="K35" s="2060"/>
      <c r="L35" s="2059"/>
      <c r="M35" s="2059"/>
    </row>
    <row r="36" spans="1:18" ht="18" customHeight="1">
      <c r="A36" s="1631" t="s">
        <v>1883</v>
      </c>
      <c r="B36" s="783" t="s">
        <v>676</v>
      </c>
      <c r="C36" s="53">
        <f ca="1">ROUND(C29*F36,1)</f>
        <v>99.5</v>
      </c>
      <c r="D36" s="3174" t="s">
        <v>691</v>
      </c>
      <c r="E36" s="783" t="s">
        <v>649</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9.9</v>
      </c>
      <c r="D37" s="3174" t="s">
        <v>680</v>
      </c>
      <c r="E37" s="783" t="s">
        <v>649</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17.2</v>
      </c>
      <c r="D38" s="2506" t="s">
        <v>683</v>
      </c>
      <c r="E38" s="2507" t="s">
        <v>649</v>
      </c>
      <c r="F38" s="2503">
        <f ca="1">INDIRECT("'数据-取费表'!Am"&amp;$G$1)</f>
        <v>1.4999999999999999E-2</v>
      </c>
      <c r="G38" s="2044"/>
      <c r="H38" s="2059"/>
      <c r="I38" s="842" t="s">
        <v>1811</v>
      </c>
      <c r="J38" s="843"/>
      <c r="K38" s="2065"/>
      <c r="L38" s="2059"/>
      <c r="M38" s="2059"/>
    </row>
    <row r="39" spans="1:18" ht="24.6" customHeight="1" thickTop="1">
      <c r="A39" s="1811" t="s">
        <v>1770</v>
      </c>
      <c r="B39" s="2842" t="s">
        <v>2812</v>
      </c>
      <c r="C39" s="791">
        <f ca="1">C5-C30</f>
        <v>826</v>
      </c>
      <c r="D39" s="2509" t="s">
        <v>700</v>
      </c>
      <c r="E39" s="2510"/>
      <c r="F39" s="2511"/>
      <c r="G39" s="2044"/>
      <c r="H39" s="2059"/>
      <c r="I39" s="836" t="s">
        <v>1812</v>
      </c>
      <c r="J39" s="844">
        <f ca="1">ROUND(J35/C39,3)</f>
        <v>0.64300000000000002</v>
      </c>
      <c r="K39" s="2065"/>
      <c r="L39" s="2059"/>
      <c r="M39" s="2059"/>
    </row>
    <row r="40" spans="1:18" ht="18" customHeight="1">
      <c r="A40" s="780" t="s">
        <v>1774</v>
      </c>
      <c r="B40" s="2214" t="s">
        <v>2292</v>
      </c>
      <c r="C40" s="782">
        <f ca="1">ROUND(C39*(1-((1+F42)/(1+F40))^F41)/(F40-F42),0)</f>
        <v>17577</v>
      </c>
      <c r="D40" s="813" t="s">
        <v>704</v>
      </c>
      <c r="E40" s="783" t="s">
        <v>2410</v>
      </c>
      <c r="F40" s="793">
        <f ca="1">INDIRECT("'数据-取费表'!I"&amp;$G$1)</f>
        <v>5.5E-2</v>
      </c>
      <c r="G40" s="2044"/>
      <c r="H40" s="2044"/>
      <c r="I40" s="836" t="s">
        <v>1813</v>
      </c>
      <c r="J40" s="844">
        <f ca="1">1-J39</f>
        <v>0.35699999999999998</v>
      </c>
      <c r="K40" s="2065"/>
      <c r="L40" s="2044"/>
      <c r="M40" s="2044"/>
    </row>
    <row r="41" spans="1:18" ht="18" customHeight="1">
      <c r="A41" s="785"/>
      <c r="B41" s="786"/>
      <c r="C41" s="787"/>
      <c r="D41" s="820" t="s">
        <v>1802</v>
      </c>
      <c r="E41" s="783" t="s">
        <v>708</v>
      </c>
      <c r="F41" s="821">
        <f ca="1">IF(INDIRECT("'数据-取费表'!af"&amp;$G$1)=0,INDIRECT("'数据-取费表'!ae"&amp;$G$1),INDIRECT("'数据-取费表'!af"&amp;$G$1))</f>
        <v>31.66</v>
      </c>
      <c r="G41" s="2044"/>
      <c r="H41" s="1970"/>
      <c r="I41" s="842" t="s">
        <v>1814</v>
      </c>
      <c r="J41" s="845"/>
      <c r="K41" s="2064"/>
      <c r="L41" s="1970"/>
      <c r="M41" s="1970"/>
    </row>
    <row r="42" spans="1:18" ht="18" customHeight="1">
      <c r="A42" s="789"/>
      <c r="B42" s="790"/>
      <c r="C42" s="791"/>
      <c r="D42" s="815"/>
      <c r="E42" s="783" t="s">
        <v>710</v>
      </c>
      <c r="F42" s="793">
        <f ca="1">INDIRECT("'数据-取费表'!v"&amp;$G$1)</f>
        <v>0.03</v>
      </c>
      <c r="G42" s="2044"/>
      <c r="H42" s="1970"/>
      <c r="I42" s="846" t="s">
        <v>1815</v>
      </c>
      <c r="J42" s="844">
        <f ca="1">ROUND(C13/C40,3)</f>
        <v>0.377</v>
      </c>
      <c r="K42" s="2064"/>
      <c r="L42" s="1970"/>
      <c r="M42" s="1970"/>
    </row>
    <row r="43" spans="1:18" ht="18" customHeight="1" thickBot="1">
      <c r="A43" s="822" t="s">
        <v>1781</v>
      </c>
      <c r="B43" s="823" t="s">
        <v>1804</v>
      </c>
      <c r="C43" s="824">
        <f ca="1">ROUND(C40*10000/F43,0)</f>
        <v>15091</v>
      </c>
      <c r="D43" s="825" t="s">
        <v>1805</v>
      </c>
      <c r="E43" s="826" t="s">
        <v>1806</v>
      </c>
      <c r="F43" s="827">
        <f ca="1">INDIRECT("'数据-取费表'!k"&amp;$G$1)</f>
        <v>11647.55</v>
      </c>
      <c r="G43" s="2044"/>
      <c r="H43" s="1970"/>
      <c r="I43" s="846" t="s">
        <v>1816</v>
      </c>
      <c r="J43" s="847">
        <f ca="1">1-J42</f>
        <v>0.623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-19254</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40</v>
      </c>
      <c r="M47" s="1586" t="str">
        <f>IF(ISNUMBER(FIND("住宅",C1)),"住宅","非住宅")</f>
        <v>非住宅</v>
      </c>
      <c r="O47" s="2356" t="s">
        <v>2366</v>
      </c>
      <c r="P47" s="2357" t="s">
        <v>2367</v>
      </c>
      <c r="Q47" s="2358" t="s">
        <v>2368</v>
      </c>
      <c r="R47" s="2357" t="s">
        <v>2369</v>
      </c>
    </row>
    <row r="48" spans="1:18" s="2041" customFormat="1" ht="18" customHeight="1" thickBot="1">
      <c r="A48" s="2603" t="s">
        <v>1864</v>
      </c>
      <c r="B48" s="2604" t="s">
        <v>2529</v>
      </c>
      <c r="C48" s="2335">
        <f ca="1">ROUND(F48*F50*F49*(1-F51)/10000,0)</f>
        <v>0</v>
      </c>
      <c r="D48" s="2336" t="s">
        <v>636</v>
      </c>
      <c r="E48" s="2337" t="s">
        <v>2287</v>
      </c>
      <c r="F48" s="2338"/>
      <c r="G48" s="2072"/>
      <c r="I48" s="2944" t="s">
        <v>2336</v>
      </c>
      <c r="J48" s="2343" t="s">
        <v>2341</v>
      </c>
      <c r="K48" s="2955" t="s">
        <v>2342</v>
      </c>
      <c r="L48" s="1890">
        <f ca="1">INDIRECT("'数据-取费表'!f"&amp;$G$1)</f>
        <v>31.66</v>
      </c>
      <c r="O48" s="2359" t="s">
        <v>2370</v>
      </c>
      <c r="P48" s="2360" t="s">
        <v>2396</v>
      </c>
      <c r="Q48" s="2361">
        <f ca="1">C40+J29</f>
        <v>17577</v>
      </c>
      <c r="R48" s="2360" t="s">
        <v>2371</v>
      </c>
    </row>
    <row r="49" spans="1:18" s="2041" customFormat="1" ht="18" customHeight="1" thickBot="1">
      <c r="A49" s="785"/>
      <c r="B49" s="786"/>
      <c r="C49" s="787"/>
      <c r="D49" s="788"/>
      <c r="E49" s="783" t="s">
        <v>638</v>
      </c>
      <c r="F49" s="784">
        <f ca="1">F7</f>
        <v>11647.55</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639</v>
      </c>
      <c r="F50" s="784">
        <f ca="1">F8</f>
        <v>365</v>
      </c>
      <c r="G50" s="2077"/>
      <c r="H50" s="2075"/>
      <c r="I50" s="2944" t="s">
        <v>2338</v>
      </c>
      <c r="J50" s="2952">
        <f>SUMPRODUCT((I63:I65=J47)*(J62:L62=J48)*(J63:L65))</f>
        <v>60</v>
      </c>
      <c r="K50" s="2956" t="s">
        <v>2344</v>
      </c>
      <c r="L50" s="2345"/>
      <c r="O50" s="2362" t="s">
        <v>2374</v>
      </c>
      <c r="P50" s="2360" t="s">
        <v>2398</v>
      </c>
      <c r="Q50" s="2361">
        <f ca="1">C29</f>
        <v>6633</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5591</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2963</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31.66</v>
      </c>
      <c r="K53" s="3642" t="s">
        <v>2955</v>
      </c>
      <c r="L53" s="3643"/>
      <c r="O53" s="2362" t="s">
        <v>2379</v>
      </c>
      <c r="P53" s="2360" t="s">
        <v>2380</v>
      </c>
      <c r="Q53" s="2361">
        <f ca="1">J53</f>
        <v>31.66</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17577</v>
      </c>
      <c r="R54" s="2364" t="s">
        <v>2383</v>
      </c>
    </row>
    <row r="55" spans="1:18" s="2041" customFormat="1" ht="18" customHeight="1" thickTop="1" thickBot="1">
      <c r="A55" s="796">
        <v>2</v>
      </c>
      <c r="B55" s="797" t="s">
        <v>644</v>
      </c>
      <c r="C55" s="798">
        <f ca="1">C13</f>
        <v>6633</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2291</v>
      </c>
      <c r="C56" s="53">
        <f ca="1">C29</f>
        <v>6633</v>
      </c>
      <c r="D56" s="3174"/>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7</v>
      </c>
      <c r="B57" s="797" t="s">
        <v>651</v>
      </c>
      <c r="C57" s="798">
        <f ca="1">ROUND(C58+C63+C64+C65,0)</f>
        <v>113</v>
      </c>
      <c r="D57" s="26" t="s">
        <v>652</v>
      </c>
      <c r="E57" s="3179"/>
      <c r="F57" s="56"/>
      <c r="I57" s="2965" t="s">
        <v>2349</v>
      </c>
      <c r="J57" s="2966" t="str">
        <f ca="1">IF(OR(M47="住宅",J51&lt;L48,J56="是"),"——",J51-L48)</f>
        <v>——</v>
      </c>
      <c r="K57" s="2944" t="s">
        <v>2354</v>
      </c>
      <c r="L57" s="1890" t="str">
        <f ca="1">IF(L48&lt;J51,"——",IF(L55="比较法",L49,IF(L55="基准地价",L50,L51)))</f>
        <v>——</v>
      </c>
      <c r="O57" s="2359" t="s">
        <v>2370</v>
      </c>
      <c r="P57" s="2360" t="s">
        <v>2396</v>
      </c>
      <c r="Q57" s="2361">
        <f ca="1">C40+J29</f>
        <v>17577</v>
      </c>
      <c r="R57" s="2360" t="s">
        <v>2371</v>
      </c>
    </row>
    <row r="58" spans="1:18" s="2041" customFormat="1" ht="28.5" customHeight="1" thickBot="1">
      <c r="A58" s="1631" t="s">
        <v>1818</v>
      </c>
      <c r="B58" s="783" t="s">
        <v>656</v>
      </c>
      <c r="C58" s="53">
        <f ca="1">ROUND(IF(项目基本情况!B11="自然人",C47*F58,C59+C60+C61),1)</f>
        <v>3.7</v>
      </c>
      <c r="D58" s="3175" t="s">
        <v>657</v>
      </c>
      <c r="E58" s="3174"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3174" t="s">
        <v>661</v>
      </c>
      <c r="E59" s="783" t="s">
        <v>649</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664</v>
      </c>
      <c r="C60" s="53">
        <f ca="1">IF(D60="按租金收入计税",ROUND(C47*F60,1),IF(D60="按房产原值计税",ROUND(C56*F60*0.7,1),INDIRECT("'数据-取费表'!Aj"&amp;$G$1)))</f>
        <v>0</v>
      </c>
      <c r="D60" s="3174" t="str">
        <f>D33</f>
        <v>按租金收入计税</v>
      </c>
      <c r="E60" s="783" t="s">
        <v>649</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3.7</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4681.7800000000007</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99.5</v>
      </c>
      <c r="D63" s="3174" t="s">
        <v>691</v>
      </c>
      <c r="E63" s="783" t="s">
        <v>649</v>
      </c>
      <c r="F63" s="816">
        <f t="shared" ca="1" si="0"/>
        <v>1.4999999999999999E-2</v>
      </c>
      <c r="I63" s="2970" t="s">
        <v>2361</v>
      </c>
      <c r="J63" s="2971">
        <v>70</v>
      </c>
      <c r="K63" s="2971">
        <v>50</v>
      </c>
      <c r="L63" s="2971">
        <v>80</v>
      </c>
      <c r="M63" s="2973">
        <v>0.02</v>
      </c>
      <c r="O63" s="2359" t="s">
        <v>2382</v>
      </c>
      <c r="P63" s="2360" t="s">
        <v>2399</v>
      </c>
      <c r="Q63" s="2361">
        <f ca="1">Q57+Q58</f>
        <v>17577</v>
      </c>
      <c r="R63" s="2364" t="s">
        <v>2383</v>
      </c>
    </row>
    <row r="64" spans="1:18" s="2041" customFormat="1" ht="16.5" thickBot="1">
      <c r="A64" s="1631" t="s">
        <v>1884</v>
      </c>
      <c r="B64" s="783" t="s">
        <v>679</v>
      </c>
      <c r="C64" s="53">
        <f ca="1">ROUND(C55*F64,1)</f>
        <v>9.9</v>
      </c>
      <c r="D64" s="3174" t="s">
        <v>680</v>
      </c>
      <c r="E64" s="783" t="s">
        <v>649</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3174" t="s">
        <v>683</v>
      </c>
      <c r="E65" s="783" t="s">
        <v>649</v>
      </c>
      <c r="F65" s="793">
        <f t="shared" ca="1" si="0"/>
        <v>1.4999999999999999E-2</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-113</v>
      </c>
      <c r="D66" s="3175" t="s">
        <v>700</v>
      </c>
      <c r="E66" s="3178"/>
      <c r="F66" s="819"/>
      <c r="K66" s="2068"/>
      <c r="O66" s="2359" t="s">
        <v>2370</v>
      </c>
      <c r="P66" s="2360" t="s">
        <v>2396</v>
      </c>
      <c r="Q66" s="2361">
        <f ca="1">C40+J29</f>
        <v>17577</v>
      </c>
      <c r="R66" s="2360" t="s">
        <v>2371</v>
      </c>
    </row>
    <row r="67" spans="1:18" s="2041" customFormat="1" ht="20.25" thickBot="1">
      <c r="A67" s="780" t="s">
        <v>1774</v>
      </c>
      <c r="B67" s="2214" t="s">
        <v>2292</v>
      </c>
      <c r="C67" s="782">
        <f ca="1">ROUND(C66*(1-((1+F69)/(1+F67))^F68)/(F67-F69),0)</f>
        <v>-1677</v>
      </c>
      <c r="D67" s="813" t="s">
        <v>704</v>
      </c>
      <c r="E67" s="783" t="s">
        <v>705</v>
      </c>
      <c r="F67" s="793">
        <f ca="1">F40</f>
        <v>5.5E-2</v>
      </c>
      <c r="K67" s="2068"/>
      <c r="O67" s="2359" t="s">
        <v>2372</v>
      </c>
      <c r="P67" s="2360" t="s">
        <v>2403</v>
      </c>
      <c r="Q67" s="2361">
        <f ca="1">L60</f>
        <v>0</v>
      </c>
      <c r="R67" s="2364" t="s">
        <v>2405</v>
      </c>
    </row>
    <row r="68" spans="1:18" ht="21.75" thickBot="1">
      <c r="A68" s="785"/>
      <c r="B68" s="786"/>
      <c r="C68" s="787"/>
      <c r="D68" s="820" t="s">
        <v>1802</v>
      </c>
      <c r="E68" s="783" t="s">
        <v>708</v>
      </c>
      <c r="F68" s="821">
        <f ca="1">F41</f>
        <v>31.66</v>
      </c>
      <c r="O68" s="2362" t="s">
        <v>2374</v>
      </c>
      <c r="P68" s="2360" t="s">
        <v>2404</v>
      </c>
      <c r="Q68" s="2366">
        <f ca="1">L51</f>
        <v>5591</v>
      </c>
      <c r="R68" s="2367" t="s">
        <v>2407</v>
      </c>
    </row>
    <row r="69" spans="1:18" ht="20.25" thickBot="1">
      <c r="A69" s="789"/>
      <c r="B69" s="790"/>
      <c r="C69" s="791"/>
      <c r="D69" s="815"/>
      <c r="E69" s="783" t="s">
        <v>710</v>
      </c>
      <c r="F69" s="2332"/>
      <c r="O69" s="2362" t="s">
        <v>2375</v>
      </c>
      <c r="P69" s="2368" t="s">
        <v>2389</v>
      </c>
      <c r="Q69" s="2361">
        <f ca="1">ROUND(Q70-Q71*Q72,0)</f>
        <v>295</v>
      </c>
      <c r="R69" s="2364"/>
    </row>
    <row r="70" spans="1:18" ht="15.75" thickBot="1">
      <c r="A70" s="822" t="s">
        <v>1781</v>
      </c>
      <c r="B70" s="823" t="s">
        <v>1804</v>
      </c>
      <c r="C70" s="824">
        <f ca="1">ROUND(C67*10000/F70,0)</f>
        <v>-1440</v>
      </c>
      <c r="D70" s="825" t="s">
        <v>1805</v>
      </c>
      <c r="E70" s="826" t="s">
        <v>1806</v>
      </c>
      <c r="F70" s="827">
        <f ca="1">F43</f>
        <v>11647.55</v>
      </c>
      <c r="O70" s="2362" t="s">
        <v>2390</v>
      </c>
      <c r="P70" s="2368" t="s">
        <v>2391</v>
      </c>
      <c r="Q70" s="2361">
        <f ca="1">C39</f>
        <v>826</v>
      </c>
      <c r="R70" s="2360" t="s">
        <v>2371</v>
      </c>
    </row>
    <row r="71" spans="1:18" ht="15.75" thickBot="1">
      <c r="O71" s="2362" t="s">
        <v>2392</v>
      </c>
      <c r="P71" s="2368" t="s">
        <v>2393</v>
      </c>
      <c r="Q71" s="2361">
        <f ca="1">C13</f>
        <v>6633</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17577</v>
      </c>
      <c r="R76" s="2364" t="s">
        <v>2383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8" priority="6">
      <formula>$L$48&gt;$J$51</formula>
    </cfRule>
  </conditionalFormatting>
  <conditionalFormatting sqref="I55">
    <cfRule type="expression" dxfId="47" priority="7">
      <formula>$J$51&gt;$L$48</formula>
    </cfRule>
  </conditionalFormatting>
  <conditionalFormatting sqref="I60">
    <cfRule type="expression" dxfId="46" priority="5">
      <formula>$J$51&gt;$L$48</formula>
    </cfRule>
  </conditionalFormatting>
  <conditionalFormatting sqref="K60">
    <cfRule type="expression" dxfId="45" priority="4">
      <formula>$L$48&gt;$J$51</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3">
    <cfRule type="expression" dxfId="4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0" sqref="D1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1674</v>
      </c>
      <c r="D1" s="3209" t="s">
        <v>949</v>
      </c>
      <c r="E1" s="2348" t="s">
        <v>867</v>
      </c>
      <c r="F1" s="2349">
        <f ca="1">J53</f>
        <v>41.67</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31391</v>
      </c>
      <c r="C2" s="2039"/>
      <c r="D2" s="2037"/>
      <c r="E2" s="2038"/>
      <c r="F2" s="2038"/>
      <c r="G2" s="1573"/>
      <c r="H2" s="2039"/>
      <c r="I2" s="2039"/>
      <c r="J2" s="2039"/>
      <c r="K2" s="2040"/>
      <c r="L2" s="2039"/>
      <c r="M2" s="2039"/>
    </row>
    <row r="3" spans="1:33" ht="18" customHeight="1" thickBot="1">
      <c r="A3" s="832" t="s">
        <v>519</v>
      </c>
      <c r="B3" s="833">
        <f ca="1">IF(ISERROR(B2*10000/F43),0,ROUND(B2*10000/F43,0))</f>
        <v>5699</v>
      </c>
      <c r="C3" s="2039"/>
      <c r="D3" s="2037"/>
      <c r="E3" s="2038"/>
      <c r="F3" s="2038"/>
      <c r="G3" s="1573"/>
      <c r="H3" s="775" t="s">
        <v>695</v>
      </c>
      <c r="I3" s="1357"/>
      <c r="J3" s="1357"/>
      <c r="K3" s="1574"/>
      <c r="L3" s="1357"/>
      <c r="M3" s="1357"/>
    </row>
    <row r="4" spans="1:33" ht="18" customHeight="1">
      <c r="A4" s="776" t="s">
        <v>698</v>
      </c>
      <c r="B4" s="777" t="s">
        <v>631</v>
      </c>
      <c r="C4" s="777" t="s">
        <v>632</v>
      </c>
      <c r="D4" s="777" t="s">
        <v>633</v>
      </c>
      <c r="E4" s="778" t="s">
        <v>1725</v>
      </c>
      <c r="F4" s="779"/>
      <c r="G4" s="1575"/>
      <c r="H4" s="776" t="s">
        <v>698</v>
      </c>
      <c r="I4" s="777" t="s">
        <v>631</v>
      </c>
      <c r="J4" s="777" t="s">
        <v>632</v>
      </c>
      <c r="K4" s="777" t="s">
        <v>633</v>
      </c>
      <c r="L4" s="778" t="s">
        <v>1725</v>
      </c>
      <c r="M4" s="779"/>
    </row>
    <row r="5" spans="1:33" ht="18" customHeight="1">
      <c r="A5" s="780">
        <v>1</v>
      </c>
      <c r="B5" s="781" t="s">
        <v>2449</v>
      </c>
      <c r="C5" s="55">
        <f ca="1">C6+C10+C12</f>
        <v>2174</v>
      </c>
      <c r="D5" s="2457" t="s">
        <v>2452</v>
      </c>
      <c r="E5" s="2451"/>
      <c r="F5" s="2452"/>
      <c r="G5" s="1575"/>
      <c r="H5" s="780">
        <v>1</v>
      </c>
      <c r="I5" s="781" t="s">
        <v>2449</v>
      </c>
      <c r="J5" s="55">
        <f ca="1">J6+J10+J12</f>
        <v>0</v>
      </c>
      <c r="K5" s="2457" t="s">
        <v>2452</v>
      </c>
      <c r="L5" s="2451"/>
      <c r="M5" s="2452"/>
    </row>
    <row r="6" spans="1:33" ht="18" customHeight="1">
      <c r="A6" s="1812" t="s">
        <v>1818</v>
      </c>
      <c r="B6" s="3600" t="s">
        <v>2454</v>
      </c>
      <c r="C6" s="782">
        <f ca="1">ROUND(F6*F8*F7*(1-F9)/10000,0)</f>
        <v>2171</v>
      </c>
      <c r="D6" s="2458" t="s">
        <v>2453</v>
      </c>
      <c r="E6" s="783" t="s">
        <v>637</v>
      </c>
      <c r="F6" s="784">
        <f ca="1">INDIRECT("'数据-取费表'!u"&amp;$G$1)</f>
        <v>1.2</v>
      </c>
      <c r="G6" s="1575"/>
      <c r="H6" s="2465" t="s">
        <v>1818</v>
      </c>
      <c r="I6" s="3600" t="s">
        <v>2454</v>
      </c>
      <c r="J6" s="782">
        <f ca="1">ROUND(M6*M8*M7*(1-M9)/10000,0)</f>
        <v>0</v>
      </c>
      <c r="K6" s="340" t="s">
        <v>1731</v>
      </c>
      <c r="L6" s="783" t="s">
        <v>637</v>
      </c>
      <c r="M6" s="784">
        <f ca="1">INDIRECT("'数据-取费表'!z"&amp;$G$1)</f>
        <v>0</v>
      </c>
    </row>
    <row r="7" spans="1:33" ht="18" customHeight="1">
      <c r="A7" s="2461"/>
      <c r="B7" s="3601"/>
      <c r="C7" s="787"/>
      <c r="D7" s="788"/>
      <c r="E7" s="783" t="s">
        <v>638</v>
      </c>
      <c r="F7" s="784">
        <f ca="1">IF(INDIRECT("'数据-取费表'!ah"&amp;$G$1)="",INDIRECT("'数据-取费表'!k"&amp;$G$1),INDIRECT("'数据-取费表'!ah"&amp;$G$1))</f>
        <v>55077.55</v>
      </c>
      <c r="G7" s="1575"/>
      <c r="H7" s="2450"/>
      <c r="I7" s="3601"/>
      <c r="J7" s="787"/>
      <c r="K7" s="788"/>
      <c r="L7" s="783" t="s">
        <v>638</v>
      </c>
      <c r="M7" s="784">
        <f ca="1">F7</f>
        <v>55077.55</v>
      </c>
    </row>
    <row r="8" spans="1:33" ht="18" customHeight="1">
      <c r="A8" s="2454"/>
      <c r="B8" s="3602"/>
      <c r="C8" s="787"/>
      <c r="D8" s="788"/>
      <c r="E8" s="783" t="s">
        <v>639</v>
      </c>
      <c r="F8" s="784">
        <f ca="1">INDIRECT("'数据-取费表'!ai"&amp;$G$1)</f>
        <v>365</v>
      </c>
      <c r="G8" s="1575"/>
      <c r="H8" s="2450"/>
      <c r="I8" s="3602"/>
      <c r="J8" s="787"/>
      <c r="K8" s="788"/>
      <c r="L8" s="783" t="s">
        <v>639</v>
      </c>
      <c r="M8" s="784">
        <f ca="1">INDIRECT("'数据-取费表'!ai"&amp;$G$1)</f>
        <v>365</v>
      </c>
    </row>
    <row r="9" spans="1:33" ht="18" customHeight="1">
      <c r="A9" s="785"/>
      <c r="B9" s="3603"/>
      <c r="C9" s="787"/>
      <c r="D9" s="788"/>
      <c r="E9" s="783" t="s">
        <v>1735</v>
      </c>
      <c r="F9" s="793">
        <f ca="1">INDIRECT("'数据-取费表'!w"&amp;$G$1)</f>
        <v>0.1</v>
      </c>
      <c r="G9" s="1575"/>
      <c r="H9" s="2466"/>
      <c r="I9" s="3602"/>
      <c r="J9" s="787"/>
      <c r="K9" s="788"/>
      <c r="L9" s="794" t="s">
        <v>1735</v>
      </c>
      <c r="M9" s="795">
        <f ca="1">INDIRECT("'数据-取费表'!ab"&amp;$G$1)</f>
        <v>0</v>
      </c>
    </row>
    <row r="10" spans="1:33" ht="18" customHeight="1">
      <c r="A10" s="1812" t="s">
        <v>1819</v>
      </c>
      <c r="B10" s="2455" t="s">
        <v>2450</v>
      </c>
      <c r="C10" s="798">
        <f ca="1">ROUND(IF(F10="押一",C6/12*F11,IF(F10="押二",C6/12*2*F11,IF(F10="押三",C6/12*3*F11,C11*F11))),0)</f>
        <v>3</v>
      </c>
      <c r="D10" s="2462" t="s">
        <v>2963</v>
      </c>
      <c r="E10" s="2459" t="s">
        <v>2455</v>
      </c>
      <c r="F10" s="2582" t="s">
        <v>3300</v>
      </c>
      <c r="G10" s="1575"/>
      <c r="H10" s="2522" t="s">
        <v>1819</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2447</v>
      </c>
      <c r="F11" s="795">
        <f ca="1">'数据-取费表'!B39</f>
        <v>1.4999999999999999E-2</v>
      </c>
      <c r="G11" s="1575"/>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75"/>
      <c r="H12" s="2512" t="s">
        <v>2458</v>
      </c>
      <c r="I12" s="2525" t="s">
        <v>2451</v>
      </c>
      <c r="J12" s="2526"/>
      <c r="K12" s="2501"/>
      <c r="L12" s="2502"/>
      <c r="M12" s="2515"/>
    </row>
    <row r="13" spans="1:33" ht="18" customHeight="1" thickTop="1">
      <c r="A13" s="1811">
        <v>2</v>
      </c>
      <c r="B13" s="1809" t="s">
        <v>644</v>
      </c>
      <c r="C13" s="791">
        <f ca="1">ROUND(C29*F13,0)</f>
        <v>31359</v>
      </c>
      <c r="D13" s="1816" t="s">
        <v>2288</v>
      </c>
      <c r="E13" s="1816" t="s">
        <v>643</v>
      </c>
      <c r="F13" s="2497">
        <f ca="1">INDIRECT("'数据-取费表'!y"&amp;$G$1)</f>
        <v>1</v>
      </c>
      <c r="G13" s="1575"/>
      <c r="H13" s="1811">
        <v>2</v>
      </c>
      <c r="I13" s="1809" t="s">
        <v>644</v>
      </c>
      <c r="J13" s="1801">
        <f ca="1">ROUND(J14*J15,0)</f>
        <v>0</v>
      </c>
      <c r="K13" s="1803" t="s">
        <v>1737</v>
      </c>
      <c r="L13" s="2513"/>
      <c r="M13" s="2514"/>
    </row>
    <row r="14" spans="1:33" ht="18" customHeight="1">
      <c r="A14" s="1630" t="s">
        <v>1825</v>
      </c>
      <c r="B14" s="783" t="s">
        <v>645</v>
      </c>
      <c r="C14" s="803">
        <f ca="1">INDIRECT("'数据-取费表'!m"&amp;$G$1)+INDIRECT("'数据-取费表'!t"&amp;$G$1)</f>
        <v>20292</v>
      </c>
      <c r="D14" s="3175" t="s">
        <v>646</v>
      </c>
      <c r="E14" s="3176"/>
      <c r="F14" s="804"/>
      <c r="G14" s="1575"/>
      <c r="H14" s="1631" t="s">
        <v>1818</v>
      </c>
      <c r="I14" s="2213" t="s">
        <v>2815</v>
      </c>
      <c r="J14" s="53">
        <f ca="1">C29</f>
        <v>31359</v>
      </c>
      <c r="K14" s="26"/>
      <c r="L14" s="800"/>
      <c r="M14" s="801"/>
    </row>
    <row r="15" spans="1:33" s="2046" customFormat="1" ht="18" customHeight="1" thickBot="1">
      <c r="A15" s="1630" t="s">
        <v>1826</v>
      </c>
      <c r="B15" s="783" t="s">
        <v>647</v>
      </c>
      <c r="C15" s="53">
        <f ca="1">ROUND(C14*F15,0)</f>
        <v>609</v>
      </c>
      <c r="D15" s="805" t="s">
        <v>648</v>
      </c>
      <c r="E15" s="805" t="s">
        <v>649</v>
      </c>
      <c r="F15" s="806">
        <f>'数据-取费表'!B33</f>
        <v>0.03</v>
      </c>
      <c r="G15" s="1576"/>
      <c r="H15" s="2512" t="s">
        <v>1883</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650</v>
      </c>
      <c r="C16" s="53">
        <f ca="1">ROUND(INDIRECT("'数据-取费表'!m"&amp;$G$1)*F16,0)</f>
        <v>0</v>
      </c>
      <c r="D16" s="783" t="s">
        <v>648</v>
      </c>
      <c r="E16" s="783" t="s">
        <v>649</v>
      </c>
      <c r="F16" s="808">
        <f ca="1">IF(INDIRECT("'数据-取费表'!c"&amp;$G$1)="住宅",'数据-取费表'!B34,0)</f>
        <v>0</v>
      </c>
      <c r="G16" s="1575"/>
      <c r="H16" s="1811" t="s">
        <v>7</v>
      </c>
      <c r="I16" s="1809" t="s">
        <v>651</v>
      </c>
      <c r="J16" s="791">
        <f ca="1">ROUND(J17+J22+J23+J24,0)</f>
        <v>3122</v>
      </c>
      <c r="K16" s="1803" t="s">
        <v>652</v>
      </c>
      <c r="L16" s="3177"/>
      <c r="M16" s="2452"/>
    </row>
    <row r="17" spans="1:33" s="2046" customFormat="1" ht="18" customHeight="1">
      <c r="A17" s="1630" t="s">
        <v>1881</v>
      </c>
      <c r="B17" s="783" t="s">
        <v>653</v>
      </c>
      <c r="C17" s="53">
        <f ca="1">ROUND(F17*(F43+INDIRECT("'数据-取费表'!S"&amp;$G$1))/10000,0)</f>
        <v>1062</v>
      </c>
      <c r="D17" s="783" t="s">
        <v>654</v>
      </c>
      <c r="E17" s="783" t="s">
        <v>655</v>
      </c>
      <c r="F17" s="56">
        <f>'数据-取费表'!B35</f>
        <v>180</v>
      </c>
      <c r="G17" s="1576"/>
      <c r="H17" s="1631" t="s">
        <v>1818</v>
      </c>
      <c r="I17" s="783" t="s">
        <v>656</v>
      </c>
      <c r="J17" s="53">
        <f ca="1">ROUND(IF(项目基本情况!B11="自然人",J6*M17/(1+'数据-取费表'!C42),J18+J19+J20),0)</f>
        <v>2652</v>
      </c>
      <c r="K17" s="3175" t="s">
        <v>657</v>
      </c>
      <c r="L17" s="3174"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304</v>
      </c>
      <c r="D18" s="783" t="s">
        <v>648</v>
      </c>
      <c r="E18" s="783" t="s">
        <v>649</v>
      </c>
      <c r="F18" s="808">
        <f>'数据-取费表'!B36</f>
        <v>1.4999999999999999E-2</v>
      </c>
      <c r="G18" s="1576"/>
      <c r="H18" s="1630" t="s">
        <v>1825</v>
      </c>
      <c r="I18" s="783" t="s">
        <v>660</v>
      </c>
      <c r="J18" s="53">
        <f ca="1">ROUND(J6*M18/(1+'数据-取费表'!C42),1)</f>
        <v>0</v>
      </c>
      <c r="K18" s="3174" t="s">
        <v>661</v>
      </c>
      <c r="L18" s="783" t="s">
        <v>649</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662</v>
      </c>
      <c r="C19" s="53">
        <f ca="1">SUM(C14:C18)</f>
        <v>22267</v>
      </c>
      <c r="D19" s="260" t="s">
        <v>663</v>
      </c>
      <c r="E19" s="3179"/>
      <c r="F19" s="56"/>
      <c r="G19" s="1575"/>
      <c r="H19" s="1630" t="s">
        <v>1826</v>
      </c>
      <c r="I19" s="783" t="s">
        <v>664</v>
      </c>
      <c r="J19" s="53">
        <f ca="1">IF(K19="按租金收入计税",ROUND(J6*M19/(1+'数据-取费表'!C42),1),ROUND(C29*F33*0.7,1))</f>
        <v>2634.2</v>
      </c>
      <c r="K19" s="810" t="s">
        <v>665</v>
      </c>
      <c r="L19" s="783" t="s">
        <v>649</v>
      </c>
      <c r="M19" s="808">
        <f>IF(K19="按租金收入计税",'数据-取费表'!B51,'数据-取费表'!B50)</f>
        <v>1.2E-2</v>
      </c>
    </row>
    <row r="20" spans="1:33" s="2046" customFormat="1" ht="18" customHeight="1">
      <c r="A20" s="1631" t="s">
        <v>1883</v>
      </c>
      <c r="B20" s="783" t="s">
        <v>666</v>
      </c>
      <c r="C20" s="53">
        <f ca="1">ROUND(C19*F20,0)</f>
        <v>445</v>
      </c>
      <c r="D20" s="811" t="s">
        <v>667</v>
      </c>
      <c r="E20" s="783" t="s">
        <v>649</v>
      </c>
      <c r="F20" s="808">
        <f>'数据-取费表'!B37</f>
        <v>0.02</v>
      </c>
      <c r="G20" s="1576"/>
      <c r="H20" s="1633" t="s">
        <v>1827</v>
      </c>
      <c r="I20" s="340" t="s">
        <v>668</v>
      </c>
      <c r="J20" s="54">
        <f ca="1">ROUND(M20*M21/10000,0)</f>
        <v>18</v>
      </c>
      <c r="K20" s="813" t="s">
        <v>669</v>
      </c>
      <c r="L20" s="783" t="s">
        <v>670</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671</v>
      </c>
      <c r="C21" s="53" t="s">
        <v>1</v>
      </c>
      <c r="D21" s="811" t="s">
        <v>2289</v>
      </c>
      <c r="E21" s="783" t="s">
        <v>673</v>
      </c>
      <c r="F21" s="808">
        <f>'数据-取费表'!B38</f>
        <v>0.02</v>
      </c>
      <c r="G21" s="1576"/>
      <c r="H21" s="2467"/>
      <c r="I21" s="792"/>
      <c r="J21" s="69"/>
      <c r="K21" s="815"/>
      <c r="L21" s="783" t="s">
        <v>674</v>
      </c>
      <c r="M21" s="784">
        <f ca="1">INDIRECT("'数据-取费表'!r"&amp;$G$1)</f>
        <v>22138.66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675</v>
      </c>
      <c r="C22" s="53"/>
      <c r="D22" s="2533" t="str">
        <f>IF(F23&lt;=1,"单利计息。","复利计息。")&amp;"建造成本、管理费用、销售费用产生的利息。"</f>
        <v>复利计息。建造成本、管理费用、销售费用产生的利息。</v>
      </c>
      <c r="E22" s="3179"/>
      <c r="F22" s="56"/>
      <c r="G22" s="1575"/>
      <c r="H22" s="1631" t="s">
        <v>1883</v>
      </c>
      <c r="I22" s="783" t="s">
        <v>676</v>
      </c>
      <c r="J22" s="53">
        <f ca="1">ROUND(J14*M22,0)</f>
        <v>470</v>
      </c>
      <c r="K22" s="3174" t="s">
        <v>677</v>
      </c>
      <c r="L22" s="783" t="s">
        <v>649</v>
      </c>
      <c r="M22" s="816">
        <f ca="1">INDIRECT("'数据-取费表'!Ak"&amp;$G$1)</f>
        <v>1.4999999999999999E-2</v>
      </c>
    </row>
    <row r="23" spans="1:33" s="2046" customFormat="1" ht="18" customHeight="1">
      <c r="A23" s="1630" t="s">
        <v>1825</v>
      </c>
      <c r="B23" s="783" t="s">
        <v>2428</v>
      </c>
      <c r="C23" s="53">
        <f ca="1">ROUND(IF('数据-取费表'!B22&lt;=1,(C19+C20)*F24*F23/2,(C19+C20)*(POWER((1+F24),F23/2)-1)),0)</f>
        <v>1637</v>
      </c>
      <c r="D23" s="2532" t="str">
        <f>IF(F23&lt;=1,"(建造成本+管理费用)×利率×(建设周期÷2)","(建造成本+管理费用)×((1+利率)^(建设周期÷2)-1)")</f>
        <v>(建造成本+管理费用)×((1+利率)^(建设周期÷2)-1)</v>
      </c>
      <c r="E23" s="783" t="s">
        <v>678</v>
      </c>
      <c r="F23" s="639">
        <f>'数据-取费表'!B20</f>
        <v>3</v>
      </c>
      <c r="G23" s="1576"/>
      <c r="H23" s="1631" t="s">
        <v>1884</v>
      </c>
      <c r="I23" s="783" t="s">
        <v>679</v>
      </c>
      <c r="J23" s="53">
        <f ca="1">ROUND(J13*M23,0)</f>
        <v>0</v>
      </c>
      <c r="K23" s="3174" t="s">
        <v>680</v>
      </c>
      <c r="L23" s="783" t="s">
        <v>649</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681</v>
      </c>
      <c r="C24" s="53">
        <f ca="1">ROUND(IF('数据-取费表'!B22&lt;=1,F21*F24*F23/2,F21*(POWER((1+F24),F23/2)-1)),4)</f>
        <v>1.4E-3</v>
      </c>
      <c r="D24" s="2532" t="str">
        <f>IF(F23&lt;=1,"销售费用×利率×(建设周期÷2)","销售费用×((1+利率)^(建设周期÷2)-1)")</f>
        <v>销售费用×((1+利率)^(建设周期÷2)-1)</v>
      </c>
      <c r="E24" s="783" t="s">
        <v>682</v>
      </c>
      <c r="F24" s="818">
        <f ca="1">'数据-取费表'!B40</f>
        <v>4.7500000000000001E-2</v>
      </c>
      <c r="G24" s="1576"/>
      <c r="H24" s="2512" t="s">
        <v>1885</v>
      </c>
      <c r="I24" s="2507" t="s">
        <v>666</v>
      </c>
      <c r="J24" s="2505">
        <f ca="1">ROUND(J5*M24,0)</f>
        <v>0</v>
      </c>
      <c r="K24" s="2506" t="s">
        <v>683</v>
      </c>
      <c r="L24" s="2507" t="s">
        <v>649</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685</v>
      </c>
      <c r="E25" s="3179"/>
      <c r="F25" s="56"/>
      <c r="G25" s="1575"/>
      <c r="H25" s="1811" t="s">
        <v>1770</v>
      </c>
      <c r="I25" s="2842" t="s">
        <v>2812</v>
      </c>
      <c r="J25" s="791">
        <f ca="1">J5-J16</f>
        <v>-3122</v>
      </c>
      <c r="K25" s="2509" t="s">
        <v>700</v>
      </c>
      <c r="L25" s="2510"/>
      <c r="M25" s="2511"/>
    </row>
    <row r="26" spans="1:33" ht="18" customHeight="1">
      <c r="A26" s="1630" t="s">
        <v>1825</v>
      </c>
      <c r="B26" s="783" t="s">
        <v>2429</v>
      </c>
      <c r="C26" s="53">
        <f ca="1">ROUND((C19+C20)*F26,0)</f>
        <v>4542</v>
      </c>
      <c r="D26" s="811" t="s">
        <v>701</v>
      </c>
      <c r="E26" s="794" t="s">
        <v>702</v>
      </c>
      <c r="F26" s="793">
        <f ca="1">INDIRECT("'数据-取费表'!q"&amp;$G$1)</f>
        <v>0.2</v>
      </c>
      <c r="G26" s="1575"/>
      <c r="H26" s="2463" t="s">
        <v>1774</v>
      </c>
      <c r="I26" s="2214" t="s">
        <v>2817</v>
      </c>
      <c r="J26" s="782">
        <f ca="1">IF(J5&lt;&gt;0,ROUND(J25*(1-((1+M28)/(1+M26))^M27)/(M26-M28),0),0)</f>
        <v>0</v>
      </c>
      <c r="K26" s="813" t="s">
        <v>704</v>
      </c>
      <c r="L26" s="783" t="s">
        <v>2410</v>
      </c>
      <c r="M26" s="793">
        <f ca="1">INDIRECT("'数据-取费表'!I"&amp;$G$1)</f>
        <v>5.5E-2</v>
      </c>
    </row>
    <row r="27" spans="1:33" ht="18" customHeight="1">
      <c r="A27" s="1630" t="s">
        <v>1826</v>
      </c>
      <c r="B27" s="783" t="s">
        <v>686</v>
      </c>
      <c r="C27" s="53">
        <f ca="1">ROUND(F21*F26,4)</f>
        <v>4.0000000000000001E-3</v>
      </c>
      <c r="D27" s="811" t="s">
        <v>706</v>
      </c>
      <c r="E27" s="805"/>
      <c r="F27" s="806"/>
      <c r="G27" s="1575"/>
      <c r="H27" s="2464"/>
      <c r="I27" s="786"/>
      <c r="J27" s="787"/>
      <c r="K27" s="820" t="s">
        <v>707</v>
      </c>
      <c r="L27" s="783" t="s">
        <v>708</v>
      </c>
      <c r="M27" s="821">
        <f ca="1">INDIRECT("'数据-取费表'!ag"&amp;$G$1)</f>
        <v>0</v>
      </c>
    </row>
    <row r="28" spans="1:33" s="2046" customFormat="1" ht="18" customHeight="1">
      <c r="A28" s="1632" t="s">
        <v>1835</v>
      </c>
      <c r="B28" s="783" t="s">
        <v>687</v>
      </c>
      <c r="C28" s="53">
        <f>ROUND(F28/(1+'数据-取费表'!C42),4)</f>
        <v>5.33E-2</v>
      </c>
      <c r="D28" s="811" t="s">
        <v>2290</v>
      </c>
      <c r="E28" s="783" t="s">
        <v>649</v>
      </c>
      <c r="F28" s="808">
        <f>'数据-取费表'!B41</f>
        <v>5.6000000000000001E-2</v>
      </c>
      <c r="G28" s="1576"/>
      <c r="H28" s="1811"/>
      <c r="I28" s="790"/>
      <c r="J28" s="791"/>
      <c r="K28" s="815"/>
      <c r="L28" s="783" t="s">
        <v>710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31359</v>
      </c>
      <c r="D29" s="2506"/>
      <c r="E29" s="2507"/>
      <c r="F29" s="2508"/>
      <c r="G29" s="1576"/>
      <c r="H29" s="822" t="s">
        <v>1781</v>
      </c>
      <c r="I29" s="823" t="s">
        <v>1782</v>
      </c>
      <c r="J29" s="824">
        <f ca="1">ROUND(J26/(1+F40)^F41,0)</f>
        <v>0</v>
      </c>
      <c r="K29" s="825" t="s">
        <v>688</v>
      </c>
      <c r="L29" s="826"/>
      <c r="M29" s="827">
        <f ca="1">INDIRECT("'数据-取费表'!k"&amp;$G$1)</f>
        <v>55077.55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651</v>
      </c>
      <c r="C30" s="791">
        <f ca="1">ROUND(C31+C36+C37+C38,0)</f>
        <v>932</v>
      </c>
      <c r="D30" s="1803" t="s">
        <v>652</v>
      </c>
      <c r="E30" s="3177"/>
      <c r="F30" s="2452"/>
      <c r="G30" s="2044"/>
      <c r="H30" s="2047"/>
      <c r="I30" s="2048"/>
      <c r="J30" s="2049"/>
      <c r="K30" s="2050"/>
      <c r="L30" s="2051"/>
      <c r="M30" s="2052"/>
    </row>
    <row r="31" spans="1:33" ht="18" customHeight="1">
      <c r="A31" s="1631" t="s">
        <v>1818</v>
      </c>
      <c r="B31" s="783" t="s">
        <v>656</v>
      </c>
      <c r="C31" s="53">
        <f ca="1">ROUND(IF(项目基本情况!B11="自然人",C6*F31/(1+'数据-取费表'!C42),C32+C33+C34),1)</f>
        <v>381.6</v>
      </c>
      <c r="D31" s="3175" t="s">
        <v>657</v>
      </c>
      <c r="E31" s="3174" t="s">
        <v>690</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660</v>
      </c>
      <c r="C32" s="53">
        <f ca="1">ROUND(C6*F32/(1+'数据-取费表'!C42),1)</f>
        <v>115.8</v>
      </c>
      <c r="D32" s="3174" t="s">
        <v>661</v>
      </c>
      <c r="E32" s="783" t="s">
        <v>649</v>
      </c>
      <c r="F32" s="808">
        <f>'数据-取费表'!B41</f>
        <v>5.6000000000000001E-2</v>
      </c>
      <c r="G32" s="2044"/>
      <c r="H32" s="2053"/>
      <c r="I32" s="2054"/>
      <c r="J32" s="2055"/>
      <c r="K32" s="2056"/>
      <c r="L32" s="2057"/>
      <c r="M32" s="2058"/>
    </row>
    <row r="33" spans="1:18" ht="18" customHeight="1">
      <c r="A33" s="1630" t="s">
        <v>1826</v>
      </c>
      <c r="B33" s="783" t="s">
        <v>664</v>
      </c>
      <c r="C33" s="53">
        <f ca="1">IF(D33="按租金收入计税",ROUND(C6*F33/(1+'数据-取费表'!C42),1),IF(D33="按房产原值计税",ROUND(C29*F33*0.7,1),INDIRECT("'数据-取费表'!Aj"&amp;$G$1)))</f>
        <v>248.1</v>
      </c>
      <c r="D33" s="810" t="s">
        <v>3027</v>
      </c>
      <c r="E33" s="783" t="s">
        <v>649</v>
      </c>
      <c r="F33" s="808">
        <f>IF(D33="按租金收入计税",'数据-取费表'!B51,'数据-取费表'!B50)</f>
        <v>0.12</v>
      </c>
      <c r="G33" s="2044"/>
      <c r="H33" s="2059"/>
      <c r="I33" s="2059"/>
      <c r="J33" s="2059"/>
      <c r="K33" s="2060"/>
      <c r="L33" s="2059"/>
      <c r="M33" s="2059"/>
    </row>
    <row r="34" spans="1:18" ht="18" customHeight="1">
      <c r="A34" s="1633" t="s">
        <v>1827</v>
      </c>
      <c r="B34" s="340" t="s">
        <v>668</v>
      </c>
      <c r="C34" s="54">
        <f ca="1">ROUND(F34*F35/10000,1)</f>
        <v>17.7</v>
      </c>
      <c r="D34" s="813" t="s">
        <v>669</v>
      </c>
      <c r="E34" s="783" t="s">
        <v>670</v>
      </c>
      <c r="F34" s="639">
        <f>'数据-取费表'!B52</f>
        <v>8</v>
      </c>
      <c r="G34" s="2044"/>
      <c r="H34" s="2047"/>
      <c r="I34" s="834" t="s">
        <v>1807</v>
      </c>
      <c r="J34" s="835"/>
      <c r="K34" s="2062"/>
      <c r="L34" s="2061"/>
      <c r="M34" s="2061"/>
    </row>
    <row r="35" spans="1:18" ht="18" customHeight="1">
      <c r="A35" s="814"/>
      <c r="B35" s="792"/>
      <c r="C35" s="69"/>
      <c r="D35" s="815"/>
      <c r="E35" s="783" t="s">
        <v>674</v>
      </c>
      <c r="F35" s="784">
        <f ca="1">INDIRECT("'数据-取费表'!r"&amp;$G$1)</f>
        <v>22138.66</v>
      </c>
      <c r="G35" s="2044"/>
      <c r="H35" s="2047"/>
      <c r="I35" s="836" t="s">
        <v>1808</v>
      </c>
      <c r="J35" s="837">
        <f ca="1">ROUND(C13*J36,0)</f>
        <v>2509</v>
      </c>
      <c r="K35" s="2060"/>
      <c r="L35" s="2059"/>
      <c r="M35" s="2059"/>
    </row>
    <row r="36" spans="1:18" ht="18" customHeight="1">
      <c r="A36" s="1631" t="s">
        <v>1883</v>
      </c>
      <c r="B36" s="783" t="s">
        <v>676</v>
      </c>
      <c r="C36" s="53">
        <f ca="1">ROUND(C29*F36,1)</f>
        <v>470.4</v>
      </c>
      <c r="D36" s="3174" t="s">
        <v>691</v>
      </c>
      <c r="E36" s="783" t="s">
        <v>649</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47</v>
      </c>
      <c r="D37" s="3174" t="s">
        <v>680</v>
      </c>
      <c r="E37" s="783" t="s">
        <v>649</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32.6</v>
      </c>
      <c r="D38" s="2506" t="s">
        <v>683</v>
      </c>
      <c r="E38" s="2507" t="s">
        <v>649</v>
      </c>
      <c r="F38" s="2503">
        <f ca="1">INDIRECT("'数据-取费表'!Am"&amp;$G$1)</f>
        <v>1.4999999999999999E-2</v>
      </c>
      <c r="G38" s="2044"/>
      <c r="H38" s="2059"/>
      <c r="I38" s="842" t="s">
        <v>1811</v>
      </c>
      <c r="J38" s="843"/>
      <c r="K38" s="2065"/>
      <c r="L38" s="2059"/>
      <c r="M38" s="2059"/>
    </row>
    <row r="39" spans="1:18" ht="24.6" customHeight="1" thickTop="1">
      <c r="A39" s="1811" t="s">
        <v>1770</v>
      </c>
      <c r="B39" s="2842" t="s">
        <v>2812</v>
      </c>
      <c r="C39" s="791">
        <f ca="1">C5-C30</f>
        <v>1242</v>
      </c>
      <c r="D39" s="2509" t="s">
        <v>700</v>
      </c>
      <c r="E39" s="2510"/>
      <c r="F39" s="2511"/>
      <c r="G39" s="2044"/>
      <c r="H39" s="2059"/>
      <c r="I39" s="836" t="s">
        <v>1812</v>
      </c>
      <c r="J39" s="844">
        <f ca="1">ROUND(J35/C39,3)</f>
        <v>2.02</v>
      </c>
      <c r="K39" s="2065"/>
      <c r="L39" s="2059"/>
      <c r="M39" s="2059"/>
    </row>
    <row r="40" spans="1:18" ht="18" customHeight="1">
      <c r="A40" s="780" t="s">
        <v>1774</v>
      </c>
      <c r="B40" s="2214" t="s">
        <v>2292</v>
      </c>
      <c r="C40" s="782">
        <f ca="1">ROUND(C39*(1-((1+F42)/(1+F40))^F41)/(F40-F42),0)</f>
        <v>31391</v>
      </c>
      <c r="D40" s="813" t="s">
        <v>704</v>
      </c>
      <c r="E40" s="783" t="s">
        <v>2410</v>
      </c>
      <c r="F40" s="793">
        <f ca="1">INDIRECT("'数据-取费表'!I"&amp;$G$1)</f>
        <v>5.5E-2</v>
      </c>
      <c r="G40" s="2044"/>
      <c r="H40" s="2044"/>
      <c r="I40" s="836" t="s">
        <v>1813</v>
      </c>
      <c r="J40" s="844">
        <f ca="1">1-J39</f>
        <v>-1.02</v>
      </c>
      <c r="K40" s="2065"/>
      <c r="L40" s="2044"/>
      <c r="M40" s="2044"/>
    </row>
    <row r="41" spans="1:18" ht="18" customHeight="1">
      <c r="A41" s="785"/>
      <c r="B41" s="786"/>
      <c r="C41" s="787"/>
      <c r="D41" s="820" t="s">
        <v>1802</v>
      </c>
      <c r="E41" s="783" t="s">
        <v>708</v>
      </c>
      <c r="F41" s="821">
        <f ca="1">IF(INDIRECT("'数据-取费表'!af"&amp;$G$1)=0,INDIRECT("'数据-取费表'!ae"&amp;$G$1),INDIRECT("'数据-取费表'!af"&amp;$G$1))</f>
        <v>41.67</v>
      </c>
      <c r="G41" s="2044"/>
      <c r="H41" s="1970"/>
      <c r="I41" s="842" t="s">
        <v>1814</v>
      </c>
      <c r="J41" s="845"/>
      <c r="K41" s="2064"/>
      <c r="L41" s="1970"/>
      <c r="M41" s="1970"/>
    </row>
    <row r="42" spans="1:18" ht="18" customHeight="1">
      <c r="A42" s="789"/>
      <c r="B42" s="790"/>
      <c r="C42" s="791"/>
      <c r="D42" s="815"/>
      <c r="E42" s="783" t="s">
        <v>710</v>
      </c>
      <c r="F42" s="793">
        <f ca="1">INDIRECT("'数据-取费表'!v"&amp;$G$1)</f>
        <v>0.03</v>
      </c>
      <c r="G42" s="2044"/>
      <c r="H42" s="1970"/>
      <c r="I42" s="846" t="s">
        <v>1815</v>
      </c>
      <c r="J42" s="844">
        <f ca="1">ROUND(C13/C40,3)</f>
        <v>0.999</v>
      </c>
      <c r="K42" s="2064"/>
      <c r="L42" s="1970"/>
      <c r="M42" s="1970"/>
    </row>
    <row r="43" spans="1:18" ht="18" customHeight="1" thickBot="1">
      <c r="A43" s="822" t="s">
        <v>1781</v>
      </c>
      <c r="B43" s="823" t="s">
        <v>1804</v>
      </c>
      <c r="C43" s="824">
        <f ca="1">ROUND(C40*10000/F43,0)</f>
        <v>5699</v>
      </c>
      <c r="D43" s="825" t="s">
        <v>1805</v>
      </c>
      <c r="E43" s="826" t="s">
        <v>1806</v>
      </c>
      <c r="F43" s="827">
        <f ca="1">INDIRECT("'数据-取费表'!k"&amp;$G$1)</f>
        <v>55077.55</v>
      </c>
      <c r="G43" s="2044"/>
      <c r="H43" s="1970"/>
      <c r="I43" s="846" t="s">
        <v>1816</v>
      </c>
      <c r="J43" s="847">
        <f ca="1">1-J42</f>
        <v>1.0000000000000009E-3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-40073</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50</v>
      </c>
      <c r="M47" s="1586" t="str">
        <f>IF(ISNUMBER(FIND("住宅",C1)),"住宅","非住宅")</f>
        <v>非住宅</v>
      </c>
      <c r="O47" s="2356" t="s">
        <v>2366</v>
      </c>
      <c r="P47" s="2357" t="s">
        <v>2367</v>
      </c>
      <c r="Q47" s="2358" t="s">
        <v>2368</v>
      </c>
      <c r="R47" s="2357" t="s">
        <v>2369</v>
      </c>
    </row>
    <row r="48" spans="1:18" s="2041" customFormat="1" ht="18" customHeight="1" thickBot="1">
      <c r="A48" s="2603" t="s">
        <v>1864</v>
      </c>
      <c r="B48" s="2604" t="s">
        <v>2529</v>
      </c>
      <c r="C48" s="2335">
        <f ca="1">ROUND(F48*F50*F49*(1-F51)/10000,0)</f>
        <v>0</v>
      </c>
      <c r="D48" s="2336" t="s">
        <v>636</v>
      </c>
      <c r="E48" s="2337" t="s">
        <v>2287</v>
      </c>
      <c r="F48" s="2338"/>
      <c r="G48" s="2072"/>
      <c r="I48" s="2944" t="s">
        <v>2336</v>
      </c>
      <c r="J48" s="2343" t="s">
        <v>2341</v>
      </c>
      <c r="K48" s="2955" t="s">
        <v>2342</v>
      </c>
      <c r="L48" s="1890">
        <f ca="1">INDIRECT("'数据-取费表'!f"&amp;$G$1)</f>
        <v>41.67</v>
      </c>
      <c r="O48" s="2359" t="s">
        <v>2370</v>
      </c>
      <c r="P48" s="2360" t="s">
        <v>2396</v>
      </c>
      <c r="Q48" s="2361">
        <f ca="1">C40+J29</f>
        <v>31391</v>
      </c>
      <c r="R48" s="2360" t="s">
        <v>2371</v>
      </c>
    </row>
    <row r="49" spans="1:18" s="2041" customFormat="1" ht="18" customHeight="1" thickBot="1">
      <c r="A49" s="785"/>
      <c r="B49" s="786"/>
      <c r="C49" s="787"/>
      <c r="D49" s="788"/>
      <c r="E49" s="783" t="s">
        <v>638</v>
      </c>
      <c r="F49" s="784">
        <f ca="1">F7</f>
        <v>55077.55</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639</v>
      </c>
      <c r="F50" s="784">
        <f ca="1">F8</f>
        <v>365</v>
      </c>
      <c r="G50" s="2077"/>
      <c r="H50" s="2075"/>
      <c r="I50" s="2944" t="s">
        <v>2338</v>
      </c>
      <c r="J50" s="2952">
        <f>SUMPRODUCT((I63:I65=J47)*(J62:L62=J48)*(J63:L65))</f>
        <v>60</v>
      </c>
      <c r="K50" s="2956" t="s">
        <v>2344</v>
      </c>
      <c r="L50" s="2345"/>
      <c r="O50" s="2362" t="s">
        <v>2374</v>
      </c>
      <c r="P50" s="2360" t="s">
        <v>2398</v>
      </c>
      <c r="Q50" s="2361">
        <f ca="1">C29</f>
        <v>31359</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-23978</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2963</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41.67</v>
      </c>
      <c r="K53" s="3642" t="s">
        <v>2955</v>
      </c>
      <c r="L53" s="3643"/>
      <c r="O53" s="2362" t="s">
        <v>2379</v>
      </c>
      <c r="P53" s="2360" t="s">
        <v>2380</v>
      </c>
      <c r="Q53" s="2361">
        <f ca="1">J53</f>
        <v>41.67</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31391</v>
      </c>
      <c r="R54" s="2364" t="s">
        <v>2383</v>
      </c>
    </row>
    <row r="55" spans="1:18" s="2041" customFormat="1" ht="18" customHeight="1" thickTop="1" thickBot="1">
      <c r="A55" s="796">
        <v>2</v>
      </c>
      <c r="B55" s="797" t="s">
        <v>644</v>
      </c>
      <c r="C55" s="798">
        <f ca="1">C13</f>
        <v>31359</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2291</v>
      </c>
      <c r="C56" s="53">
        <f ca="1">C29</f>
        <v>31359</v>
      </c>
      <c r="D56" s="3174"/>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7</v>
      </c>
      <c r="B57" s="797" t="s">
        <v>651</v>
      </c>
      <c r="C57" s="798">
        <f ca="1">ROUND(C58+C63+C64+C65,0)</f>
        <v>535</v>
      </c>
      <c r="D57" s="26" t="s">
        <v>652</v>
      </c>
      <c r="E57" s="3179"/>
      <c r="F57" s="56"/>
      <c r="I57" s="2965" t="s">
        <v>2349</v>
      </c>
      <c r="J57" s="2966" t="str">
        <f ca="1">IF(OR(M47="住宅",J51&lt;L48,J56="是"),"——",J51-L48)</f>
        <v>——</v>
      </c>
      <c r="K57" s="2944" t="s">
        <v>2354</v>
      </c>
      <c r="L57" s="1890" t="str">
        <f ca="1">IF(L48&lt;J51,"——",IF(L55="比较法",L49,IF(L55="基准地价",L50,L51)))</f>
        <v>——</v>
      </c>
      <c r="O57" s="2359" t="s">
        <v>2370</v>
      </c>
      <c r="P57" s="2360" t="s">
        <v>2396</v>
      </c>
      <c r="Q57" s="2361">
        <f ca="1">C40+J29</f>
        <v>31391</v>
      </c>
      <c r="R57" s="2360" t="s">
        <v>2371</v>
      </c>
    </row>
    <row r="58" spans="1:18" s="2041" customFormat="1" ht="28.5" customHeight="1" thickBot="1">
      <c r="A58" s="1631" t="s">
        <v>1818</v>
      </c>
      <c r="B58" s="783" t="s">
        <v>656</v>
      </c>
      <c r="C58" s="53">
        <f ca="1">ROUND(IF(项目基本情况!B11="自然人",C47*F58,C59+C60+C61),1)</f>
        <v>17.7</v>
      </c>
      <c r="D58" s="3175" t="s">
        <v>657</v>
      </c>
      <c r="E58" s="3174"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3174" t="s">
        <v>661</v>
      </c>
      <c r="E59" s="783" t="s">
        <v>649</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664</v>
      </c>
      <c r="C60" s="53">
        <f ca="1">IF(D60="按租金收入计税",ROUND(C47*F60,1),IF(D60="按房产原值计税",ROUND(C56*F60*0.7,1),INDIRECT("'数据-取费表'!Aj"&amp;$G$1)))</f>
        <v>0</v>
      </c>
      <c r="D60" s="3174" t="str">
        <f>D33</f>
        <v>按租金收入计税</v>
      </c>
      <c r="E60" s="783" t="s">
        <v>649</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17.7</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22138.66</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470.4</v>
      </c>
      <c r="D63" s="3174" t="s">
        <v>691</v>
      </c>
      <c r="E63" s="783" t="s">
        <v>649</v>
      </c>
      <c r="F63" s="816">
        <f t="shared" ca="1" si="0"/>
        <v>1.4999999999999999E-2</v>
      </c>
      <c r="I63" s="2970" t="s">
        <v>2361</v>
      </c>
      <c r="J63" s="2971">
        <v>70</v>
      </c>
      <c r="K63" s="2971">
        <v>50</v>
      </c>
      <c r="L63" s="2971">
        <v>80</v>
      </c>
      <c r="M63" s="2973">
        <v>0.02</v>
      </c>
      <c r="O63" s="2359" t="s">
        <v>2382</v>
      </c>
      <c r="P63" s="2360" t="s">
        <v>2399</v>
      </c>
      <c r="Q63" s="2361">
        <f ca="1">Q57+Q58</f>
        <v>31391</v>
      </c>
      <c r="R63" s="2364" t="s">
        <v>2383</v>
      </c>
    </row>
    <row r="64" spans="1:18" s="2041" customFormat="1" ht="16.5" thickBot="1">
      <c r="A64" s="1631" t="s">
        <v>1884</v>
      </c>
      <c r="B64" s="783" t="s">
        <v>679</v>
      </c>
      <c r="C64" s="53">
        <f ca="1">ROUND(C55*F64,1)</f>
        <v>47</v>
      </c>
      <c r="D64" s="3174" t="s">
        <v>680</v>
      </c>
      <c r="E64" s="783" t="s">
        <v>649</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3174" t="s">
        <v>683</v>
      </c>
      <c r="E65" s="783" t="s">
        <v>649</v>
      </c>
      <c r="F65" s="793">
        <f t="shared" ca="1" si="0"/>
        <v>1.4999999999999999E-2</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-535</v>
      </c>
      <c r="D66" s="3175" t="s">
        <v>700</v>
      </c>
      <c r="E66" s="3178"/>
      <c r="F66" s="819"/>
      <c r="K66" s="2068"/>
      <c r="O66" s="2359" t="s">
        <v>2370</v>
      </c>
      <c r="P66" s="2360" t="s">
        <v>2396</v>
      </c>
      <c r="Q66" s="2361">
        <f ca="1">C40+J29</f>
        <v>31391</v>
      </c>
      <c r="R66" s="2360" t="s">
        <v>2371</v>
      </c>
    </row>
    <row r="67" spans="1:18" s="2041" customFormat="1" ht="20.25" thickBot="1">
      <c r="A67" s="780" t="s">
        <v>1774</v>
      </c>
      <c r="B67" s="2214" t="s">
        <v>2292</v>
      </c>
      <c r="C67" s="782">
        <f ca="1">ROUND(C66*(1-((1+F69)/(1+F67))^F68)/(F67-F69),0)</f>
        <v>-8682</v>
      </c>
      <c r="D67" s="813" t="s">
        <v>704</v>
      </c>
      <c r="E67" s="783" t="s">
        <v>705</v>
      </c>
      <c r="F67" s="793">
        <f ca="1">F40</f>
        <v>5.5E-2</v>
      </c>
      <c r="K67" s="2068"/>
      <c r="O67" s="2359" t="s">
        <v>2372</v>
      </c>
      <c r="P67" s="2360" t="s">
        <v>2403</v>
      </c>
      <c r="Q67" s="2361">
        <f ca="1">L60</f>
        <v>0</v>
      </c>
      <c r="R67" s="2364" t="s">
        <v>2405</v>
      </c>
    </row>
    <row r="68" spans="1:18" ht="21.75" thickBot="1">
      <c r="A68" s="785"/>
      <c r="B68" s="786"/>
      <c r="C68" s="787"/>
      <c r="D68" s="820" t="s">
        <v>1802</v>
      </c>
      <c r="E68" s="783" t="s">
        <v>708</v>
      </c>
      <c r="F68" s="821">
        <f ca="1">F41</f>
        <v>41.67</v>
      </c>
      <c r="O68" s="2362" t="s">
        <v>2374</v>
      </c>
      <c r="P68" s="2360" t="s">
        <v>2404</v>
      </c>
      <c r="Q68" s="2366">
        <f ca="1">L51</f>
        <v>-23978</v>
      </c>
      <c r="R68" s="2367" t="s">
        <v>2407</v>
      </c>
    </row>
    <row r="69" spans="1:18" ht="20.25" thickBot="1">
      <c r="A69" s="789"/>
      <c r="B69" s="790"/>
      <c r="C69" s="791"/>
      <c r="D69" s="815"/>
      <c r="E69" s="783" t="s">
        <v>710</v>
      </c>
      <c r="F69" s="2332"/>
      <c r="O69" s="2362" t="s">
        <v>2375</v>
      </c>
      <c r="P69" s="2368" t="s">
        <v>2389</v>
      </c>
      <c r="Q69" s="2361">
        <f ca="1">ROUND(Q70-Q71*Q72,0)</f>
        <v>-1267</v>
      </c>
      <c r="R69" s="2364"/>
    </row>
    <row r="70" spans="1:18" ht="15.75" thickBot="1">
      <c r="A70" s="822" t="s">
        <v>1781</v>
      </c>
      <c r="B70" s="823" t="s">
        <v>1804</v>
      </c>
      <c r="C70" s="824">
        <f ca="1">ROUND(C67*10000/F70,0)</f>
        <v>-1576</v>
      </c>
      <c r="D70" s="825" t="s">
        <v>1805</v>
      </c>
      <c r="E70" s="826" t="s">
        <v>1806</v>
      </c>
      <c r="F70" s="827">
        <f ca="1">F43</f>
        <v>55077.55</v>
      </c>
      <c r="O70" s="2362" t="s">
        <v>2390</v>
      </c>
      <c r="P70" s="2368" t="s">
        <v>2391</v>
      </c>
      <c r="Q70" s="2361">
        <f ca="1">C39</f>
        <v>1242</v>
      </c>
      <c r="R70" s="2360" t="s">
        <v>2371</v>
      </c>
    </row>
    <row r="71" spans="1:18" ht="15.75" thickBot="1">
      <c r="O71" s="2362" t="s">
        <v>2392</v>
      </c>
      <c r="P71" s="2368" t="s">
        <v>2393</v>
      </c>
      <c r="Q71" s="2361">
        <f ca="1">C13</f>
        <v>31359</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31391</v>
      </c>
      <c r="R76" s="2364" t="s">
        <v>2383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8" sqref="D28"/>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1719</v>
      </c>
      <c r="B1" s="737"/>
      <c r="C1" s="772" t="s">
        <v>2997</v>
      </c>
      <c r="D1" s="3209" t="s">
        <v>949</v>
      </c>
      <c r="E1" s="2348" t="s">
        <v>2365</v>
      </c>
      <c r="F1" s="2349">
        <f ca="1">J53</f>
        <v>41.67</v>
      </c>
      <c r="G1" s="773">
        <f>MATCH(C1,'数据-取费表'!A6:A16,0)+5</f>
        <v>11</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10243</v>
      </c>
      <c r="C2" s="2039"/>
      <c r="D2" s="2037"/>
      <c r="E2" s="2038"/>
      <c r="F2" s="2038"/>
      <c r="G2" s="1573"/>
      <c r="H2" s="2039"/>
      <c r="I2" s="2039"/>
      <c r="J2" s="2039"/>
      <c r="K2" s="2040"/>
      <c r="L2" s="2039"/>
      <c r="M2" s="2039"/>
    </row>
    <row r="3" spans="1:33" ht="18" customHeight="1" thickBot="1">
      <c r="A3" s="832" t="s">
        <v>1721</v>
      </c>
      <c r="B3" s="833">
        <f ca="1">IF(ISERROR(B2*10000/F43),0,ROUND(B2*10000/F43,0))</f>
        <v>931</v>
      </c>
      <c r="C3" s="2039"/>
      <c r="D3" s="2037"/>
      <c r="E3" s="2038"/>
      <c r="F3" s="2038"/>
      <c r="G3" s="1573"/>
      <c r="H3" s="775" t="s">
        <v>695</v>
      </c>
      <c r="I3" s="1357"/>
      <c r="J3" s="1357"/>
      <c r="K3" s="1574"/>
      <c r="L3" s="1357"/>
      <c r="M3" s="1357"/>
    </row>
    <row r="4" spans="1:33" ht="18" customHeight="1">
      <c r="A4" s="776" t="s">
        <v>1722</v>
      </c>
      <c r="B4" s="777" t="s">
        <v>1723</v>
      </c>
      <c r="C4" s="777" t="s">
        <v>1724</v>
      </c>
      <c r="D4" s="777" t="s">
        <v>633</v>
      </c>
      <c r="E4" s="778" t="s">
        <v>1725</v>
      </c>
      <c r="F4" s="779"/>
      <c r="G4" s="1575"/>
      <c r="H4" s="776" t="s">
        <v>1726</v>
      </c>
      <c r="I4" s="777" t="s">
        <v>1727</v>
      </c>
      <c r="J4" s="777" t="s">
        <v>1728</v>
      </c>
      <c r="K4" s="777" t="s">
        <v>1729</v>
      </c>
      <c r="L4" s="778" t="s">
        <v>1730</v>
      </c>
      <c r="M4" s="779"/>
    </row>
    <row r="5" spans="1:33" ht="18" customHeight="1">
      <c r="A5" s="780">
        <v>1</v>
      </c>
      <c r="B5" s="781" t="s">
        <v>2449</v>
      </c>
      <c r="C5" s="55">
        <f ca="1">C6+C10+C12</f>
        <v>1365</v>
      </c>
      <c r="D5" s="2457" t="s">
        <v>2452</v>
      </c>
      <c r="E5" s="2451"/>
      <c r="F5" s="2452"/>
      <c r="G5" s="1575"/>
      <c r="H5" s="780">
        <v>1</v>
      </c>
      <c r="I5" s="781" t="s">
        <v>2449</v>
      </c>
      <c r="J5" s="55">
        <f ca="1">J6+J10+J12</f>
        <v>0</v>
      </c>
      <c r="K5" s="2457" t="s">
        <v>2452</v>
      </c>
      <c r="L5" s="2451"/>
      <c r="M5" s="2452"/>
    </row>
    <row r="6" spans="1:33" ht="18" customHeight="1">
      <c r="A6" s="1812" t="s">
        <v>1818</v>
      </c>
      <c r="B6" s="3600" t="s">
        <v>2454</v>
      </c>
      <c r="C6" s="782">
        <f ca="1">ROUND(F6*F8*F7*(1-F9)/10000,0)</f>
        <v>1365</v>
      </c>
      <c r="D6" s="2458" t="s">
        <v>2453</v>
      </c>
      <c r="E6" s="783" t="s">
        <v>1732</v>
      </c>
      <c r="F6" s="784">
        <f ca="1">INDIRECT("'数据-取费表'!u"&amp;$G$1)</f>
        <v>400</v>
      </c>
      <c r="G6" s="1575"/>
      <c r="H6" s="2465" t="s">
        <v>2459</v>
      </c>
      <c r="I6" s="3600" t="s">
        <v>2454</v>
      </c>
      <c r="J6" s="782">
        <f ca="1">ROUND(M6*M8*M7*(1-M9)/10000,0)</f>
        <v>0</v>
      </c>
      <c r="K6" s="340" t="s">
        <v>1731</v>
      </c>
      <c r="L6" s="783" t="s">
        <v>1732</v>
      </c>
      <c r="M6" s="784">
        <f ca="1">INDIRECT("'数据-取费表'!z"&amp;$G$1)</f>
        <v>0</v>
      </c>
    </row>
    <row r="7" spans="1:33" ht="18" customHeight="1">
      <c r="A7" s="2461"/>
      <c r="B7" s="3601"/>
      <c r="C7" s="787"/>
      <c r="D7" s="788"/>
      <c r="E7" s="783" t="s">
        <v>1733</v>
      </c>
      <c r="F7" s="784">
        <f ca="1">IF(INDIRECT("'数据-取费表'!ah"&amp;$G$1)="",INDIRECT("'数据-取费表'!k"&amp;$G$1),INDIRECT("'数据-取费表'!ah"&amp;$G$1))</f>
        <v>3159</v>
      </c>
      <c r="G7" s="1575"/>
      <c r="H7" s="2450"/>
      <c r="I7" s="3601"/>
      <c r="J7" s="787"/>
      <c r="K7" s="788"/>
      <c r="L7" s="783" t="s">
        <v>1733</v>
      </c>
      <c r="M7" s="784">
        <f ca="1">F7</f>
        <v>3159</v>
      </c>
    </row>
    <row r="8" spans="1:33" ht="18" customHeight="1">
      <c r="A8" s="2454"/>
      <c r="B8" s="3602"/>
      <c r="C8" s="787"/>
      <c r="D8" s="788"/>
      <c r="E8" s="783" t="s">
        <v>1734</v>
      </c>
      <c r="F8" s="784">
        <f ca="1">INDIRECT("'数据-取费表'!ai"&amp;$G$1)</f>
        <v>12</v>
      </c>
      <c r="G8" s="1575"/>
      <c r="H8" s="2450"/>
      <c r="I8" s="3602"/>
      <c r="J8" s="787"/>
      <c r="K8" s="788"/>
      <c r="L8" s="783" t="s">
        <v>1734</v>
      </c>
      <c r="M8" s="784">
        <f ca="1">INDIRECT("'数据-取费表'!ai"&amp;$G$1)</f>
        <v>12</v>
      </c>
    </row>
    <row r="9" spans="1:33" ht="18" customHeight="1">
      <c r="A9" s="785"/>
      <c r="B9" s="3603"/>
      <c r="C9" s="787"/>
      <c r="D9" s="788"/>
      <c r="E9" s="783" t="s">
        <v>1735</v>
      </c>
      <c r="F9" s="793">
        <f ca="1">INDIRECT("'数据-取费表'!w"&amp;$G$1)</f>
        <v>0.1</v>
      </c>
      <c r="G9" s="1575"/>
      <c r="H9" s="2466"/>
      <c r="I9" s="3602"/>
      <c r="J9" s="787"/>
      <c r="K9" s="788"/>
      <c r="L9" s="794" t="s">
        <v>1735</v>
      </c>
      <c r="M9" s="795">
        <f ca="1">INDIRECT("'数据-取费表'!ab"&amp;$G$1)</f>
        <v>0</v>
      </c>
    </row>
    <row r="10" spans="1:33" ht="18" customHeight="1">
      <c r="A10" s="1812" t="s">
        <v>2457</v>
      </c>
      <c r="B10" s="2455" t="s">
        <v>2450</v>
      </c>
      <c r="C10" s="798">
        <f ca="1">ROUND(IF(F10="押一",C6/12*F11,IF(F10="押二",C6/12*2*F11,IF(F10="押三",C6/12*3*F11,C11*F11))),0)</f>
        <v>0</v>
      </c>
      <c r="D10" s="2462" t="s">
        <v>2963</v>
      </c>
      <c r="E10" s="2459" t="s">
        <v>2455</v>
      </c>
      <c r="F10" s="2582" t="s">
        <v>3026</v>
      </c>
      <c r="G10" s="1575"/>
      <c r="H10" s="2522" t="s">
        <v>2460</v>
      </c>
      <c r="I10" s="2527" t="s">
        <v>2450</v>
      </c>
      <c r="J10" s="782">
        <f ca="1">ROUND(IF(M10="押一",J6/12*M11,IF(M10="押二",J6/12*2*M11,IF(M10="押三",J6/12*3*M11,J11*M11))),0)</f>
        <v>0</v>
      </c>
      <c r="K10" s="2462" t="s">
        <v>2963</v>
      </c>
      <c r="L10" s="2459" t="s">
        <v>2455</v>
      </c>
      <c r="M10" s="2582"/>
    </row>
    <row r="11" spans="1:33" ht="18" customHeight="1">
      <c r="A11" s="789"/>
      <c r="B11" s="2456" t="s">
        <v>2564</v>
      </c>
      <c r="C11" s="2460"/>
      <c r="D11" s="788"/>
      <c r="E11" s="2459" t="s">
        <v>2456</v>
      </c>
      <c r="F11" s="795">
        <f ca="1">'数据-取费表'!B39</f>
        <v>1.4999999999999999E-2</v>
      </c>
      <c r="G11" s="1575"/>
      <c r="H11" s="2523"/>
      <c r="I11" s="2456" t="s">
        <v>2564</v>
      </c>
      <c r="J11" s="2460"/>
      <c r="K11" s="2524"/>
      <c r="L11" s="2459" t="s">
        <v>2456</v>
      </c>
      <c r="M11" s="2453">
        <f ca="1">'数据-取费表'!B39</f>
        <v>1.4999999999999999E-2</v>
      </c>
    </row>
    <row r="12" spans="1:33" ht="18" customHeight="1" thickBot="1">
      <c r="A12" s="2498" t="s">
        <v>2458</v>
      </c>
      <c r="B12" s="2499" t="s">
        <v>2451</v>
      </c>
      <c r="C12" s="2500"/>
      <c r="D12" s="2501"/>
      <c r="E12" s="2502"/>
      <c r="F12" s="2503"/>
      <c r="G12" s="1575"/>
      <c r="H12" s="2512" t="s">
        <v>2461</v>
      </c>
      <c r="I12" s="2525" t="s">
        <v>2451</v>
      </c>
      <c r="J12" s="2526"/>
      <c r="K12" s="2501"/>
      <c r="L12" s="2502"/>
      <c r="M12" s="2515"/>
    </row>
    <row r="13" spans="1:33" ht="18" customHeight="1" thickTop="1">
      <c r="A13" s="1811">
        <v>2</v>
      </c>
      <c r="B13" s="1809" t="s">
        <v>1736</v>
      </c>
      <c r="C13" s="791">
        <f ca="1">ROUND(C29*F13,0)</f>
        <v>41475</v>
      </c>
      <c r="D13" s="1816" t="s">
        <v>2288</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645</v>
      </c>
      <c r="C14" s="803">
        <f ca="1">INDIRECT("'数据-取费表'!m"&amp;$G$1)+INDIRECT("'数据-取费表'!t"&amp;$G$1)</f>
        <v>30619</v>
      </c>
      <c r="D14" s="1961" t="s">
        <v>1739</v>
      </c>
      <c r="E14" s="1962"/>
      <c r="F14" s="804"/>
      <c r="G14" s="1575"/>
      <c r="H14" s="1631" t="s">
        <v>1824</v>
      </c>
      <c r="I14" s="2213" t="s">
        <v>2816</v>
      </c>
      <c r="J14" s="53">
        <f ca="1">C29</f>
        <v>41475</v>
      </c>
      <c r="K14" s="26"/>
      <c r="L14" s="800"/>
      <c r="M14" s="801"/>
    </row>
    <row r="15" spans="1:33" s="2046" customFormat="1" ht="18" customHeight="1" thickBot="1">
      <c r="A15" s="1630" t="s">
        <v>1879</v>
      </c>
      <c r="B15" s="783" t="s">
        <v>647</v>
      </c>
      <c r="C15" s="53">
        <f ca="1">ROUND(C14*F15,0)</f>
        <v>919</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650</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4141</v>
      </c>
      <c r="K16" s="1803" t="s">
        <v>1744</v>
      </c>
      <c r="L16" s="2447"/>
      <c r="M16" s="2452"/>
    </row>
    <row r="17" spans="1:33" s="2046" customFormat="1" ht="18" customHeight="1">
      <c r="A17" s="1630" t="s">
        <v>1881</v>
      </c>
      <c r="B17" s="783" t="s">
        <v>653</v>
      </c>
      <c r="C17" s="53">
        <f ca="1">ROUND(F17*(F43+INDIRECT("'数据-取费表'!S"&amp;$G$1))/10000,0)</f>
        <v>2120</v>
      </c>
      <c r="D17" s="783" t="s">
        <v>1745</v>
      </c>
      <c r="E17" s="783" t="s">
        <v>1746</v>
      </c>
      <c r="F17" s="56">
        <f>'数据-取费表'!B35</f>
        <v>180</v>
      </c>
      <c r="G17" s="1576"/>
      <c r="H17" s="1631" t="s">
        <v>1824</v>
      </c>
      <c r="I17" s="783" t="s">
        <v>656</v>
      </c>
      <c r="J17" s="53">
        <f ca="1">ROUND(IF(项目基本情况!B11="自然人",J6*M17/(1+'数据-取费表'!C42),J18+J19+J20),0)</f>
        <v>3519</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659</v>
      </c>
      <c r="C18" s="53">
        <f ca="1">ROUND(C14*F18,0)</f>
        <v>459</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34117</v>
      </c>
      <c r="D19" s="260" t="s">
        <v>1751</v>
      </c>
      <c r="E19" s="1964"/>
      <c r="F19" s="56"/>
      <c r="G19" s="1575"/>
      <c r="H19" s="1630" t="s">
        <v>1879</v>
      </c>
      <c r="I19" s="783" t="s">
        <v>1752</v>
      </c>
      <c r="J19" s="53">
        <f ca="1">IF(K19="按租金收入计税",ROUND(J6*M19/(1+'数据-取费表'!C42),1),ROUND(C29*F33*0.7,1))</f>
        <v>3483.9</v>
      </c>
      <c r="K19" s="810" t="s">
        <v>665</v>
      </c>
      <c r="L19" s="783" t="s">
        <v>1741</v>
      </c>
      <c r="M19" s="808">
        <f>IF(K19="按租金收入计税",'数据-取费表'!B51,'数据-取费表'!B50)</f>
        <v>1.2E-2</v>
      </c>
    </row>
    <row r="20" spans="1:33" s="2046" customFormat="1" ht="18" customHeight="1">
      <c r="A20" s="1631" t="s">
        <v>1883</v>
      </c>
      <c r="B20" s="783" t="s">
        <v>666</v>
      </c>
      <c r="C20" s="53">
        <f ca="1">ROUND(C19*F20,0)</f>
        <v>682</v>
      </c>
      <c r="D20" s="811" t="s">
        <v>1753</v>
      </c>
      <c r="E20" s="783" t="s">
        <v>1741</v>
      </c>
      <c r="F20" s="808">
        <f>'数据-取费表'!B37</f>
        <v>0.02</v>
      </c>
      <c r="G20" s="1576"/>
      <c r="H20" s="1633" t="s">
        <v>1874</v>
      </c>
      <c r="I20" s="340" t="s">
        <v>1754</v>
      </c>
      <c r="J20" s="54">
        <f ca="1">ROUND(M20*M21/10000,0)</f>
        <v>35</v>
      </c>
      <c r="K20" s="813" t="s">
        <v>1755</v>
      </c>
      <c r="L20" s="783" t="s">
        <v>1756</v>
      </c>
      <c r="M20" s="639">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2289</v>
      </c>
      <c r="E21" s="783" t="s">
        <v>1759</v>
      </c>
      <c r="F21" s="808">
        <f>'数据-取费表'!B38</f>
        <v>0.02</v>
      </c>
      <c r="G21" s="1576"/>
      <c r="H21" s="2467"/>
      <c r="I21" s="792"/>
      <c r="J21" s="69"/>
      <c r="K21" s="815"/>
      <c r="L21" s="783" t="s">
        <v>1760</v>
      </c>
      <c r="M21" s="784">
        <f ca="1">INDIRECT("'数据-取费表'!r"&amp;$G$1)</f>
        <v>44202.909999999996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622</v>
      </c>
      <c r="K22" s="2445" t="s">
        <v>1763</v>
      </c>
      <c r="L22" s="783" t="s">
        <v>1741</v>
      </c>
      <c r="M22" s="816">
        <f ca="1">INDIRECT("'数据-取费表'!Ak"&amp;$G$1)</f>
        <v>1.4999999999999999E-2</v>
      </c>
    </row>
    <row r="23" spans="1:33" s="2046" customFormat="1" ht="18" customHeight="1">
      <c r="A23" s="1630" t="s">
        <v>1825</v>
      </c>
      <c r="B23" s="783" t="s">
        <v>2526</v>
      </c>
      <c r="C23" s="53">
        <f ca="1">ROUND(IF('数据-取费表'!B22&lt;=1,(C19+C20)*F24*F23/2,(C19+C20)*(POWER((1+F24),F23/2)-1)),0)</f>
        <v>2509</v>
      </c>
      <c r="D23" s="2532" t="str">
        <f>IF(F23&lt;=1,"(建造成本+管理费用)×利率×(建设周期÷2)","(建造成本+管理费用)×((1+利率)^(建设周期÷2)-1)")</f>
        <v>(建造成本+管理费用)×((1+利率)^(建设周期÷2)-1)</v>
      </c>
      <c r="E23" s="783" t="s">
        <v>1764</v>
      </c>
      <c r="F23" s="639">
        <f>'数据-取费表'!B20</f>
        <v>3</v>
      </c>
      <c r="G23" s="1576"/>
      <c r="H23" s="1631" t="s">
        <v>1884</v>
      </c>
      <c r="I23" s="783" t="s">
        <v>679</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1.4E-3</v>
      </c>
      <c r="D24" s="2532" t="str">
        <f>IF(F23&lt;=1,"销售费用×利率×(建设周期÷2)","销售费用×((1+利率)^(建设周期÷2)-1)")</f>
        <v>销售费用×((1+利率)^(建设周期÷2)-1)</v>
      </c>
      <c r="E24" s="783" t="s">
        <v>1767</v>
      </c>
      <c r="F24" s="818">
        <f ca="1">'数据-取费表'!B40</f>
        <v>4.7500000000000001E-2</v>
      </c>
      <c r="G24" s="1576"/>
      <c r="H24" s="2512" t="s">
        <v>1885</v>
      </c>
      <c r="I24" s="2507" t="s">
        <v>666</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684</v>
      </c>
      <c r="C25" s="53"/>
      <c r="D25" s="260" t="s">
        <v>1769</v>
      </c>
      <c r="E25" s="1964"/>
      <c r="F25" s="56"/>
      <c r="G25" s="1575"/>
      <c r="H25" s="1811" t="s">
        <v>1770</v>
      </c>
      <c r="I25" s="2842" t="s">
        <v>2812</v>
      </c>
      <c r="J25" s="791">
        <f ca="1">J5-J16</f>
        <v>-4141</v>
      </c>
      <c r="K25" s="2509" t="s">
        <v>1771</v>
      </c>
      <c r="L25" s="2510"/>
      <c r="M25" s="2511"/>
    </row>
    <row r="26" spans="1:33" ht="18" customHeight="1">
      <c r="A26" s="1630" t="s">
        <v>1825</v>
      </c>
      <c r="B26" s="783" t="s">
        <v>2429</v>
      </c>
      <c r="C26" s="53">
        <f ca="1">ROUND((C19+C20)*F26,0)</f>
        <v>1044</v>
      </c>
      <c r="D26" s="811" t="s">
        <v>1772</v>
      </c>
      <c r="E26" s="794" t="s">
        <v>1773</v>
      </c>
      <c r="F26" s="793">
        <f ca="1">INDIRECT("'数据-取费表'!q"&amp;$G$1)</f>
        <v>0.03</v>
      </c>
      <c r="G26" s="1575"/>
      <c r="H26" s="2463" t="s">
        <v>1774</v>
      </c>
      <c r="I26" s="2214" t="s">
        <v>2817</v>
      </c>
      <c r="J26" s="782">
        <f ca="1">IF(J5&lt;&gt;0,ROUND(J25*(1-((1+M28)/(1+M26))^M27)/(M26-M28),0),0)</f>
        <v>0</v>
      </c>
      <c r="K26" s="813" t="s">
        <v>1775</v>
      </c>
      <c r="L26" s="783" t="s">
        <v>2410</v>
      </c>
      <c r="M26" s="793">
        <f ca="1">INDIRECT("'数据-取费表'!I"&amp;$G$1)</f>
        <v>4.4999999999999998E-2</v>
      </c>
    </row>
    <row r="27" spans="1:33" ht="18" customHeight="1">
      <c r="A27" s="1630" t="s">
        <v>1826</v>
      </c>
      <c r="B27" s="783" t="s">
        <v>686</v>
      </c>
      <c r="C27" s="53">
        <f ca="1">ROUND(F21*F26,4)</f>
        <v>5.9999999999999995E-4</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687</v>
      </c>
      <c r="C28" s="53">
        <f>ROUND(F28/(1+'数据-取费表'!C42),4)</f>
        <v>5.33E-2</v>
      </c>
      <c r="D28" s="811" t="s">
        <v>2290</v>
      </c>
      <c r="E28" s="783" t="s">
        <v>1779</v>
      </c>
      <c r="F28" s="808">
        <f>'数据-取费表'!B41</f>
        <v>5.6000000000000001E-2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2291</v>
      </c>
      <c r="C29" s="2505">
        <f ca="1">ROUND((C19+C20+C23+C26)/(1-F21-C24-C27-C28),0)</f>
        <v>41475</v>
      </c>
      <c r="D29" s="2506"/>
      <c r="E29" s="2507"/>
      <c r="F29" s="2508"/>
      <c r="G29" s="1576"/>
      <c r="H29" s="822" t="s">
        <v>1781</v>
      </c>
      <c r="I29" s="823" t="s">
        <v>1782</v>
      </c>
      <c r="J29" s="824">
        <f ca="1">ROUND(J26/(1+F40)^F41,0)</f>
        <v>0</v>
      </c>
      <c r="K29" s="825" t="s">
        <v>1783</v>
      </c>
      <c r="L29" s="826"/>
      <c r="M29" s="827">
        <f ca="1">INDIRECT("'数据-取费表'!k"&amp;$G$1)</f>
        <v>109970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962</v>
      </c>
      <c r="D30" s="1803" t="s">
        <v>1785</v>
      </c>
      <c r="E30" s="2447"/>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264.2</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72.8</v>
      </c>
      <c r="D32" s="1959" t="s">
        <v>1789</v>
      </c>
      <c r="E32" s="783" t="s">
        <v>1790</v>
      </c>
      <c r="F32" s="808">
        <f>'数据-取费表'!B41</f>
        <v>5.6000000000000001E-2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156</v>
      </c>
      <c r="D33" s="810" t="s">
        <v>3027</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35.4</v>
      </c>
      <c r="D34" s="813" t="s">
        <v>1793</v>
      </c>
      <c r="E34" s="783" t="s">
        <v>1794</v>
      </c>
      <c r="F34" s="639">
        <f>'数据-取费表'!B52</f>
        <v>8</v>
      </c>
      <c r="G34" s="2044"/>
      <c r="H34" s="2047"/>
      <c r="I34" s="834" t="s">
        <v>1807</v>
      </c>
      <c r="J34" s="835"/>
      <c r="K34" s="2062"/>
      <c r="L34" s="2061"/>
      <c r="M34" s="2061"/>
    </row>
    <row r="35" spans="1:18" ht="18" customHeight="1">
      <c r="A35" s="814"/>
      <c r="B35" s="792"/>
      <c r="C35" s="69"/>
      <c r="D35" s="815"/>
      <c r="E35" s="783" t="s">
        <v>1795</v>
      </c>
      <c r="F35" s="784">
        <f ca="1">INDIRECT("'数据-取费表'!r"&amp;$G$1)</f>
        <v>44202.909999999996</v>
      </c>
      <c r="G35" s="2044"/>
      <c r="H35" s="2047"/>
      <c r="I35" s="836" t="s">
        <v>1808</v>
      </c>
      <c r="J35" s="837">
        <f ca="1">ROUND(C13*J36,0)</f>
        <v>3318</v>
      </c>
      <c r="K35" s="2060"/>
      <c r="L35" s="2059"/>
      <c r="M35" s="2059"/>
    </row>
    <row r="36" spans="1:18" ht="18" customHeight="1">
      <c r="A36" s="1631" t="s">
        <v>1883</v>
      </c>
      <c r="B36" s="783" t="s">
        <v>1796</v>
      </c>
      <c r="C36" s="53">
        <f ca="1">ROUND(C29*F36,1)</f>
        <v>622.1</v>
      </c>
      <c r="D36" s="1959" t="s">
        <v>1797</v>
      </c>
      <c r="E36" s="783" t="s">
        <v>1790</v>
      </c>
      <c r="F36" s="816">
        <f ca="1">INDIRECT("'数据-取费表'!Ak"&amp;$G$1)</f>
        <v>1.4999999999999999E-2</v>
      </c>
      <c r="G36" s="2044"/>
      <c r="H36" s="2059"/>
      <c r="I36" s="838" t="s">
        <v>1809</v>
      </c>
      <c r="J36" s="839">
        <f ca="1">INDIRECT("'数据-取费表'!j"&amp;$G$1)</f>
        <v>0.08</v>
      </c>
      <c r="K36" s="2064"/>
      <c r="L36" s="2059"/>
      <c r="M36" s="2059"/>
    </row>
    <row r="37" spans="1:18" ht="18" customHeight="1">
      <c r="A37" s="1631" t="s">
        <v>1884</v>
      </c>
      <c r="B37" s="783" t="s">
        <v>679</v>
      </c>
      <c r="C37" s="53">
        <f ca="1">ROUND(C13*F37,1)</f>
        <v>62.2</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666</v>
      </c>
      <c r="C38" s="2505">
        <f ca="1">ROUND(C5*F38,1)</f>
        <v>13.7</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842" t="s">
        <v>2812</v>
      </c>
      <c r="C39" s="791">
        <f ca="1">C5-C30</f>
        <v>403</v>
      </c>
      <c r="D39" s="2509" t="s">
        <v>1800</v>
      </c>
      <c r="E39" s="2510"/>
      <c r="F39" s="2511"/>
      <c r="G39" s="2044"/>
      <c r="H39" s="2059"/>
      <c r="I39" s="836" t="s">
        <v>1812</v>
      </c>
      <c r="J39" s="844">
        <f ca="1">ROUND(J35/C39,3)</f>
        <v>8.2330000000000005</v>
      </c>
      <c r="K39" s="2065"/>
      <c r="L39" s="2059"/>
      <c r="M39" s="2059"/>
    </row>
    <row r="40" spans="1:18" ht="18" customHeight="1">
      <c r="A40" s="780" t="s">
        <v>1889</v>
      </c>
      <c r="B40" s="2214" t="s">
        <v>2292</v>
      </c>
      <c r="C40" s="782">
        <f ca="1">ROUND(C39*(1-((1+F42)/(1+F40))^F41)/(F40-F42),0)</f>
        <v>10243</v>
      </c>
      <c r="D40" s="813" t="s">
        <v>1801</v>
      </c>
      <c r="E40" s="783" t="s">
        <v>2410</v>
      </c>
      <c r="F40" s="793">
        <f ca="1">INDIRECT("'数据-取费表'!I"&amp;$G$1)</f>
        <v>4.4999999999999998E-2</v>
      </c>
      <c r="G40" s="2044"/>
      <c r="H40" s="2044"/>
      <c r="I40" s="836" t="s">
        <v>1813</v>
      </c>
      <c r="J40" s="844">
        <f ca="1">1-J39</f>
        <v>-7.2330000000000005</v>
      </c>
      <c r="K40" s="2065"/>
      <c r="L40" s="2044"/>
      <c r="M40" s="2044"/>
    </row>
    <row r="41" spans="1:18" ht="18" customHeight="1">
      <c r="A41" s="785"/>
      <c r="B41" s="786"/>
      <c r="C41" s="787"/>
      <c r="D41" s="820" t="s">
        <v>1802</v>
      </c>
      <c r="E41" s="783" t="s">
        <v>2953</v>
      </c>
      <c r="F41" s="821">
        <f ca="1">IF(INDIRECT("'数据-取费表'!af"&amp;$G$1)=0,INDIRECT("'数据-取费表'!ae"&amp;$G$1),INDIRECT("'数据-取费表'!af"&amp;$G$1))</f>
        <v>41.67</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f ca="1">ROUND(C13/C40,3)</f>
        <v>4.0490000000000004</v>
      </c>
      <c r="K42" s="2064"/>
      <c r="L42" s="1970"/>
      <c r="M42" s="1970"/>
    </row>
    <row r="43" spans="1:18" ht="18" customHeight="1" thickBot="1">
      <c r="A43" s="822" t="s">
        <v>1781</v>
      </c>
      <c r="B43" s="823" t="s">
        <v>1804</v>
      </c>
      <c r="C43" s="824">
        <f ca="1">ROUND(C40*10000/F43,0)</f>
        <v>931</v>
      </c>
      <c r="D43" s="825" t="s">
        <v>1805</v>
      </c>
      <c r="E43" s="826" t="s">
        <v>1806</v>
      </c>
      <c r="F43" s="827">
        <f ca="1">INDIRECT("'数据-取费表'!k"&amp;$G$1)</f>
        <v>109970</v>
      </c>
      <c r="G43" s="2044"/>
      <c r="H43" s="1970"/>
      <c r="I43" s="846" t="s">
        <v>1816</v>
      </c>
      <c r="J43" s="847">
        <f ca="1">1-J42</f>
        <v>-3.0490000000000004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2286</v>
      </c>
      <c r="B46" s="2067"/>
      <c r="C46" s="2535">
        <f ca="1">C67-C40</f>
        <v>-23687</v>
      </c>
      <c r="D46" s="2067"/>
      <c r="E46" s="2067"/>
      <c r="F46" s="2067"/>
      <c r="I46" s="2339" t="s">
        <v>2334</v>
      </c>
      <c r="J46" s="2340"/>
      <c r="K46" s="2341"/>
      <c r="L46" s="2957" t="str">
        <f ca="1">IF(OR(M47="住宅",D1="土地（套用方法）"),0,IF(L48&gt;J51,L60,J60))</f>
        <v>0</v>
      </c>
      <c r="O46" s="2355" t="s">
        <v>2401</v>
      </c>
      <c r="P46" s="1575"/>
      <c r="Q46" s="1586"/>
      <c r="R46" s="1575"/>
    </row>
    <row r="47" spans="1:18" s="2041" customFormat="1" ht="18" customHeight="1" thickBot="1">
      <c r="A47" s="2333">
        <v>1</v>
      </c>
      <c r="B47" s="2334" t="s">
        <v>635</v>
      </c>
      <c r="C47" s="2535">
        <f ca="1">C48+C52+C54</f>
        <v>0</v>
      </c>
      <c r="D47" s="2067"/>
      <c r="E47" s="2067"/>
      <c r="F47" s="2067"/>
      <c r="I47" s="2948" t="s">
        <v>2335</v>
      </c>
      <c r="J47" s="2342" t="s">
        <v>3028</v>
      </c>
      <c r="K47" s="2954" t="s">
        <v>2340</v>
      </c>
      <c r="L47" s="2958">
        <f ca="1">INDIRECT("'数据-取费表'!d"&amp;$G$1)</f>
        <v>50</v>
      </c>
      <c r="M47" s="1586" t="str">
        <f>IF(ISNUMBER(FIND("住宅",C1)),"住宅","非住宅")</f>
        <v>非住宅</v>
      </c>
      <c r="O47" s="2356" t="s">
        <v>2366</v>
      </c>
      <c r="P47" s="2357" t="s">
        <v>2367</v>
      </c>
      <c r="Q47" s="2358" t="s">
        <v>2368</v>
      </c>
      <c r="R47" s="2357" t="s">
        <v>2369</v>
      </c>
    </row>
    <row r="48" spans="1:18" s="2041" customFormat="1" ht="18" customHeight="1" thickBot="1">
      <c r="A48" s="2603" t="s">
        <v>2528</v>
      </c>
      <c r="B48" s="2604" t="s">
        <v>2529</v>
      </c>
      <c r="C48" s="2335">
        <f ca="1">ROUND(F48*F50*F49*(1-F51)/10000,0)</f>
        <v>0</v>
      </c>
      <c r="D48" s="2336" t="s">
        <v>636</v>
      </c>
      <c r="E48" s="2337" t="s">
        <v>2287</v>
      </c>
      <c r="F48" s="2338"/>
      <c r="G48" s="2072"/>
      <c r="I48" s="2944" t="s">
        <v>2336</v>
      </c>
      <c r="J48" s="2343" t="s">
        <v>2341</v>
      </c>
      <c r="K48" s="2955" t="s">
        <v>2342</v>
      </c>
      <c r="L48" s="1890">
        <f ca="1">INDIRECT("'数据-取费表'!f"&amp;$G$1)</f>
        <v>41.67</v>
      </c>
      <c r="O48" s="2359" t="s">
        <v>2370</v>
      </c>
      <c r="P48" s="2360" t="s">
        <v>2396</v>
      </c>
      <c r="Q48" s="2361">
        <f ca="1">C40+J29</f>
        <v>10243</v>
      </c>
      <c r="R48" s="2360" t="s">
        <v>2371</v>
      </c>
    </row>
    <row r="49" spans="1:18" s="2041" customFormat="1" ht="18" customHeight="1" thickBot="1">
      <c r="A49" s="785"/>
      <c r="B49" s="786"/>
      <c r="C49" s="787"/>
      <c r="D49" s="788"/>
      <c r="E49" s="783" t="s">
        <v>1733</v>
      </c>
      <c r="F49" s="784">
        <f ca="1">F7</f>
        <v>3159</v>
      </c>
      <c r="G49" s="2072"/>
      <c r="H49" s="2075"/>
      <c r="I49" s="2944" t="s">
        <v>2337</v>
      </c>
      <c r="J49" s="2344"/>
      <c r="K49" s="2956" t="s">
        <v>2343</v>
      </c>
      <c r="L49" s="2345"/>
      <c r="O49" s="2359" t="s">
        <v>2372</v>
      </c>
      <c r="P49" s="2360" t="s">
        <v>2397</v>
      </c>
      <c r="Q49" s="2361" t="str">
        <f ca="1">J60</f>
        <v>0</v>
      </c>
      <c r="R49" s="2360" t="s">
        <v>2373</v>
      </c>
    </row>
    <row r="50" spans="1:18" s="2041" customFormat="1" ht="18" customHeight="1" thickBot="1">
      <c r="A50" s="785"/>
      <c r="B50" s="786"/>
      <c r="C50" s="787"/>
      <c r="D50" s="788"/>
      <c r="E50" s="783" t="s">
        <v>1734</v>
      </c>
      <c r="F50" s="784">
        <f ca="1">F8</f>
        <v>12</v>
      </c>
      <c r="G50" s="2077"/>
      <c r="H50" s="2075"/>
      <c r="I50" s="2944" t="s">
        <v>2338</v>
      </c>
      <c r="J50" s="2952">
        <f>SUMPRODUCT((I63:I65=J47)*(J62:L62=J48)*(J63:L65))</f>
        <v>60</v>
      </c>
      <c r="K50" s="2956" t="s">
        <v>2344</v>
      </c>
      <c r="L50" s="2345"/>
      <c r="O50" s="2362" t="s">
        <v>2374</v>
      </c>
      <c r="P50" s="2360" t="s">
        <v>2398</v>
      </c>
      <c r="Q50" s="2361">
        <f ca="1">C29</f>
        <v>41475</v>
      </c>
      <c r="R50" s="2360" t="s">
        <v>2371</v>
      </c>
    </row>
    <row r="51" spans="1:18" s="2041" customFormat="1" ht="18" customHeight="1" thickBot="1">
      <c r="A51" s="785"/>
      <c r="B51" s="786"/>
      <c r="C51" s="787"/>
      <c r="D51" s="788"/>
      <c r="E51" s="783" t="s">
        <v>640</v>
      </c>
      <c r="F51" s="2332"/>
      <c r="H51" s="2075"/>
      <c r="I51" s="2949" t="s">
        <v>2339</v>
      </c>
      <c r="J51" s="2953">
        <f>IF(J49="",J50,J49+J50-YEAR('数据-取费表'!B2))</f>
        <v>60</v>
      </c>
      <c r="K51" s="2944" t="s">
        <v>2345</v>
      </c>
      <c r="L51" s="2959">
        <f ca="1">ROUND(-PV(INDIRECT("'数据-取费表'!h"&amp;$G$1),J51,(C39-C13*J36),0),0)</f>
        <v>-65947</v>
      </c>
      <c r="O51" s="2362" t="s">
        <v>2375</v>
      </c>
      <c r="P51" s="2360" t="s">
        <v>2376</v>
      </c>
      <c r="Q51" s="2363" t="e">
        <f ca="1">J58</f>
        <v>#VALUE!</v>
      </c>
      <c r="R51" s="2364"/>
    </row>
    <row r="52" spans="1:18" s="2041" customFormat="1" ht="18" customHeight="1" thickBot="1">
      <c r="A52" s="780" t="s">
        <v>2527</v>
      </c>
      <c r="B52" s="2455" t="s">
        <v>2450</v>
      </c>
      <c r="C52" s="798">
        <f ca="1">ROUND(IF(F52="押一",C48/12*F11,IF(F52="押二",C48/12*2*F11,IF(F52="押三",C48/12*3*F11,C53*F11))),0)</f>
        <v>0</v>
      </c>
      <c r="D52" s="2462" t="s">
        <v>2964</v>
      </c>
      <c r="E52" s="2459" t="s">
        <v>2455</v>
      </c>
      <c r="F52" s="2582"/>
      <c r="I52" s="2950" t="s">
        <v>2412</v>
      </c>
      <c r="J52" s="2346"/>
      <c r="K52" s="2950" t="s">
        <v>2411</v>
      </c>
      <c r="L52" s="2346"/>
      <c r="O52" s="2362" t="s">
        <v>2377</v>
      </c>
      <c r="P52" s="2360" t="s">
        <v>2378</v>
      </c>
      <c r="Q52" s="2363">
        <f>J52</f>
        <v>0</v>
      </c>
      <c r="R52" s="2364"/>
    </row>
    <row r="53" spans="1:18" s="2041" customFormat="1" ht="39.75" customHeight="1" thickBot="1">
      <c r="A53" s="785"/>
      <c r="B53" s="2456" t="s">
        <v>2564</v>
      </c>
      <c r="C53" s="2460"/>
      <c r="D53" s="2462"/>
      <c r="E53" s="2459"/>
      <c r="F53" s="799"/>
      <c r="I53" s="2951" t="s">
        <v>2967</v>
      </c>
      <c r="J53" s="3028">
        <f ca="1">IF(M47="住宅",IF(D1="——",MAX(J51,L48),MAX(J51,L48-'数据-取费表'!B20)),IF(D1="——",MIN(J51,L48),MIN(J51,L48-'数据-取费表'!B20)))</f>
        <v>41.67</v>
      </c>
      <c r="K53" s="3642" t="s">
        <v>2955</v>
      </c>
      <c r="L53" s="3643"/>
      <c r="O53" s="2362" t="s">
        <v>2379</v>
      </c>
      <c r="P53" s="2360" t="s">
        <v>2380</v>
      </c>
      <c r="Q53" s="2361">
        <f ca="1">J53</f>
        <v>41.67</v>
      </c>
      <c r="R53" s="2360" t="s">
        <v>2381</v>
      </c>
    </row>
    <row r="54" spans="1:18" s="2041" customFormat="1" ht="18" customHeight="1" thickBot="1">
      <c r="A54" s="2498" t="s">
        <v>2458</v>
      </c>
      <c r="B54" s="2499" t="s">
        <v>2451</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2382</v>
      </c>
      <c r="P54" s="2360" t="s">
        <v>2399</v>
      </c>
      <c r="Q54" s="2361">
        <f ca="1">Q48+Q49</f>
        <v>10243</v>
      </c>
      <c r="R54" s="2364" t="s">
        <v>2383</v>
      </c>
    </row>
    <row r="55" spans="1:18" s="2041" customFormat="1" ht="18" customHeight="1" thickTop="1" thickBot="1">
      <c r="A55" s="796">
        <v>2</v>
      </c>
      <c r="B55" s="797" t="s">
        <v>644</v>
      </c>
      <c r="C55" s="798">
        <f ca="1">C13</f>
        <v>41475</v>
      </c>
      <c r="D55" s="794"/>
      <c r="E55" s="794"/>
      <c r="F55" s="799"/>
      <c r="I55" s="2962" t="s">
        <v>2346</v>
      </c>
      <c r="J55" s="2927" t="e">
        <f ca="1">ROUND(IF(J47="钢混",J57/J50,1-(1-2%)*(J50-J57)/J50),3)</f>
        <v>#VALUE!</v>
      </c>
      <c r="K55" s="2963" t="s">
        <v>2347</v>
      </c>
      <c r="L55" s="2347"/>
      <c r="O55" s="2365" t="s">
        <v>2402</v>
      </c>
      <c r="P55" s="1575"/>
      <c r="Q55" s="1586"/>
      <c r="R55" s="1575"/>
    </row>
    <row r="56" spans="1:18" s="2041" customFormat="1" ht="42.75" customHeight="1" thickBot="1">
      <c r="A56" s="1632"/>
      <c r="B56" s="2213" t="s">
        <v>2293</v>
      </c>
      <c r="C56" s="53">
        <f ca="1">C29</f>
        <v>41475</v>
      </c>
      <c r="D56" s="2600"/>
      <c r="E56" s="783"/>
      <c r="F56" s="808"/>
      <c r="I56" s="2964" t="s">
        <v>2348</v>
      </c>
      <c r="J56" s="2974" t="s">
        <v>1675</v>
      </c>
      <c r="K56" s="2944" t="s">
        <v>2353</v>
      </c>
      <c r="L56" s="1890" t="str">
        <f ca="1">IF(L48&lt;J51,"——",L48-J51)</f>
        <v>——</v>
      </c>
      <c r="O56" s="2356" t="s">
        <v>2366</v>
      </c>
      <c r="P56" s="2357" t="s">
        <v>2367</v>
      </c>
      <c r="Q56" s="2358" t="s">
        <v>2368</v>
      </c>
      <c r="R56" s="2357" t="s">
        <v>2369</v>
      </c>
    </row>
    <row r="57" spans="1:18" s="2041" customFormat="1" ht="28.5" customHeight="1" thickBot="1">
      <c r="A57" s="796" t="s">
        <v>1742</v>
      </c>
      <c r="B57" s="797" t="s">
        <v>651</v>
      </c>
      <c r="C57" s="798">
        <f ca="1">ROUND(C58+C63+C64+C65,0)</f>
        <v>720</v>
      </c>
      <c r="D57" s="26" t="s">
        <v>1744</v>
      </c>
      <c r="E57" s="2601"/>
      <c r="F57" s="56"/>
      <c r="I57" s="2965" t="s">
        <v>2349</v>
      </c>
      <c r="J57" s="2966" t="str">
        <f ca="1">IF(OR(M47="住宅",J51&lt;L48,J56="是"),"——",J51-L48)</f>
        <v>——</v>
      </c>
      <c r="K57" s="2944" t="s">
        <v>2354</v>
      </c>
      <c r="L57" s="1890" t="str">
        <f ca="1">IF(L48&lt;J51,"——",IF(L55="比较法",L49,IF(L55="基准地价",L50,L51)))</f>
        <v>——</v>
      </c>
      <c r="O57" s="2359" t="s">
        <v>2370</v>
      </c>
      <c r="P57" s="2360" t="s">
        <v>2400</v>
      </c>
      <c r="Q57" s="2361">
        <f ca="1">C40+J29</f>
        <v>10243</v>
      </c>
      <c r="R57" s="2360" t="s">
        <v>2371</v>
      </c>
    </row>
    <row r="58" spans="1:18" s="2041" customFormat="1" ht="28.5" customHeight="1" thickBot="1">
      <c r="A58" s="1631" t="s">
        <v>1818</v>
      </c>
      <c r="B58" s="783" t="s">
        <v>656</v>
      </c>
      <c r="C58" s="53">
        <f ca="1">ROUND(IF(项目基本情况!B11="自然人",C47*F58,C59+C60+C61),1)</f>
        <v>35.4</v>
      </c>
      <c r="D58" s="2599" t="s">
        <v>657</v>
      </c>
      <c r="E58" s="2600" t="s">
        <v>690</v>
      </c>
      <c r="F58" s="809" t="str">
        <f ca="1">IF(项目基本情况!B11="企业","",IF(INDIRECT("'数据-取费表'!c"&amp;$G$1)="住宅",5%,IF(F48*F49*F50/12/(1+'数据-取费表'!C42)&gt;20000,12%,7%)))</f>
        <v/>
      </c>
      <c r="I58" s="2965" t="s">
        <v>2350</v>
      </c>
      <c r="J58" s="2928" t="e">
        <f ca="1">IF(J55&lt;0.4,0.4,J55)</f>
        <v>#VALUE!</v>
      </c>
      <c r="K58" s="2944" t="s">
        <v>2355</v>
      </c>
      <c r="L58" s="1890" t="e">
        <f ca="1">ROUND(POWER(1+L52,L47-L48)*(POWER(1+L52,L48)-1)/(POWER(1+L52,L47)-1),4)</f>
        <v>#DIV/0!</v>
      </c>
      <c r="O58" s="2359" t="s">
        <v>2372</v>
      </c>
      <c r="P58" s="2360" t="s">
        <v>2403</v>
      </c>
      <c r="Q58" s="2361">
        <f ca="1">L60</f>
        <v>0</v>
      </c>
      <c r="R58" s="2364" t="s">
        <v>2405</v>
      </c>
    </row>
    <row r="59" spans="1:18" s="2041" customFormat="1" ht="28.5" customHeight="1" thickBot="1">
      <c r="A59" s="1630" t="s">
        <v>1825</v>
      </c>
      <c r="B59" s="783" t="s">
        <v>660</v>
      </c>
      <c r="C59" s="53">
        <f ca="1">ROUND(C47*F59/1.05,1)</f>
        <v>0</v>
      </c>
      <c r="D59" s="2600" t="s">
        <v>1750</v>
      </c>
      <c r="E59" s="783" t="s">
        <v>1741</v>
      </c>
      <c r="F59" s="808">
        <f t="shared" ref="F59:F65" si="0">F32</f>
        <v>5.6000000000000001E-2</v>
      </c>
      <c r="I59" s="2965" t="s">
        <v>2351</v>
      </c>
      <c r="J59" s="2966" t="str">
        <f ca="1">IF(OR(M47="住宅",J51&lt;L48,J56="是"),"——",ROUND(C29*J58,0))</f>
        <v>——</v>
      </c>
      <c r="K59" s="294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2374</v>
      </c>
      <c r="P59" s="2360" t="s">
        <v>2404</v>
      </c>
      <c r="Q59" s="2361">
        <f>IF(L55="比较法",L49,IF(L55="基准地价",L50,0))</f>
        <v>0</v>
      </c>
      <c r="R59" s="2360" t="s">
        <v>2371</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2967" t="s">
        <v>2352</v>
      </c>
      <c r="J60" s="2968" t="str">
        <f ca="1">IF(OR(M47="住宅",J51&lt;L48,J56="是"),"0",ROUND(J59/(1+J52)^J53,0))</f>
        <v>0</v>
      </c>
      <c r="K60" s="2969" t="s">
        <v>2357</v>
      </c>
      <c r="L60" s="2968">
        <f ca="1">IF(OR(M47="住宅",L48&lt;J51),0,ROUND(L57*(L58/L59-1),0))</f>
        <v>0</v>
      </c>
      <c r="O60" s="2362" t="s">
        <v>2375</v>
      </c>
      <c r="P60" s="2360" t="s">
        <v>2384</v>
      </c>
      <c r="Q60" s="2363">
        <f>L52</f>
        <v>0</v>
      </c>
      <c r="R60" s="2364"/>
    </row>
    <row r="61" spans="1:18" s="2041" customFormat="1" ht="18" customHeight="1" thickBot="1">
      <c r="A61" s="1633" t="s">
        <v>1827</v>
      </c>
      <c r="B61" s="340" t="s">
        <v>668</v>
      </c>
      <c r="C61" s="54">
        <f ca="1">ROUND(F61*F62/10000,1)</f>
        <v>35.4</v>
      </c>
      <c r="D61" s="813" t="s">
        <v>669</v>
      </c>
      <c r="E61" s="783" t="s">
        <v>670</v>
      </c>
      <c r="F61" s="639">
        <f t="shared" si="0"/>
        <v>8</v>
      </c>
      <c r="K61" s="2068"/>
      <c r="O61" s="2362" t="s">
        <v>2377</v>
      </c>
      <c r="P61" s="2360" t="s">
        <v>2385</v>
      </c>
      <c r="Q61" s="2361" t="e">
        <f ca="1">L58</f>
        <v>#DIV/0!</v>
      </c>
      <c r="R61" s="2364" t="s">
        <v>2386</v>
      </c>
    </row>
    <row r="62" spans="1:18" s="2041" customFormat="1" ht="15.75" thickBot="1">
      <c r="A62" s="814"/>
      <c r="B62" s="792"/>
      <c r="C62" s="69"/>
      <c r="D62" s="815"/>
      <c r="E62" s="783" t="s">
        <v>674</v>
      </c>
      <c r="F62" s="784">
        <f t="shared" ca="1" si="0"/>
        <v>44202.909999999996</v>
      </c>
      <c r="I62" s="2970" t="s">
        <v>2358</v>
      </c>
      <c r="J62" s="2971" t="s">
        <v>2359</v>
      </c>
      <c r="K62" s="2971" t="s">
        <v>2360</v>
      </c>
      <c r="L62" s="2971" t="s">
        <v>2341</v>
      </c>
      <c r="M62" s="2972" t="s">
        <v>2932</v>
      </c>
      <c r="O62" s="2362" t="s">
        <v>2379</v>
      </c>
      <c r="P62" s="2360" t="str">
        <f>K59</f>
        <v>建筑物剩余耐用年限下的土地年期修正系数Kn</v>
      </c>
      <c r="Q62" s="2361" t="e">
        <f ca="1">L59</f>
        <v>#DIV/0!</v>
      </c>
      <c r="R62" s="2364" t="s">
        <v>2388</v>
      </c>
    </row>
    <row r="63" spans="1:18" s="2041" customFormat="1" ht="15.75" thickBot="1">
      <c r="A63" s="1631" t="s">
        <v>1883</v>
      </c>
      <c r="B63" s="783" t="s">
        <v>676</v>
      </c>
      <c r="C63" s="53">
        <f ca="1">ROUND(C56*F63,1)</f>
        <v>622.1</v>
      </c>
      <c r="D63" s="2600" t="s">
        <v>1797</v>
      </c>
      <c r="E63" s="783" t="s">
        <v>1741</v>
      </c>
      <c r="F63" s="816">
        <f t="shared" ca="1" si="0"/>
        <v>1.4999999999999999E-2</v>
      </c>
      <c r="I63" s="2970" t="s">
        <v>2361</v>
      </c>
      <c r="J63" s="2971">
        <v>70</v>
      </c>
      <c r="K63" s="2971">
        <v>50</v>
      </c>
      <c r="L63" s="2971">
        <v>80</v>
      </c>
      <c r="M63" s="2973">
        <v>0.02</v>
      </c>
      <c r="O63" s="2359" t="s">
        <v>2382</v>
      </c>
      <c r="P63" s="2360" t="s">
        <v>2399</v>
      </c>
      <c r="Q63" s="2361">
        <f ca="1">Q57+Q58</f>
        <v>10243</v>
      </c>
      <c r="R63" s="2364" t="s">
        <v>2383</v>
      </c>
    </row>
    <row r="64" spans="1:18" s="2041" customFormat="1" ht="16.5" thickBot="1">
      <c r="A64" s="1631" t="s">
        <v>1884</v>
      </c>
      <c r="B64" s="783" t="s">
        <v>679</v>
      </c>
      <c r="C64" s="53">
        <f ca="1">ROUND(C55*F64,1)</f>
        <v>62.2</v>
      </c>
      <c r="D64" s="2600" t="s">
        <v>680</v>
      </c>
      <c r="E64" s="783" t="s">
        <v>1741</v>
      </c>
      <c r="F64" s="817">
        <f t="shared" ca="1" si="0"/>
        <v>1.5E-3</v>
      </c>
      <c r="I64" s="2970" t="s">
        <v>2362</v>
      </c>
      <c r="J64" s="2971">
        <v>50</v>
      </c>
      <c r="K64" s="2971">
        <v>35</v>
      </c>
      <c r="L64" s="2971">
        <v>60</v>
      </c>
      <c r="M64" s="845">
        <v>0</v>
      </c>
      <c r="O64" s="2365" t="s">
        <v>2406</v>
      </c>
      <c r="P64" s="1575"/>
      <c r="Q64" s="1586"/>
      <c r="R64" s="1575"/>
    </row>
    <row r="65" spans="1:18" s="2041" customFormat="1" ht="15.75" thickBot="1">
      <c r="A65" s="1631" t="s">
        <v>1885</v>
      </c>
      <c r="B65" s="783" t="s">
        <v>666</v>
      </c>
      <c r="C65" s="53">
        <f ca="1">ROUND(C47*F65,1)</f>
        <v>0</v>
      </c>
      <c r="D65" s="2600" t="s">
        <v>683</v>
      </c>
      <c r="E65" s="783" t="s">
        <v>1741</v>
      </c>
      <c r="F65" s="793">
        <f t="shared" ca="1" si="0"/>
        <v>0.01</v>
      </c>
      <c r="I65" s="2970" t="s">
        <v>2363</v>
      </c>
      <c r="J65" s="2971">
        <v>40</v>
      </c>
      <c r="K65" s="2971">
        <v>30</v>
      </c>
      <c r="L65" s="2971">
        <v>50</v>
      </c>
      <c r="M65" s="2973">
        <v>0.02</v>
      </c>
      <c r="O65" s="2356" t="s">
        <v>2366</v>
      </c>
      <c r="P65" s="2357" t="s">
        <v>2367</v>
      </c>
      <c r="Q65" s="2358" t="s">
        <v>2368</v>
      </c>
      <c r="R65" s="2357" t="s">
        <v>2369</v>
      </c>
    </row>
    <row r="66" spans="1:18" s="2041" customFormat="1" ht="24.75" thickBot="1">
      <c r="A66" s="796" t="s">
        <v>1770</v>
      </c>
      <c r="B66" s="2843" t="s">
        <v>2812</v>
      </c>
      <c r="C66" s="798">
        <f ca="1">C47-C57</f>
        <v>-720</v>
      </c>
      <c r="D66" s="2599" t="s">
        <v>700</v>
      </c>
      <c r="E66" s="2598"/>
      <c r="F66" s="819"/>
      <c r="K66" s="2068"/>
      <c r="O66" s="2359" t="s">
        <v>2370</v>
      </c>
      <c r="P66" s="2360" t="s">
        <v>2400</v>
      </c>
      <c r="Q66" s="2361">
        <f ca="1">C40+J29</f>
        <v>10243</v>
      </c>
      <c r="R66" s="2360" t="s">
        <v>2371</v>
      </c>
    </row>
    <row r="67" spans="1:18" s="2041" customFormat="1" ht="20.25" thickBot="1">
      <c r="A67" s="780" t="s">
        <v>1774</v>
      </c>
      <c r="B67" s="2214" t="s">
        <v>2292</v>
      </c>
      <c r="C67" s="782">
        <f ca="1">ROUND(C66*(1-((1+F69)/(1+F67))^F68)/(F67-F69),0)</f>
        <v>-13444</v>
      </c>
      <c r="D67" s="813" t="s">
        <v>704</v>
      </c>
      <c r="E67" s="783" t="s">
        <v>705</v>
      </c>
      <c r="F67" s="793">
        <f ca="1">F40</f>
        <v>4.4999999999999998E-2</v>
      </c>
      <c r="K67" s="2068"/>
      <c r="O67" s="2359" t="s">
        <v>2372</v>
      </c>
      <c r="P67" s="2360" t="s">
        <v>2403</v>
      </c>
      <c r="Q67" s="2361">
        <f ca="1">L60</f>
        <v>0</v>
      </c>
      <c r="R67" s="2364" t="s">
        <v>2405</v>
      </c>
    </row>
    <row r="68" spans="1:18" ht="21.75" thickBot="1">
      <c r="A68" s="785"/>
      <c r="B68" s="786"/>
      <c r="C68" s="787"/>
      <c r="D68" s="820" t="s">
        <v>1802</v>
      </c>
      <c r="E68" s="783" t="s">
        <v>1778</v>
      </c>
      <c r="F68" s="821">
        <f ca="1">F41</f>
        <v>41.67</v>
      </c>
      <c r="O68" s="2362" t="s">
        <v>2374</v>
      </c>
      <c r="P68" s="2360" t="s">
        <v>2404</v>
      </c>
      <c r="Q68" s="2366">
        <f ca="1">L51</f>
        <v>-65947</v>
      </c>
      <c r="R68" s="2367" t="s">
        <v>2407</v>
      </c>
    </row>
    <row r="69" spans="1:18" ht="20.25" thickBot="1">
      <c r="A69" s="789"/>
      <c r="B69" s="790"/>
      <c r="C69" s="791"/>
      <c r="D69" s="815"/>
      <c r="E69" s="783" t="s">
        <v>710</v>
      </c>
      <c r="F69" s="2332"/>
      <c r="O69" s="2362" t="s">
        <v>2375</v>
      </c>
      <c r="P69" s="2368" t="s">
        <v>2389</v>
      </c>
      <c r="Q69" s="2361">
        <f ca="1">ROUND(Q70-Q71*Q72,0)</f>
        <v>-2915</v>
      </c>
      <c r="R69" s="2364"/>
    </row>
    <row r="70" spans="1:18" ht="15.75" thickBot="1">
      <c r="A70" s="822" t="s">
        <v>1781</v>
      </c>
      <c r="B70" s="823" t="s">
        <v>1804</v>
      </c>
      <c r="C70" s="824">
        <f ca="1">ROUND(C67*10000/F70,0)</f>
        <v>-1223</v>
      </c>
      <c r="D70" s="825" t="s">
        <v>1805</v>
      </c>
      <c r="E70" s="826" t="s">
        <v>1806</v>
      </c>
      <c r="F70" s="827">
        <f ca="1">F43</f>
        <v>109970</v>
      </c>
      <c r="O70" s="2362" t="s">
        <v>2390</v>
      </c>
      <c r="P70" s="2368" t="s">
        <v>2391</v>
      </c>
      <c r="Q70" s="2361">
        <f ca="1">C39</f>
        <v>403</v>
      </c>
      <c r="R70" s="2360" t="s">
        <v>2371</v>
      </c>
    </row>
    <row r="71" spans="1:18" ht="15.75" thickBot="1">
      <c r="O71" s="2362" t="s">
        <v>2392</v>
      </c>
      <c r="P71" s="2368" t="s">
        <v>2393</v>
      </c>
      <c r="Q71" s="2361">
        <f ca="1">C13</f>
        <v>41475</v>
      </c>
      <c r="R71" s="2360" t="s">
        <v>2371</v>
      </c>
    </row>
    <row r="72" spans="1:18" ht="15.75" thickBot="1">
      <c r="O72" s="2362" t="s">
        <v>2394</v>
      </c>
      <c r="P72" s="2368" t="s">
        <v>2395</v>
      </c>
      <c r="Q72" s="2363">
        <f ca="1">J36</f>
        <v>0.08</v>
      </c>
      <c r="R72" s="2364"/>
    </row>
    <row r="73" spans="1:18" ht="15.75" thickBot="1">
      <c r="O73" s="2362" t="s">
        <v>2377</v>
      </c>
      <c r="P73" s="2360" t="s">
        <v>2384</v>
      </c>
      <c r="Q73" s="2363">
        <f>L52</f>
        <v>0</v>
      </c>
      <c r="R73" s="2364"/>
    </row>
    <row r="74" spans="1:18" ht="20.25" thickBot="1">
      <c r="O74" s="2362" t="s">
        <v>2379</v>
      </c>
      <c r="P74" s="2360" t="s">
        <v>2385</v>
      </c>
      <c r="Q74" s="2361" t="e">
        <f ca="1">L58</f>
        <v>#DIV/0!</v>
      </c>
      <c r="R74" s="2364" t="s">
        <v>2386</v>
      </c>
    </row>
    <row r="75" spans="1:18" ht="15.75" thickBot="1">
      <c r="O75" s="2362" t="s">
        <v>2408</v>
      </c>
      <c r="P75" s="2360" t="str">
        <f>K59</f>
        <v>建筑物剩余耐用年限下的土地年期修正系数Kn</v>
      </c>
      <c r="Q75" s="2361" t="e">
        <f ca="1">L59</f>
        <v>#DIV/0!</v>
      </c>
      <c r="R75" s="2364" t="s">
        <v>2388</v>
      </c>
    </row>
    <row r="76" spans="1:18" ht="15.75" thickBot="1">
      <c r="O76" s="2359" t="s">
        <v>2382</v>
      </c>
      <c r="P76" s="2360" t="s">
        <v>2399</v>
      </c>
      <c r="Q76" s="2361">
        <f ca="1">Q66+Q67</f>
        <v>10243</v>
      </c>
      <c r="R76" s="2364" t="s">
        <v>2383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G24" sqref="G24"/>
    </sheetView>
  </sheetViews>
  <sheetFormatPr defaultColWidth="9" defaultRowHeight="13.5"/>
  <cols>
    <col min="1" max="1" width="9" style="3187"/>
    <col min="2" max="2" width="11.625" style="3187" bestFit="1" customWidth="1"/>
    <col min="3" max="16384" width="9" style="3187"/>
  </cols>
  <sheetData>
    <row r="1" spans="1:4">
      <c r="A1" s="3186" t="s">
        <v>3031</v>
      </c>
    </row>
    <row r="2" spans="1:4">
      <c r="B2" s="3186" t="s">
        <v>3032</v>
      </c>
      <c r="C2" s="3186" t="s">
        <v>3033</v>
      </c>
    </row>
    <row r="3" spans="1:4">
      <c r="B3" s="3188">
        <v>43339</v>
      </c>
      <c r="C3" s="3187">
        <v>170187</v>
      </c>
    </row>
    <row r="4" spans="1:4">
      <c r="B4" s="3188">
        <v>43404</v>
      </c>
      <c r="C4" s="3187">
        <v>167467</v>
      </c>
      <c r="D4" s="3187">
        <f>C4/C3-1</f>
        <v>-1.5982419338727349E-2</v>
      </c>
    </row>
    <row r="5" spans="1:4">
      <c r="B5" s="3188">
        <v>43454</v>
      </c>
      <c r="C5" s="3187">
        <v>168606</v>
      </c>
      <c r="D5" s="3187">
        <f>C5/C4-1</f>
        <v>6.8013399654858198E-3</v>
      </c>
    </row>
    <row r="6" spans="1:4">
      <c r="B6" s="3188">
        <v>43619</v>
      </c>
      <c r="C6" s="3187">
        <f>[1]结果表!G19</f>
        <v>172360</v>
      </c>
      <c r="D6" s="3187">
        <f>C6/C5-1</f>
        <v>2.2264925328873142E-2</v>
      </c>
    </row>
    <row r="7" spans="1:4">
      <c r="B7" s="3188">
        <v>43738</v>
      </c>
      <c r="C7" s="3187">
        <v>172360</v>
      </c>
    </row>
    <row r="8" spans="1:4">
      <c r="B8" s="3188">
        <v>44050</v>
      </c>
      <c r="C8" s="3187">
        <f ca="1">结果表!G19</f>
        <v>178751</v>
      </c>
      <c r="D8" s="3187">
        <f ca="1">C8/C7-1</f>
        <v>3.7079368763054177E-2</v>
      </c>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568"/>
  <sheetViews>
    <sheetView zoomScaleSheetLayoutView="100" workbookViewId="0">
      <pane xSplit="4" ySplit="2" topLeftCell="K87" activePane="bottomRight" state="frozen"/>
      <selection pane="topRight"/>
      <selection pane="bottomLeft"/>
      <selection pane="bottomRight" activeCell="M566" sqref="M566"/>
    </sheetView>
  </sheetViews>
  <sheetFormatPr defaultRowHeight="20.25" customHeight="1"/>
  <cols>
    <col min="1" max="1" width="5" style="3283" customWidth="1"/>
    <col min="2" max="2" width="20.5" style="3283" customWidth="1"/>
    <col min="3" max="3" width="9.625" style="3297" customWidth="1"/>
    <col min="4" max="4" width="21" style="3283" customWidth="1"/>
    <col min="5" max="5" width="11" style="3331" customWidth="1"/>
    <col min="6" max="6" width="12.625" style="3332" customWidth="1"/>
    <col min="7" max="8" width="10.625" style="3333" customWidth="1"/>
    <col min="9" max="9" width="13.875" style="3332" customWidth="1"/>
    <col min="10" max="10" width="12.375" style="3331" customWidth="1"/>
    <col min="11" max="11" width="9.25" style="3334" customWidth="1"/>
    <col min="12" max="13" width="13.125" style="3332" customWidth="1"/>
    <col min="14" max="14" width="13" style="3335" customWidth="1"/>
    <col min="15" max="15" width="14.125" style="3332" customWidth="1"/>
    <col min="16" max="16" width="12.25" style="3332" customWidth="1"/>
    <col min="17" max="17" width="11.375" style="3332" customWidth="1"/>
    <col min="18" max="18" width="14.5" style="3332" customWidth="1"/>
    <col min="19" max="21" width="12.375" style="3332" customWidth="1"/>
    <col min="22" max="22" width="12.5" style="3332" customWidth="1"/>
    <col min="23" max="23" width="10.625" style="3332" customWidth="1"/>
    <col min="24" max="24" width="12.625" style="3332" customWidth="1"/>
    <col min="25" max="25" width="12.875" style="3332" customWidth="1"/>
    <col min="26" max="26" width="10.875" style="3337" customWidth="1"/>
    <col min="27" max="27" width="9.25" style="3283" customWidth="1"/>
    <col min="28" max="28" width="9" style="3283" customWidth="1"/>
    <col min="29" max="29" width="12.5" style="3283" customWidth="1"/>
    <col min="30" max="30" width="9.375" style="3283" customWidth="1"/>
    <col min="31" max="31" width="25.875" style="3283" customWidth="1"/>
    <col min="32" max="32" width="19.25" style="3283" customWidth="1"/>
    <col min="33" max="33" width="11.75" style="3283" customWidth="1"/>
    <col min="34" max="34" width="11.375" style="3283" customWidth="1"/>
    <col min="35" max="35" width="10.75" style="3283" customWidth="1"/>
    <col min="36" max="36" width="11" style="3283" customWidth="1"/>
    <col min="37" max="37" width="8.25" style="3338" customWidth="1"/>
    <col min="38" max="38" width="8.625" style="3338" customWidth="1"/>
    <col min="39" max="39" width="22.875" style="3283" customWidth="1"/>
    <col min="40" max="40" width="13.25" style="3339" customWidth="1"/>
    <col min="41" max="41" width="13.25" style="3340" customWidth="1"/>
    <col min="42" max="42" width="16.5" style="3340" customWidth="1"/>
    <col min="43" max="43" width="19.25" style="3340" customWidth="1"/>
    <col min="44" max="44" width="10.75" style="3341" customWidth="1"/>
    <col min="45" max="45" width="11.625" style="3341" customWidth="1"/>
    <col min="46" max="47" width="9.625" style="3341" customWidth="1"/>
    <col min="48" max="48" width="8.375" style="3341" customWidth="1"/>
    <col min="49" max="49" width="13" style="3341" customWidth="1"/>
    <col min="50" max="50" width="13.875" style="3332" customWidth="1"/>
    <col min="51" max="51" width="13.375" style="3332" customWidth="1"/>
    <col min="52" max="52" width="10.875" style="3283" customWidth="1"/>
    <col min="53" max="55" width="9" style="3283" customWidth="1"/>
    <col min="56" max="56" width="11.625" style="3292" customWidth="1"/>
    <col min="57" max="57" width="17.625" style="3283" customWidth="1"/>
    <col min="58" max="58" width="9" style="3283" customWidth="1"/>
    <col min="59" max="61" width="9" style="3283"/>
    <col min="62" max="62" width="36.625" style="3283" customWidth="1"/>
    <col min="63" max="256" width="9" style="3283"/>
    <col min="257" max="257" width="5" style="3283" customWidth="1"/>
    <col min="258" max="258" width="20.5" style="3283" customWidth="1"/>
    <col min="259" max="259" width="9.625" style="3283" customWidth="1"/>
    <col min="260" max="260" width="21" style="3283" customWidth="1"/>
    <col min="261" max="261" width="11" style="3283" customWidth="1"/>
    <col min="262" max="262" width="12.625" style="3283" customWidth="1"/>
    <col min="263" max="264" width="10.625" style="3283" customWidth="1"/>
    <col min="265" max="265" width="13.875" style="3283" customWidth="1"/>
    <col min="266" max="266" width="12.375" style="3283" customWidth="1"/>
    <col min="267" max="267" width="9.25" style="3283" customWidth="1"/>
    <col min="268" max="269" width="13.125" style="3283" customWidth="1"/>
    <col min="270" max="270" width="13" style="3283" customWidth="1"/>
    <col min="271" max="271" width="14.125" style="3283" customWidth="1"/>
    <col min="272" max="272" width="12.25" style="3283" customWidth="1"/>
    <col min="273" max="273" width="11.375" style="3283" customWidth="1"/>
    <col min="274" max="274" width="14.5" style="3283" customWidth="1"/>
    <col min="275" max="277" width="12.375" style="3283" customWidth="1"/>
    <col min="278" max="278" width="12.5" style="3283" customWidth="1"/>
    <col min="279" max="279" width="10.625" style="3283" customWidth="1"/>
    <col min="280" max="280" width="12.625" style="3283" customWidth="1"/>
    <col min="281" max="281" width="12.875" style="3283" customWidth="1"/>
    <col min="282" max="282" width="10.875" style="3283" customWidth="1"/>
    <col min="283" max="283" width="9.25" style="3283" customWidth="1"/>
    <col min="284" max="284" width="9" style="3283" customWidth="1"/>
    <col min="285" max="285" width="12.5" style="3283" customWidth="1"/>
    <col min="286" max="286" width="9.375" style="3283" customWidth="1"/>
    <col min="287" max="287" width="25.875" style="3283" customWidth="1"/>
    <col min="288" max="288" width="19.25" style="3283" customWidth="1"/>
    <col min="289" max="289" width="11.75" style="3283" customWidth="1"/>
    <col min="290" max="290" width="11.375" style="3283" customWidth="1"/>
    <col min="291" max="291" width="10.75" style="3283" customWidth="1"/>
    <col min="292" max="292" width="11" style="3283" customWidth="1"/>
    <col min="293" max="293" width="8.25" style="3283" customWidth="1"/>
    <col min="294" max="294" width="8.625" style="3283" customWidth="1"/>
    <col min="295" max="295" width="22.875" style="3283" customWidth="1"/>
    <col min="296" max="297" width="13.25" style="3283" customWidth="1"/>
    <col min="298" max="298" width="16.5" style="3283" customWidth="1"/>
    <col min="299" max="299" width="19.25" style="3283" customWidth="1"/>
    <col min="300" max="300" width="10.75" style="3283" customWidth="1"/>
    <col min="301" max="301" width="11.625" style="3283" customWidth="1"/>
    <col min="302" max="303" width="9.625" style="3283" customWidth="1"/>
    <col min="304" max="304" width="8.375" style="3283" customWidth="1"/>
    <col min="305" max="305" width="13" style="3283" customWidth="1"/>
    <col min="306" max="306" width="13.875" style="3283" customWidth="1"/>
    <col min="307" max="307" width="13.375" style="3283" customWidth="1"/>
    <col min="308" max="308" width="10.875" style="3283" customWidth="1"/>
    <col min="309" max="311" width="9" style="3283" customWidth="1"/>
    <col min="312" max="312" width="11.625" style="3283" customWidth="1"/>
    <col min="313" max="313" width="17.625" style="3283" customWidth="1"/>
    <col min="314" max="314" width="9" style="3283" customWidth="1"/>
    <col min="315" max="317" width="9" style="3283"/>
    <col min="318" max="318" width="36.625" style="3283" customWidth="1"/>
    <col min="319" max="512" width="9" style="3283"/>
    <col min="513" max="513" width="5" style="3283" customWidth="1"/>
    <col min="514" max="514" width="20.5" style="3283" customWidth="1"/>
    <col min="515" max="515" width="9.625" style="3283" customWidth="1"/>
    <col min="516" max="516" width="21" style="3283" customWidth="1"/>
    <col min="517" max="517" width="11" style="3283" customWidth="1"/>
    <col min="518" max="518" width="12.625" style="3283" customWidth="1"/>
    <col min="519" max="520" width="10.625" style="3283" customWidth="1"/>
    <col min="521" max="521" width="13.875" style="3283" customWidth="1"/>
    <col min="522" max="522" width="12.375" style="3283" customWidth="1"/>
    <col min="523" max="523" width="9.25" style="3283" customWidth="1"/>
    <col min="524" max="525" width="13.125" style="3283" customWidth="1"/>
    <col min="526" max="526" width="13" style="3283" customWidth="1"/>
    <col min="527" max="527" width="14.125" style="3283" customWidth="1"/>
    <col min="528" max="528" width="12.25" style="3283" customWidth="1"/>
    <col min="529" max="529" width="11.375" style="3283" customWidth="1"/>
    <col min="530" max="530" width="14.5" style="3283" customWidth="1"/>
    <col min="531" max="533" width="12.375" style="3283" customWidth="1"/>
    <col min="534" max="534" width="12.5" style="3283" customWidth="1"/>
    <col min="535" max="535" width="10.625" style="3283" customWidth="1"/>
    <col min="536" max="536" width="12.625" style="3283" customWidth="1"/>
    <col min="537" max="537" width="12.875" style="3283" customWidth="1"/>
    <col min="538" max="538" width="10.875" style="3283" customWidth="1"/>
    <col min="539" max="539" width="9.25" style="3283" customWidth="1"/>
    <col min="540" max="540" width="9" style="3283" customWidth="1"/>
    <col min="541" max="541" width="12.5" style="3283" customWidth="1"/>
    <col min="542" max="542" width="9.375" style="3283" customWidth="1"/>
    <col min="543" max="543" width="25.875" style="3283" customWidth="1"/>
    <col min="544" max="544" width="19.25" style="3283" customWidth="1"/>
    <col min="545" max="545" width="11.75" style="3283" customWidth="1"/>
    <col min="546" max="546" width="11.375" style="3283" customWidth="1"/>
    <col min="547" max="547" width="10.75" style="3283" customWidth="1"/>
    <col min="548" max="548" width="11" style="3283" customWidth="1"/>
    <col min="549" max="549" width="8.25" style="3283" customWidth="1"/>
    <col min="550" max="550" width="8.625" style="3283" customWidth="1"/>
    <col min="551" max="551" width="22.875" style="3283" customWidth="1"/>
    <col min="552" max="553" width="13.25" style="3283" customWidth="1"/>
    <col min="554" max="554" width="16.5" style="3283" customWidth="1"/>
    <col min="555" max="555" width="19.25" style="3283" customWidth="1"/>
    <col min="556" max="556" width="10.75" style="3283" customWidth="1"/>
    <col min="557" max="557" width="11.625" style="3283" customWidth="1"/>
    <col min="558" max="559" width="9.625" style="3283" customWidth="1"/>
    <col min="560" max="560" width="8.375" style="3283" customWidth="1"/>
    <col min="561" max="561" width="13" style="3283" customWidth="1"/>
    <col min="562" max="562" width="13.875" style="3283" customWidth="1"/>
    <col min="563" max="563" width="13.375" style="3283" customWidth="1"/>
    <col min="564" max="564" width="10.875" style="3283" customWidth="1"/>
    <col min="565" max="567" width="9" style="3283" customWidth="1"/>
    <col min="568" max="568" width="11.625" style="3283" customWidth="1"/>
    <col min="569" max="569" width="17.625" style="3283" customWidth="1"/>
    <col min="570" max="570" width="9" style="3283" customWidth="1"/>
    <col min="571" max="573" width="9" style="3283"/>
    <col min="574" max="574" width="36.625" style="3283" customWidth="1"/>
    <col min="575" max="768" width="9" style="3283"/>
    <col min="769" max="769" width="5" style="3283" customWidth="1"/>
    <col min="770" max="770" width="20.5" style="3283" customWidth="1"/>
    <col min="771" max="771" width="9.625" style="3283" customWidth="1"/>
    <col min="772" max="772" width="21" style="3283" customWidth="1"/>
    <col min="773" max="773" width="11" style="3283" customWidth="1"/>
    <col min="774" max="774" width="12.625" style="3283" customWidth="1"/>
    <col min="775" max="776" width="10.625" style="3283" customWidth="1"/>
    <col min="777" max="777" width="13.875" style="3283" customWidth="1"/>
    <col min="778" max="778" width="12.375" style="3283" customWidth="1"/>
    <col min="779" max="779" width="9.25" style="3283" customWidth="1"/>
    <col min="780" max="781" width="13.125" style="3283" customWidth="1"/>
    <col min="782" max="782" width="13" style="3283" customWidth="1"/>
    <col min="783" max="783" width="14.125" style="3283" customWidth="1"/>
    <col min="784" max="784" width="12.25" style="3283" customWidth="1"/>
    <col min="785" max="785" width="11.375" style="3283" customWidth="1"/>
    <col min="786" max="786" width="14.5" style="3283" customWidth="1"/>
    <col min="787" max="789" width="12.375" style="3283" customWidth="1"/>
    <col min="790" max="790" width="12.5" style="3283" customWidth="1"/>
    <col min="791" max="791" width="10.625" style="3283" customWidth="1"/>
    <col min="792" max="792" width="12.625" style="3283" customWidth="1"/>
    <col min="793" max="793" width="12.875" style="3283" customWidth="1"/>
    <col min="794" max="794" width="10.875" style="3283" customWidth="1"/>
    <col min="795" max="795" width="9.25" style="3283" customWidth="1"/>
    <col min="796" max="796" width="9" style="3283" customWidth="1"/>
    <col min="797" max="797" width="12.5" style="3283" customWidth="1"/>
    <col min="798" max="798" width="9.375" style="3283" customWidth="1"/>
    <col min="799" max="799" width="25.875" style="3283" customWidth="1"/>
    <col min="800" max="800" width="19.25" style="3283" customWidth="1"/>
    <col min="801" max="801" width="11.75" style="3283" customWidth="1"/>
    <col min="802" max="802" width="11.375" style="3283" customWidth="1"/>
    <col min="803" max="803" width="10.75" style="3283" customWidth="1"/>
    <col min="804" max="804" width="11" style="3283" customWidth="1"/>
    <col min="805" max="805" width="8.25" style="3283" customWidth="1"/>
    <col min="806" max="806" width="8.625" style="3283" customWidth="1"/>
    <col min="807" max="807" width="22.875" style="3283" customWidth="1"/>
    <col min="808" max="809" width="13.25" style="3283" customWidth="1"/>
    <col min="810" max="810" width="16.5" style="3283" customWidth="1"/>
    <col min="811" max="811" width="19.25" style="3283" customWidth="1"/>
    <col min="812" max="812" width="10.75" style="3283" customWidth="1"/>
    <col min="813" max="813" width="11.625" style="3283" customWidth="1"/>
    <col min="814" max="815" width="9.625" style="3283" customWidth="1"/>
    <col min="816" max="816" width="8.375" style="3283" customWidth="1"/>
    <col min="817" max="817" width="13" style="3283" customWidth="1"/>
    <col min="818" max="818" width="13.875" style="3283" customWidth="1"/>
    <col min="819" max="819" width="13.375" style="3283" customWidth="1"/>
    <col min="820" max="820" width="10.875" style="3283" customWidth="1"/>
    <col min="821" max="823" width="9" style="3283" customWidth="1"/>
    <col min="824" max="824" width="11.625" style="3283" customWidth="1"/>
    <col min="825" max="825" width="17.625" style="3283" customWidth="1"/>
    <col min="826" max="826" width="9" style="3283" customWidth="1"/>
    <col min="827" max="829" width="9" style="3283"/>
    <col min="830" max="830" width="36.625" style="3283" customWidth="1"/>
    <col min="831" max="1024" width="9" style="3283"/>
    <col min="1025" max="1025" width="5" style="3283" customWidth="1"/>
    <col min="1026" max="1026" width="20.5" style="3283" customWidth="1"/>
    <col min="1027" max="1027" width="9.625" style="3283" customWidth="1"/>
    <col min="1028" max="1028" width="21" style="3283" customWidth="1"/>
    <col min="1029" max="1029" width="11" style="3283" customWidth="1"/>
    <col min="1030" max="1030" width="12.625" style="3283" customWidth="1"/>
    <col min="1031" max="1032" width="10.625" style="3283" customWidth="1"/>
    <col min="1033" max="1033" width="13.875" style="3283" customWidth="1"/>
    <col min="1034" max="1034" width="12.375" style="3283" customWidth="1"/>
    <col min="1035" max="1035" width="9.25" style="3283" customWidth="1"/>
    <col min="1036" max="1037" width="13.125" style="3283" customWidth="1"/>
    <col min="1038" max="1038" width="13" style="3283" customWidth="1"/>
    <col min="1039" max="1039" width="14.125" style="3283" customWidth="1"/>
    <col min="1040" max="1040" width="12.25" style="3283" customWidth="1"/>
    <col min="1041" max="1041" width="11.375" style="3283" customWidth="1"/>
    <col min="1042" max="1042" width="14.5" style="3283" customWidth="1"/>
    <col min="1043" max="1045" width="12.375" style="3283" customWidth="1"/>
    <col min="1046" max="1046" width="12.5" style="3283" customWidth="1"/>
    <col min="1047" max="1047" width="10.625" style="3283" customWidth="1"/>
    <col min="1048" max="1048" width="12.625" style="3283" customWidth="1"/>
    <col min="1049" max="1049" width="12.875" style="3283" customWidth="1"/>
    <col min="1050" max="1050" width="10.875" style="3283" customWidth="1"/>
    <col min="1051" max="1051" width="9.25" style="3283" customWidth="1"/>
    <col min="1052" max="1052" width="9" style="3283" customWidth="1"/>
    <col min="1053" max="1053" width="12.5" style="3283" customWidth="1"/>
    <col min="1054" max="1054" width="9.375" style="3283" customWidth="1"/>
    <col min="1055" max="1055" width="25.875" style="3283" customWidth="1"/>
    <col min="1056" max="1056" width="19.25" style="3283" customWidth="1"/>
    <col min="1057" max="1057" width="11.75" style="3283" customWidth="1"/>
    <col min="1058" max="1058" width="11.375" style="3283" customWidth="1"/>
    <col min="1059" max="1059" width="10.75" style="3283" customWidth="1"/>
    <col min="1060" max="1060" width="11" style="3283" customWidth="1"/>
    <col min="1061" max="1061" width="8.25" style="3283" customWidth="1"/>
    <col min="1062" max="1062" width="8.625" style="3283" customWidth="1"/>
    <col min="1063" max="1063" width="22.875" style="3283" customWidth="1"/>
    <col min="1064" max="1065" width="13.25" style="3283" customWidth="1"/>
    <col min="1066" max="1066" width="16.5" style="3283" customWidth="1"/>
    <col min="1067" max="1067" width="19.25" style="3283" customWidth="1"/>
    <col min="1068" max="1068" width="10.75" style="3283" customWidth="1"/>
    <col min="1069" max="1069" width="11.625" style="3283" customWidth="1"/>
    <col min="1070" max="1071" width="9.625" style="3283" customWidth="1"/>
    <col min="1072" max="1072" width="8.375" style="3283" customWidth="1"/>
    <col min="1073" max="1073" width="13" style="3283" customWidth="1"/>
    <col min="1074" max="1074" width="13.875" style="3283" customWidth="1"/>
    <col min="1075" max="1075" width="13.375" style="3283" customWidth="1"/>
    <col min="1076" max="1076" width="10.875" style="3283" customWidth="1"/>
    <col min="1077" max="1079" width="9" style="3283" customWidth="1"/>
    <col min="1080" max="1080" width="11.625" style="3283" customWidth="1"/>
    <col min="1081" max="1081" width="17.625" style="3283" customWidth="1"/>
    <col min="1082" max="1082" width="9" style="3283" customWidth="1"/>
    <col min="1083" max="1085" width="9" style="3283"/>
    <col min="1086" max="1086" width="36.625" style="3283" customWidth="1"/>
    <col min="1087" max="1280" width="9" style="3283"/>
    <col min="1281" max="1281" width="5" style="3283" customWidth="1"/>
    <col min="1282" max="1282" width="20.5" style="3283" customWidth="1"/>
    <col min="1283" max="1283" width="9.625" style="3283" customWidth="1"/>
    <col min="1284" max="1284" width="21" style="3283" customWidth="1"/>
    <col min="1285" max="1285" width="11" style="3283" customWidth="1"/>
    <col min="1286" max="1286" width="12.625" style="3283" customWidth="1"/>
    <col min="1287" max="1288" width="10.625" style="3283" customWidth="1"/>
    <col min="1289" max="1289" width="13.875" style="3283" customWidth="1"/>
    <col min="1290" max="1290" width="12.375" style="3283" customWidth="1"/>
    <col min="1291" max="1291" width="9.25" style="3283" customWidth="1"/>
    <col min="1292" max="1293" width="13.125" style="3283" customWidth="1"/>
    <col min="1294" max="1294" width="13" style="3283" customWidth="1"/>
    <col min="1295" max="1295" width="14.125" style="3283" customWidth="1"/>
    <col min="1296" max="1296" width="12.25" style="3283" customWidth="1"/>
    <col min="1297" max="1297" width="11.375" style="3283" customWidth="1"/>
    <col min="1298" max="1298" width="14.5" style="3283" customWidth="1"/>
    <col min="1299" max="1301" width="12.375" style="3283" customWidth="1"/>
    <col min="1302" max="1302" width="12.5" style="3283" customWidth="1"/>
    <col min="1303" max="1303" width="10.625" style="3283" customWidth="1"/>
    <col min="1304" max="1304" width="12.625" style="3283" customWidth="1"/>
    <col min="1305" max="1305" width="12.875" style="3283" customWidth="1"/>
    <col min="1306" max="1306" width="10.875" style="3283" customWidth="1"/>
    <col min="1307" max="1307" width="9.25" style="3283" customWidth="1"/>
    <col min="1308" max="1308" width="9" style="3283" customWidth="1"/>
    <col min="1309" max="1309" width="12.5" style="3283" customWidth="1"/>
    <col min="1310" max="1310" width="9.375" style="3283" customWidth="1"/>
    <col min="1311" max="1311" width="25.875" style="3283" customWidth="1"/>
    <col min="1312" max="1312" width="19.25" style="3283" customWidth="1"/>
    <col min="1313" max="1313" width="11.75" style="3283" customWidth="1"/>
    <col min="1314" max="1314" width="11.375" style="3283" customWidth="1"/>
    <col min="1315" max="1315" width="10.75" style="3283" customWidth="1"/>
    <col min="1316" max="1316" width="11" style="3283" customWidth="1"/>
    <col min="1317" max="1317" width="8.25" style="3283" customWidth="1"/>
    <col min="1318" max="1318" width="8.625" style="3283" customWidth="1"/>
    <col min="1319" max="1319" width="22.875" style="3283" customWidth="1"/>
    <col min="1320" max="1321" width="13.25" style="3283" customWidth="1"/>
    <col min="1322" max="1322" width="16.5" style="3283" customWidth="1"/>
    <col min="1323" max="1323" width="19.25" style="3283" customWidth="1"/>
    <col min="1324" max="1324" width="10.75" style="3283" customWidth="1"/>
    <col min="1325" max="1325" width="11.625" style="3283" customWidth="1"/>
    <col min="1326" max="1327" width="9.625" style="3283" customWidth="1"/>
    <col min="1328" max="1328" width="8.375" style="3283" customWidth="1"/>
    <col min="1329" max="1329" width="13" style="3283" customWidth="1"/>
    <col min="1330" max="1330" width="13.875" style="3283" customWidth="1"/>
    <col min="1331" max="1331" width="13.375" style="3283" customWidth="1"/>
    <col min="1332" max="1332" width="10.875" style="3283" customWidth="1"/>
    <col min="1333" max="1335" width="9" style="3283" customWidth="1"/>
    <col min="1336" max="1336" width="11.625" style="3283" customWidth="1"/>
    <col min="1337" max="1337" width="17.625" style="3283" customWidth="1"/>
    <col min="1338" max="1338" width="9" style="3283" customWidth="1"/>
    <col min="1339" max="1341" width="9" style="3283"/>
    <col min="1342" max="1342" width="36.625" style="3283" customWidth="1"/>
    <col min="1343" max="1536" width="9" style="3283"/>
    <col min="1537" max="1537" width="5" style="3283" customWidth="1"/>
    <col min="1538" max="1538" width="20.5" style="3283" customWidth="1"/>
    <col min="1539" max="1539" width="9.625" style="3283" customWidth="1"/>
    <col min="1540" max="1540" width="21" style="3283" customWidth="1"/>
    <col min="1541" max="1541" width="11" style="3283" customWidth="1"/>
    <col min="1542" max="1542" width="12.625" style="3283" customWidth="1"/>
    <col min="1543" max="1544" width="10.625" style="3283" customWidth="1"/>
    <col min="1545" max="1545" width="13.875" style="3283" customWidth="1"/>
    <col min="1546" max="1546" width="12.375" style="3283" customWidth="1"/>
    <col min="1547" max="1547" width="9.25" style="3283" customWidth="1"/>
    <col min="1548" max="1549" width="13.125" style="3283" customWidth="1"/>
    <col min="1550" max="1550" width="13" style="3283" customWidth="1"/>
    <col min="1551" max="1551" width="14.125" style="3283" customWidth="1"/>
    <col min="1552" max="1552" width="12.25" style="3283" customWidth="1"/>
    <col min="1553" max="1553" width="11.375" style="3283" customWidth="1"/>
    <col min="1554" max="1554" width="14.5" style="3283" customWidth="1"/>
    <col min="1555" max="1557" width="12.375" style="3283" customWidth="1"/>
    <col min="1558" max="1558" width="12.5" style="3283" customWidth="1"/>
    <col min="1559" max="1559" width="10.625" style="3283" customWidth="1"/>
    <col min="1560" max="1560" width="12.625" style="3283" customWidth="1"/>
    <col min="1561" max="1561" width="12.875" style="3283" customWidth="1"/>
    <col min="1562" max="1562" width="10.875" style="3283" customWidth="1"/>
    <col min="1563" max="1563" width="9.25" style="3283" customWidth="1"/>
    <col min="1564" max="1564" width="9" style="3283" customWidth="1"/>
    <col min="1565" max="1565" width="12.5" style="3283" customWidth="1"/>
    <col min="1566" max="1566" width="9.375" style="3283" customWidth="1"/>
    <col min="1567" max="1567" width="25.875" style="3283" customWidth="1"/>
    <col min="1568" max="1568" width="19.25" style="3283" customWidth="1"/>
    <col min="1569" max="1569" width="11.75" style="3283" customWidth="1"/>
    <col min="1570" max="1570" width="11.375" style="3283" customWidth="1"/>
    <col min="1571" max="1571" width="10.75" style="3283" customWidth="1"/>
    <col min="1572" max="1572" width="11" style="3283" customWidth="1"/>
    <col min="1573" max="1573" width="8.25" style="3283" customWidth="1"/>
    <col min="1574" max="1574" width="8.625" style="3283" customWidth="1"/>
    <col min="1575" max="1575" width="22.875" style="3283" customWidth="1"/>
    <col min="1576" max="1577" width="13.25" style="3283" customWidth="1"/>
    <col min="1578" max="1578" width="16.5" style="3283" customWidth="1"/>
    <col min="1579" max="1579" width="19.25" style="3283" customWidth="1"/>
    <col min="1580" max="1580" width="10.75" style="3283" customWidth="1"/>
    <col min="1581" max="1581" width="11.625" style="3283" customWidth="1"/>
    <col min="1582" max="1583" width="9.625" style="3283" customWidth="1"/>
    <col min="1584" max="1584" width="8.375" style="3283" customWidth="1"/>
    <col min="1585" max="1585" width="13" style="3283" customWidth="1"/>
    <col min="1586" max="1586" width="13.875" style="3283" customWidth="1"/>
    <col min="1587" max="1587" width="13.375" style="3283" customWidth="1"/>
    <col min="1588" max="1588" width="10.875" style="3283" customWidth="1"/>
    <col min="1589" max="1591" width="9" style="3283" customWidth="1"/>
    <col min="1592" max="1592" width="11.625" style="3283" customWidth="1"/>
    <col min="1593" max="1593" width="17.625" style="3283" customWidth="1"/>
    <col min="1594" max="1594" width="9" style="3283" customWidth="1"/>
    <col min="1595" max="1597" width="9" style="3283"/>
    <col min="1598" max="1598" width="36.625" style="3283" customWidth="1"/>
    <col min="1599" max="1792" width="9" style="3283"/>
    <col min="1793" max="1793" width="5" style="3283" customWidth="1"/>
    <col min="1794" max="1794" width="20.5" style="3283" customWidth="1"/>
    <col min="1795" max="1795" width="9.625" style="3283" customWidth="1"/>
    <col min="1796" max="1796" width="21" style="3283" customWidth="1"/>
    <col min="1797" max="1797" width="11" style="3283" customWidth="1"/>
    <col min="1798" max="1798" width="12.625" style="3283" customWidth="1"/>
    <col min="1799" max="1800" width="10.625" style="3283" customWidth="1"/>
    <col min="1801" max="1801" width="13.875" style="3283" customWidth="1"/>
    <col min="1802" max="1802" width="12.375" style="3283" customWidth="1"/>
    <col min="1803" max="1803" width="9.25" style="3283" customWidth="1"/>
    <col min="1804" max="1805" width="13.125" style="3283" customWidth="1"/>
    <col min="1806" max="1806" width="13" style="3283" customWidth="1"/>
    <col min="1807" max="1807" width="14.125" style="3283" customWidth="1"/>
    <col min="1808" max="1808" width="12.25" style="3283" customWidth="1"/>
    <col min="1809" max="1809" width="11.375" style="3283" customWidth="1"/>
    <col min="1810" max="1810" width="14.5" style="3283" customWidth="1"/>
    <col min="1811" max="1813" width="12.375" style="3283" customWidth="1"/>
    <col min="1814" max="1814" width="12.5" style="3283" customWidth="1"/>
    <col min="1815" max="1815" width="10.625" style="3283" customWidth="1"/>
    <col min="1816" max="1816" width="12.625" style="3283" customWidth="1"/>
    <col min="1817" max="1817" width="12.875" style="3283" customWidth="1"/>
    <col min="1818" max="1818" width="10.875" style="3283" customWidth="1"/>
    <col min="1819" max="1819" width="9.25" style="3283" customWidth="1"/>
    <col min="1820" max="1820" width="9" style="3283" customWidth="1"/>
    <col min="1821" max="1821" width="12.5" style="3283" customWidth="1"/>
    <col min="1822" max="1822" width="9.375" style="3283" customWidth="1"/>
    <col min="1823" max="1823" width="25.875" style="3283" customWidth="1"/>
    <col min="1824" max="1824" width="19.25" style="3283" customWidth="1"/>
    <col min="1825" max="1825" width="11.75" style="3283" customWidth="1"/>
    <col min="1826" max="1826" width="11.375" style="3283" customWidth="1"/>
    <col min="1827" max="1827" width="10.75" style="3283" customWidth="1"/>
    <col min="1828" max="1828" width="11" style="3283" customWidth="1"/>
    <col min="1829" max="1829" width="8.25" style="3283" customWidth="1"/>
    <col min="1830" max="1830" width="8.625" style="3283" customWidth="1"/>
    <col min="1831" max="1831" width="22.875" style="3283" customWidth="1"/>
    <col min="1832" max="1833" width="13.25" style="3283" customWidth="1"/>
    <col min="1834" max="1834" width="16.5" style="3283" customWidth="1"/>
    <col min="1835" max="1835" width="19.25" style="3283" customWidth="1"/>
    <col min="1836" max="1836" width="10.75" style="3283" customWidth="1"/>
    <col min="1837" max="1837" width="11.625" style="3283" customWidth="1"/>
    <col min="1838" max="1839" width="9.625" style="3283" customWidth="1"/>
    <col min="1840" max="1840" width="8.375" style="3283" customWidth="1"/>
    <col min="1841" max="1841" width="13" style="3283" customWidth="1"/>
    <col min="1842" max="1842" width="13.875" style="3283" customWidth="1"/>
    <col min="1843" max="1843" width="13.375" style="3283" customWidth="1"/>
    <col min="1844" max="1844" width="10.875" style="3283" customWidth="1"/>
    <col min="1845" max="1847" width="9" style="3283" customWidth="1"/>
    <col min="1848" max="1848" width="11.625" style="3283" customWidth="1"/>
    <col min="1849" max="1849" width="17.625" style="3283" customWidth="1"/>
    <col min="1850" max="1850" width="9" style="3283" customWidth="1"/>
    <col min="1851" max="1853" width="9" style="3283"/>
    <col min="1854" max="1854" width="36.625" style="3283" customWidth="1"/>
    <col min="1855" max="2048" width="9" style="3283"/>
    <col min="2049" max="2049" width="5" style="3283" customWidth="1"/>
    <col min="2050" max="2050" width="20.5" style="3283" customWidth="1"/>
    <col min="2051" max="2051" width="9.625" style="3283" customWidth="1"/>
    <col min="2052" max="2052" width="21" style="3283" customWidth="1"/>
    <col min="2053" max="2053" width="11" style="3283" customWidth="1"/>
    <col min="2054" max="2054" width="12.625" style="3283" customWidth="1"/>
    <col min="2055" max="2056" width="10.625" style="3283" customWidth="1"/>
    <col min="2057" max="2057" width="13.875" style="3283" customWidth="1"/>
    <col min="2058" max="2058" width="12.375" style="3283" customWidth="1"/>
    <col min="2059" max="2059" width="9.25" style="3283" customWidth="1"/>
    <col min="2060" max="2061" width="13.125" style="3283" customWidth="1"/>
    <col min="2062" max="2062" width="13" style="3283" customWidth="1"/>
    <col min="2063" max="2063" width="14.125" style="3283" customWidth="1"/>
    <col min="2064" max="2064" width="12.25" style="3283" customWidth="1"/>
    <col min="2065" max="2065" width="11.375" style="3283" customWidth="1"/>
    <col min="2066" max="2066" width="14.5" style="3283" customWidth="1"/>
    <col min="2067" max="2069" width="12.375" style="3283" customWidth="1"/>
    <col min="2070" max="2070" width="12.5" style="3283" customWidth="1"/>
    <col min="2071" max="2071" width="10.625" style="3283" customWidth="1"/>
    <col min="2072" max="2072" width="12.625" style="3283" customWidth="1"/>
    <col min="2073" max="2073" width="12.875" style="3283" customWidth="1"/>
    <col min="2074" max="2074" width="10.875" style="3283" customWidth="1"/>
    <col min="2075" max="2075" width="9.25" style="3283" customWidth="1"/>
    <col min="2076" max="2076" width="9" style="3283" customWidth="1"/>
    <col min="2077" max="2077" width="12.5" style="3283" customWidth="1"/>
    <col min="2078" max="2078" width="9.375" style="3283" customWidth="1"/>
    <col min="2079" max="2079" width="25.875" style="3283" customWidth="1"/>
    <col min="2080" max="2080" width="19.25" style="3283" customWidth="1"/>
    <col min="2081" max="2081" width="11.75" style="3283" customWidth="1"/>
    <col min="2082" max="2082" width="11.375" style="3283" customWidth="1"/>
    <col min="2083" max="2083" width="10.75" style="3283" customWidth="1"/>
    <col min="2084" max="2084" width="11" style="3283" customWidth="1"/>
    <col min="2085" max="2085" width="8.25" style="3283" customWidth="1"/>
    <col min="2086" max="2086" width="8.625" style="3283" customWidth="1"/>
    <col min="2087" max="2087" width="22.875" style="3283" customWidth="1"/>
    <col min="2088" max="2089" width="13.25" style="3283" customWidth="1"/>
    <col min="2090" max="2090" width="16.5" style="3283" customWidth="1"/>
    <col min="2091" max="2091" width="19.25" style="3283" customWidth="1"/>
    <col min="2092" max="2092" width="10.75" style="3283" customWidth="1"/>
    <col min="2093" max="2093" width="11.625" style="3283" customWidth="1"/>
    <col min="2094" max="2095" width="9.625" style="3283" customWidth="1"/>
    <col min="2096" max="2096" width="8.375" style="3283" customWidth="1"/>
    <col min="2097" max="2097" width="13" style="3283" customWidth="1"/>
    <col min="2098" max="2098" width="13.875" style="3283" customWidth="1"/>
    <col min="2099" max="2099" width="13.375" style="3283" customWidth="1"/>
    <col min="2100" max="2100" width="10.875" style="3283" customWidth="1"/>
    <col min="2101" max="2103" width="9" style="3283" customWidth="1"/>
    <col min="2104" max="2104" width="11.625" style="3283" customWidth="1"/>
    <col min="2105" max="2105" width="17.625" style="3283" customWidth="1"/>
    <col min="2106" max="2106" width="9" style="3283" customWidth="1"/>
    <col min="2107" max="2109" width="9" style="3283"/>
    <col min="2110" max="2110" width="36.625" style="3283" customWidth="1"/>
    <col min="2111" max="2304" width="9" style="3283"/>
    <col min="2305" max="2305" width="5" style="3283" customWidth="1"/>
    <col min="2306" max="2306" width="20.5" style="3283" customWidth="1"/>
    <col min="2307" max="2307" width="9.625" style="3283" customWidth="1"/>
    <col min="2308" max="2308" width="21" style="3283" customWidth="1"/>
    <col min="2309" max="2309" width="11" style="3283" customWidth="1"/>
    <col min="2310" max="2310" width="12.625" style="3283" customWidth="1"/>
    <col min="2311" max="2312" width="10.625" style="3283" customWidth="1"/>
    <col min="2313" max="2313" width="13.875" style="3283" customWidth="1"/>
    <col min="2314" max="2314" width="12.375" style="3283" customWidth="1"/>
    <col min="2315" max="2315" width="9.25" style="3283" customWidth="1"/>
    <col min="2316" max="2317" width="13.125" style="3283" customWidth="1"/>
    <col min="2318" max="2318" width="13" style="3283" customWidth="1"/>
    <col min="2319" max="2319" width="14.125" style="3283" customWidth="1"/>
    <col min="2320" max="2320" width="12.25" style="3283" customWidth="1"/>
    <col min="2321" max="2321" width="11.375" style="3283" customWidth="1"/>
    <col min="2322" max="2322" width="14.5" style="3283" customWidth="1"/>
    <col min="2323" max="2325" width="12.375" style="3283" customWidth="1"/>
    <col min="2326" max="2326" width="12.5" style="3283" customWidth="1"/>
    <col min="2327" max="2327" width="10.625" style="3283" customWidth="1"/>
    <col min="2328" max="2328" width="12.625" style="3283" customWidth="1"/>
    <col min="2329" max="2329" width="12.875" style="3283" customWidth="1"/>
    <col min="2330" max="2330" width="10.875" style="3283" customWidth="1"/>
    <col min="2331" max="2331" width="9.25" style="3283" customWidth="1"/>
    <col min="2332" max="2332" width="9" style="3283" customWidth="1"/>
    <col min="2333" max="2333" width="12.5" style="3283" customWidth="1"/>
    <col min="2334" max="2334" width="9.375" style="3283" customWidth="1"/>
    <col min="2335" max="2335" width="25.875" style="3283" customWidth="1"/>
    <col min="2336" max="2336" width="19.25" style="3283" customWidth="1"/>
    <col min="2337" max="2337" width="11.75" style="3283" customWidth="1"/>
    <col min="2338" max="2338" width="11.375" style="3283" customWidth="1"/>
    <col min="2339" max="2339" width="10.75" style="3283" customWidth="1"/>
    <col min="2340" max="2340" width="11" style="3283" customWidth="1"/>
    <col min="2341" max="2341" width="8.25" style="3283" customWidth="1"/>
    <col min="2342" max="2342" width="8.625" style="3283" customWidth="1"/>
    <col min="2343" max="2343" width="22.875" style="3283" customWidth="1"/>
    <col min="2344" max="2345" width="13.25" style="3283" customWidth="1"/>
    <col min="2346" max="2346" width="16.5" style="3283" customWidth="1"/>
    <col min="2347" max="2347" width="19.25" style="3283" customWidth="1"/>
    <col min="2348" max="2348" width="10.75" style="3283" customWidth="1"/>
    <col min="2349" max="2349" width="11.625" style="3283" customWidth="1"/>
    <col min="2350" max="2351" width="9.625" style="3283" customWidth="1"/>
    <col min="2352" max="2352" width="8.375" style="3283" customWidth="1"/>
    <col min="2353" max="2353" width="13" style="3283" customWidth="1"/>
    <col min="2354" max="2354" width="13.875" style="3283" customWidth="1"/>
    <col min="2355" max="2355" width="13.375" style="3283" customWidth="1"/>
    <col min="2356" max="2356" width="10.875" style="3283" customWidth="1"/>
    <col min="2357" max="2359" width="9" style="3283" customWidth="1"/>
    <col min="2360" max="2360" width="11.625" style="3283" customWidth="1"/>
    <col min="2361" max="2361" width="17.625" style="3283" customWidth="1"/>
    <col min="2362" max="2362" width="9" style="3283" customWidth="1"/>
    <col min="2363" max="2365" width="9" style="3283"/>
    <col min="2366" max="2366" width="36.625" style="3283" customWidth="1"/>
    <col min="2367" max="2560" width="9" style="3283"/>
    <col min="2561" max="2561" width="5" style="3283" customWidth="1"/>
    <col min="2562" max="2562" width="20.5" style="3283" customWidth="1"/>
    <col min="2563" max="2563" width="9.625" style="3283" customWidth="1"/>
    <col min="2564" max="2564" width="21" style="3283" customWidth="1"/>
    <col min="2565" max="2565" width="11" style="3283" customWidth="1"/>
    <col min="2566" max="2566" width="12.625" style="3283" customWidth="1"/>
    <col min="2567" max="2568" width="10.625" style="3283" customWidth="1"/>
    <col min="2569" max="2569" width="13.875" style="3283" customWidth="1"/>
    <col min="2570" max="2570" width="12.375" style="3283" customWidth="1"/>
    <col min="2571" max="2571" width="9.25" style="3283" customWidth="1"/>
    <col min="2572" max="2573" width="13.125" style="3283" customWidth="1"/>
    <col min="2574" max="2574" width="13" style="3283" customWidth="1"/>
    <col min="2575" max="2575" width="14.125" style="3283" customWidth="1"/>
    <col min="2576" max="2576" width="12.25" style="3283" customWidth="1"/>
    <col min="2577" max="2577" width="11.375" style="3283" customWidth="1"/>
    <col min="2578" max="2578" width="14.5" style="3283" customWidth="1"/>
    <col min="2579" max="2581" width="12.375" style="3283" customWidth="1"/>
    <col min="2582" max="2582" width="12.5" style="3283" customWidth="1"/>
    <col min="2583" max="2583" width="10.625" style="3283" customWidth="1"/>
    <col min="2584" max="2584" width="12.625" style="3283" customWidth="1"/>
    <col min="2585" max="2585" width="12.875" style="3283" customWidth="1"/>
    <col min="2586" max="2586" width="10.875" style="3283" customWidth="1"/>
    <col min="2587" max="2587" width="9.25" style="3283" customWidth="1"/>
    <col min="2588" max="2588" width="9" style="3283" customWidth="1"/>
    <col min="2589" max="2589" width="12.5" style="3283" customWidth="1"/>
    <col min="2590" max="2590" width="9.375" style="3283" customWidth="1"/>
    <col min="2591" max="2591" width="25.875" style="3283" customWidth="1"/>
    <col min="2592" max="2592" width="19.25" style="3283" customWidth="1"/>
    <col min="2593" max="2593" width="11.75" style="3283" customWidth="1"/>
    <col min="2594" max="2594" width="11.375" style="3283" customWidth="1"/>
    <col min="2595" max="2595" width="10.75" style="3283" customWidth="1"/>
    <col min="2596" max="2596" width="11" style="3283" customWidth="1"/>
    <col min="2597" max="2597" width="8.25" style="3283" customWidth="1"/>
    <col min="2598" max="2598" width="8.625" style="3283" customWidth="1"/>
    <col min="2599" max="2599" width="22.875" style="3283" customWidth="1"/>
    <col min="2600" max="2601" width="13.25" style="3283" customWidth="1"/>
    <col min="2602" max="2602" width="16.5" style="3283" customWidth="1"/>
    <col min="2603" max="2603" width="19.25" style="3283" customWidth="1"/>
    <col min="2604" max="2604" width="10.75" style="3283" customWidth="1"/>
    <col min="2605" max="2605" width="11.625" style="3283" customWidth="1"/>
    <col min="2606" max="2607" width="9.625" style="3283" customWidth="1"/>
    <col min="2608" max="2608" width="8.375" style="3283" customWidth="1"/>
    <col min="2609" max="2609" width="13" style="3283" customWidth="1"/>
    <col min="2610" max="2610" width="13.875" style="3283" customWidth="1"/>
    <col min="2611" max="2611" width="13.375" style="3283" customWidth="1"/>
    <col min="2612" max="2612" width="10.875" style="3283" customWidth="1"/>
    <col min="2613" max="2615" width="9" style="3283" customWidth="1"/>
    <col min="2616" max="2616" width="11.625" style="3283" customWidth="1"/>
    <col min="2617" max="2617" width="17.625" style="3283" customWidth="1"/>
    <col min="2618" max="2618" width="9" style="3283" customWidth="1"/>
    <col min="2619" max="2621" width="9" style="3283"/>
    <col min="2622" max="2622" width="36.625" style="3283" customWidth="1"/>
    <col min="2623" max="2816" width="9" style="3283"/>
    <col min="2817" max="2817" width="5" style="3283" customWidth="1"/>
    <col min="2818" max="2818" width="20.5" style="3283" customWidth="1"/>
    <col min="2819" max="2819" width="9.625" style="3283" customWidth="1"/>
    <col min="2820" max="2820" width="21" style="3283" customWidth="1"/>
    <col min="2821" max="2821" width="11" style="3283" customWidth="1"/>
    <col min="2822" max="2822" width="12.625" style="3283" customWidth="1"/>
    <col min="2823" max="2824" width="10.625" style="3283" customWidth="1"/>
    <col min="2825" max="2825" width="13.875" style="3283" customWidth="1"/>
    <col min="2826" max="2826" width="12.375" style="3283" customWidth="1"/>
    <col min="2827" max="2827" width="9.25" style="3283" customWidth="1"/>
    <col min="2828" max="2829" width="13.125" style="3283" customWidth="1"/>
    <col min="2830" max="2830" width="13" style="3283" customWidth="1"/>
    <col min="2831" max="2831" width="14.125" style="3283" customWidth="1"/>
    <col min="2832" max="2832" width="12.25" style="3283" customWidth="1"/>
    <col min="2833" max="2833" width="11.375" style="3283" customWidth="1"/>
    <col min="2834" max="2834" width="14.5" style="3283" customWidth="1"/>
    <col min="2835" max="2837" width="12.375" style="3283" customWidth="1"/>
    <col min="2838" max="2838" width="12.5" style="3283" customWidth="1"/>
    <col min="2839" max="2839" width="10.625" style="3283" customWidth="1"/>
    <col min="2840" max="2840" width="12.625" style="3283" customWidth="1"/>
    <col min="2841" max="2841" width="12.875" style="3283" customWidth="1"/>
    <col min="2842" max="2842" width="10.875" style="3283" customWidth="1"/>
    <col min="2843" max="2843" width="9.25" style="3283" customWidth="1"/>
    <col min="2844" max="2844" width="9" style="3283" customWidth="1"/>
    <col min="2845" max="2845" width="12.5" style="3283" customWidth="1"/>
    <col min="2846" max="2846" width="9.375" style="3283" customWidth="1"/>
    <col min="2847" max="2847" width="25.875" style="3283" customWidth="1"/>
    <col min="2848" max="2848" width="19.25" style="3283" customWidth="1"/>
    <col min="2849" max="2849" width="11.75" style="3283" customWidth="1"/>
    <col min="2850" max="2850" width="11.375" style="3283" customWidth="1"/>
    <col min="2851" max="2851" width="10.75" style="3283" customWidth="1"/>
    <col min="2852" max="2852" width="11" style="3283" customWidth="1"/>
    <col min="2853" max="2853" width="8.25" style="3283" customWidth="1"/>
    <col min="2854" max="2854" width="8.625" style="3283" customWidth="1"/>
    <col min="2855" max="2855" width="22.875" style="3283" customWidth="1"/>
    <col min="2856" max="2857" width="13.25" style="3283" customWidth="1"/>
    <col min="2858" max="2858" width="16.5" style="3283" customWidth="1"/>
    <col min="2859" max="2859" width="19.25" style="3283" customWidth="1"/>
    <col min="2860" max="2860" width="10.75" style="3283" customWidth="1"/>
    <col min="2861" max="2861" width="11.625" style="3283" customWidth="1"/>
    <col min="2862" max="2863" width="9.625" style="3283" customWidth="1"/>
    <col min="2864" max="2864" width="8.375" style="3283" customWidth="1"/>
    <col min="2865" max="2865" width="13" style="3283" customWidth="1"/>
    <col min="2866" max="2866" width="13.875" style="3283" customWidth="1"/>
    <col min="2867" max="2867" width="13.375" style="3283" customWidth="1"/>
    <col min="2868" max="2868" width="10.875" style="3283" customWidth="1"/>
    <col min="2869" max="2871" width="9" style="3283" customWidth="1"/>
    <col min="2872" max="2872" width="11.625" style="3283" customWidth="1"/>
    <col min="2873" max="2873" width="17.625" style="3283" customWidth="1"/>
    <col min="2874" max="2874" width="9" style="3283" customWidth="1"/>
    <col min="2875" max="2877" width="9" style="3283"/>
    <col min="2878" max="2878" width="36.625" style="3283" customWidth="1"/>
    <col min="2879" max="3072" width="9" style="3283"/>
    <col min="3073" max="3073" width="5" style="3283" customWidth="1"/>
    <col min="3074" max="3074" width="20.5" style="3283" customWidth="1"/>
    <col min="3075" max="3075" width="9.625" style="3283" customWidth="1"/>
    <col min="3076" max="3076" width="21" style="3283" customWidth="1"/>
    <col min="3077" max="3077" width="11" style="3283" customWidth="1"/>
    <col min="3078" max="3078" width="12.625" style="3283" customWidth="1"/>
    <col min="3079" max="3080" width="10.625" style="3283" customWidth="1"/>
    <col min="3081" max="3081" width="13.875" style="3283" customWidth="1"/>
    <col min="3082" max="3082" width="12.375" style="3283" customWidth="1"/>
    <col min="3083" max="3083" width="9.25" style="3283" customWidth="1"/>
    <col min="3084" max="3085" width="13.125" style="3283" customWidth="1"/>
    <col min="3086" max="3086" width="13" style="3283" customWidth="1"/>
    <col min="3087" max="3087" width="14.125" style="3283" customWidth="1"/>
    <col min="3088" max="3088" width="12.25" style="3283" customWidth="1"/>
    <col min="3089" max="3089" width="11.375" style="3283" customWidth="1"/>
    <col min="3090" max="3090" width="14.5" style="3283" customWidth="1"/>
    <col min="3091" max="3093" width="12.375" style="3283" customWidth="1"/>
    <col min="3094" max="3094" width="12.5" style="3283" customWidth="1"/>
    <col min="3095" max="3095" width="10.625" style="3283" customWidth="1"/>
    <col min="3096" max="3096" width="12.625" style="3283" customWidth="1"/>
    <col min="3097" max="3097" width="12.875" style="3283" customWidth="1"/>
    <col min="3098" max="3098" width="10.875" style="3283" customWidth="1"/>
    <col min="3099" max="3099" width="9.25" style="3283" customWidth="1"/>
    <col min="3100" max="3100" width="9" style="3283" customWidth="1"/>
    <col min="3101" max="3101" width="12.5" style="3283" customWidth="1"/>
    <col min="3102" max="3102" width="9.375" style="3283" customWidth="1"/>
    <col min="3103" max="3103" width="25.875" style="3283" customWidth="1"/>
    <col min="3104" max="3104" width="19.25" style="3283" customWidth="1"/>
    <col min="3105" max="3105" width="11.75" style="3283" customWidth="1"/>
    <col min="3106" max="3106" width="11.375" style="3283" customWidth="1"/>
    <col min="3107" max="3107" width="10.75" style="3283" customWidth="1"/>
    <col min="3108" max="3108" width="11" style="3283" customWidth="1"/>
    <col min="3109" max="3109" width="8.25" style="3283" customWidth="1"/>
    <col min="3110" max="3110" width="8.625" style="3283" customWidth="1"/>
    <col min="3111" max="3111" width="22.875" style="3283" customWidth="1"/>
    <col min="3112" max="3113" width="13.25" style="3283" customWidth="1"/>
    <col min="3114" max="3114" width="16.5" style="3283" customWidth="1"/>
    <col min="3115" max="3115" width="19.25" style="3283" customWidth="1"/>
    <col min="3116" max="3116" width="10.75" style="3283" customWidth="1"/>
    <col min="3117" max="3117" width="11.625" style="3283" customWidth="1"/>
    <col min="3118" max="3119" width="9.625" style="3283" customWidth="1"/>
    <col min="3120" max="3120" width="8.375" style="3283" customWidth="1"/>
    <col min="3121" max="3121" width="13" style="3283" customWidth="1"/>
    <col min="3122" max="3122" width="13.875" style="3283" customWidth="1"/>
    <col min="3123" max="3123" width="13.375" style="3283" customWidth="1"/>
    <col min="3124" max="3124" width="10.875" style="3283" customWidth="1"/>
    <col min="3125" max="3127" width="9" style="3283" customWidth="1"/>
    <col min="3128" max="3128" width="11.625" style="3283" customWidth="1"/>
    <col min="3129" max="3129" width="17.625" style="3283" customWidth="1"/>
    <col min="3130" max="3130" width="9" style="3283" customWidth="1"/>
    <col min="3131" max="3133" width="9" style="3283"/>
    <col min="3134" max="3134" width="36.625" style="3283" customWidth="1"/>
    <col min="3135" max="3328" width="9" style="3283"/>
    <col min="3329" max="3329" width="5" style="3283" customWidth="1"/>
    <col min="3330" max="3330" width="20.5" style="3283" customWidth="1"/>
    <col min="3331" max="3331" width="9.625" style="3283" customWidth="1"/>
    <col min="3332" max="3332" width="21" style="3283" customWidth="1"/>
    <col min="3333" max="3333" width="11" style="3283" customWidth="1"/>
    <col min="3334" max="3334" width="12.625" style="3283" customWidth="1"/>
    <col min="3335" max="3336" width="10.625" style="3283" customWidth="1"/>
    <col min="3337" max="3337" width="13.875" style="3283" customWidth="1"/>
    <col min="3338" max="3338" width="12.375" style="3283" customWidth="1"/>
    <col min="3339" max="3339" width="9.25" style="3283" customWidth="1"/>
    <col min="3340" max="3341" width="13.125" style="3283" customWidth="1"/>
    <col min="3342" max="3342" width="13" style="3283" customWidth="1"/>
    <col min="3343" max="3343" width="14.125" style="3283" customWidth="1"/>
    <col min="3344" max="3344" width="12.25" style="3283" customWidth="1"/>
    <col min="3345" max="3345" width="11.375" style="3283" customWidth="1"/>
    <col min="3346" max="3346" width="14.5" style="3283" customWidth="1"/>
    <col min="3347" max="3349" width="12.375" style="3283" customWidth="1"/>
    <col min="3350" max="3350" width="12.5" style="3283" customWidth="1"/>
    <col min="3351" max="3351" width="10.625" style="3283" customWidth="1"/>
    <col min="3352" max="3352" width="12.625" style="3283" customWidth="1"/>
    <col min="3353" max="3353" width="12.875" style="3283" customWidth="1"/>
    <col min="3354" max="3354" width="10.875" style="3283" customWidth="1"/>
    <col min="3355" max="3355" width="9.25" style="3283" customWidth="1"/>
    <col min="3356" max="3356" width="9" style="3283" customWidth="1"/>
    <col min="3357" max="3357" width="12.5" style="3283" customWidth="1"/>
    <col min="3358" max="3358" width="9.375" style="3283" customWidth="1"/>
    <col min="3359" max="3359" width="25.875" style="3283" customWidth="1"/>
    <col min="3360" max="3360" width="19.25" style="3283" customWidth="1"/>
    <col min="3361" max="3361" width="11.75" style="3283" customWidth="1"/>
    <col min="3362" max="3362" width="11.375" style="3283" customWidth="1"/>
    <col min="3363" max="3363" width="10.75" style="3283" customWidth="1"/>
    <col min="3364" max="3364" width="11" style="3283" customWidth="1"/>
    <col min="3365" max="3365" width="8.25" style="3283" customWidth="1"/>
    <col min="3366" max="3366" width="8.625" style="3283" customWidth="1"/>
    <col min="3367" max="3367" width="22.875" style="3283" customWidth="1"/>
    <col min="3368" max="3369" width="13.25" style="3283" customWidth="1"/>
    <col min="3370" max="3370" width="16.5" style="3283" customWidth="1"/>
    <col min="3371" max="3371" width="19.25" style="3283" customWidth="1"/>
    <col min="3372" max="3372" width="10.75" style="3283" customWidth="1"/>
    <col min="3373" max="3373" width="11.625" style="3283" customWidth="1"/>
    <col min="3374" max="3375" width="9.625" style="3283" customWidth="1"/>
    <col min="3376" max="3376" width="8.375" style="3283" customWidth="1"/>
    <col min="3377" max="3377" width="13" style="3283" customWidth="1"/>
    <col min="3378" max="3378" width="13.875" style="3283" customWidth="1"/>
    <col min="3379" max="3379" width="13.375" style="3283" customWidth="1"/>
    <col min="3380" max="3380" width="10.875" style="3283" customWidth="1"/>
    <col min="3381" max="3383" width="9" style="3283" customWidth="1"/>
    <col min="3384" max="3384" width="11.625" style="3283" customWidth="1"/>
    <col min="3385" max="3385" width="17.625" style="3283" customWidth="1"/>
    <col min="3386" max="3386" width="9" style="3283" customWidth="1"/>
    <col min="3387" max="3389" width="9" style="3283"/>
    <col min="3390" max="3390" width="36.625" style="3283" customWidth="1"/>
    <col min="3391" max="3584" width="9" style="3283"/>
    <col min="3585" max="3585" width="5" style="3283" customWidth="1"/>
    <col min="3586" max="3586" width="20.5" style="3283" customWidth="1"/>
    <col min="3587" max="3587" width="9.625" style="3283" customWidth="1"/>
    <col min="3588" max="3588" width="21" style="3283" customWidth="1"/>
    <col min="3589" max="3589" width="11" style="3283" customWidth="1"/>
    <col min="3590" max="3590" width="12.625" style="3283" customWidth="1"/>
    <col min="3591" max="3592" width="10.625" style="3283" customWidth="1"/>
    <col min="3593" max="3593" width="13.875" style="3283" customWidth="1"/>
    <col min="3594" max="3594" width="12.375" style="3283" customWidth="1"/>
    <col min="3595" max="3595" width="9.25" style="3283" customWidth="1"/>
    <col min="3596" max="3597" width="13.125" style="3283" customWidth="1"/>
    <col min="3598" max="3598" width="13" style="3283" customWidth="1"/>
    <col min="3599" max="3599" width="14.125" style="3283" customWidth="1"/>
    <col min="3600" max="3600" width="12.25" style="3283" customWidth="1"/>
    <col min="3601" max="3601" width="11.375" style="3283" customWidth="1"/>
    <col min="3602" max="3602" width="14.5" style="3283" customWidth="1"/>
    <col min="3603" max="3605" width="12.375" style="3283" customWidth="1"/>
    <col min="3606" max="3606" width="12.5" style="3283" customWidth="1"/>
    <col min="3607" max="3607" width="10.625" style="3283" customWidth="1"/>
    <col min="3608" max="3608" width="12.625" style="3283" customWidth="1"/>
    <col min="3609" max="3609" width="12.875" style="3283" customWidth="1"/>
    <col min="3610" max="3610" width="10.875" style="3283" customWidth="1"/>
    <col min="3611" max="3611" width="9.25" style="3283" customWidth="1"/>
    <col min="3612" max="3612" width="9" style="3283" customWidth="1"/>
    <col min="3613" max="3613" width="12.5" style="3283" customWidth="1"/>
    <col min="3614" max="3614" width="9.375" style="3283" customWidth="1"/>
    <col min="3615" max="3615" width="25.875" style="3283" customWidth="1"/>
    <col min="3616" max="3616" width="19.25" style="3283" customWidth="1"/>
    <col min="3617" max="3617" width="11.75" style="3283" customWidth="1"/>
    <col min="3618" max="3618" width="11.375" style="3283" customWidth="1"/>
    <col min="3619" max="3619" width="10.75" style="3283" customWidth="1"/>
    <col min="3620" max="3620" width="11" style="3283" customWidth="1"/>
    <col min="3621" max="3621" width="8.25" style="3283" customWidth="1"/>
    <col min="3622" max="3622" width="8.625" style="3283" customWidth="1"/>
    <col min="3623" max="3623" width="22.875" style="3283" customWidth="1"/>
    <col min="3624" max="3625" width="13.25" style="3283" customWidth="1"/>
    <col min="3626" max="3626" width="16.5" style="3283" customWidth="1"/>
    <col min="3627" max="3627" width="19.25" style="3283" customWidth="1"/>
    <col min="3628" max="3628" width="10.75" style="3283" customWidth="1"/>
    <col min="3629" max="3629" width="11.625" style="3283" customWidth="1"/>
    <col min="3630" max="3631" width="9.625" style="3283" customWidth="1"/>
    <col min="3632" max="3632" width="8.375" style="3283" customWidth="1"/>
    <col min="3633" max="3633" width="13" style="3283" customWidth="1"/>
    <col min="3634" max="3634" width="13.875" style="3283" customWidth="1"/>
    <col min="3635" max="3635" width="13.375" style="3283" customWidth="1"/>
    <col min="3636" max="3636" width="10.875" style="3283" customWidth="1"/>
    <col min="3637" max="3639" width="9" style="3283" customWidth="1"/>
    <col min="3640" max="3640" width="11.625" style="3283" customWidth="1"/>
    <col min="3641" max="3641" width="17.625" style="3283" customWidth="1"/>
    <col min="3642" max="3642" width="9" style="3283" customWidth="1"/>
    <col min="3643" max="3645" width="9" style="3283"/>
    <col min="3646" max="3646" width="36.625" style="3283" customWidth="1"/>
    <col min="3647" max="3840" width="9" style="3283"/>
    <col min="3841" max="3841" width="5" style="3283" customWidth="1"/>
    <col min="3842" max="3842" width="20.5" style="3283" customWidth="1"/>
    <col min="3843" max="3843" width="9.625" style="3283" customWidth="1"/>
    <col min="3844" max="3844" width="21" style="3283" customWidth="1"/>
    <col min="3845" max="3845" width="11" style="3283" customWidth="1"/>
    <col min="3846" max="3846" width="12.625" style="3283" customWidth="1"/>
    <col min="3847" max="3848" width="10.625" style="3283" customWidth="1"/>
    <col min="3849" max="3849" width="13.875" style="3283" customWidth="1"/>
    <col min="3850" max="3850" width="12.375" style="3283" customWidth="1"/>
    <col min="3851" max="3851" width="9.25" style="3283" customWidth="1"/>
    <col min="3852" max="3853" width="13.125" style="3283" customWidth="1"/>
    <col min="3854" max="3854" width="13" style="3283" customWidth="1"/>
    <col min="3855" max="3855" width="14.125" style="3283" customWidth="1"/>
    <col min="3856" max="3856" width="12.25" style="3283" customWidth="1"/>
    <col min="3857" max="3857" width="11.375" style="3283" customWidth="1"/>
    <col min="3858" max="3858" width="14.5" style="3283" customWidth="1"/>
    <col min="3859" max="3861" width="12.375" style="3283" customWidth="1"/>
    <col min="3862" max="3862" width="12.5" style="3283" customWidth="1"/>
    <col min="3863" max="3863" width="10.625" style="3283" customWidth="1"/>
    <col min="3864" max="3864" width="12.625" style="3283" customWidth="1"/>
    <col min="3865" max="3865" width="12.875" style="3283" customWidth="1"/>
    <col min="3866" max="3866" width="10.875" style="3283" customWidth="1"/>
    <col min="3867" max="3867" width="9.25" style="3283" customWidth="1"/>
    <col min="3868" max="3868" width="9" style="3283" customWidth="1"/>
    <col min="3869" max="3869" width="12.5" style="3283" customWidth="1"/>
    <col min="3870" max="3870" width="9.375" style="3283" customWidth="1"/>
    <col min="3871" max="3871" width="25.875" style="3283" customWidth="1"/>
    <col min="3872" max="3872" width="19.25" style="3283" customWidth="1"/>
    <col min="3873" max="3873" width="11.75" style="3283" customWidth="1"/>
    <col min="3874" max="3874" width="11.375" style="3283" customWidth="1"/>
    <col min="3875" max="3875" width="10.75" style="3283" customWidth="1"/>
    <col min="3876" max="3876" width="11" style="3283" customWidth="1"/>
    <col min="3877" max="3877" width="8.25" style="3283" customWidth="1"/>
    <col min="3878" max="3878" width="8.625" style="3283" customWidth="1"/>
    <col min="3879" max="3879" width="22.875" style="3283" customWidth="1"/>
    <col min="3880" max="3881" width="13.25" style="3283" customWidth="1"/>
    <col min="3882" max="3882" width="16.5" style="3283" customWidth="1"/>
    <col min="3883" max="3883" width="19.25" style="3283" customWidth="1"/>
    <col min="3884" max="3884" width="10.75" style="3283" customWidth="1"/>
    <col min="3885" max="3885" width="11.625" style="3283" customWidth="1"/>
    <col min="3886" max="3887" width="9.625" style="3283" customWidth="1"/>
    <col min="3888" max="3888" width="8.375" style="3283" customWidth="1"/>
    <col min="3889" max="3889" width="13" style="3283" customWidth="1"/>
    <col min="3890" max="3890" width="13.875" style="3283" customWidth="1"/>
    <col min="3891" max="3891" width="13.375" style="3283" customWidth="1"/>
    <col min="3892" max="3892" width="10.875" style="3283" customWidth="1"/>
    <col min="3893" max="3895" width="9" style="3283" customWidth="1"/>
    <col min="3896" max="3896" width="11.625" style="3283" customWidth="1"/>
    <col min="3897" max="3897" width="17.625" style="3283" customWidth="1"/>
    <col min="3898" max="3898" width="9" style="3283" customWidth="1"/>
    <col min="3899" max="3901" width="9" style="3283"/>
    <col min="3902" max="3902" width="36.625" style="3283" customWidth="1"/>
    <col min="3903" max="4096" width="9" style="3283"/>
    <col min="4097" max="4097" width="5" style="3283" customWidth="1"/>
    <col min="4098" max="4098" width="20.5" style="3283" customWidth="1"/>
    <col min="4099" max="4099" width="9.625" style="3283" customWidth="1"/>
    <col min="4100" max="4100" width="21" style="3283" customWidth="1"/>
    <col min="4101" max="4101" width="11" style="3283" customWidth="1"/>
    <col min="4102" max="4102" width="12.625" style="3283" customWidth="1"/>
    <col min="4103" max="4104" width="10.625" style="3283" customWidth="1"/>
    <col min="4105" max="4105" width="13.875" style="3283" customWidth="1"/>
    <col min="4106" max="4106" width="12.375" style="3283" customWidth="1"/>
    <col min="4107" max="4107" width="9.25" style="3283" customWidth="1"/>
    <col min="4108" max="4109" width="13.125" style="3283" customWidth="1"/>
    <col min="4110" max="4110" width="13" style="3283" customWidth="1"/>
    <col min="4111" max="4111" width="14.125" style="3283" customWidth="1"/>
    <col min="4112" max="4112" width="12.25" style="3283" customWidth="1"/>
    <col min="4113" max="4113" width="11.375" style="3283" customWidth="1"/>
    <col min="4114" max="4114" width="14.5" style="3283" customWidth="1"/>
    <col min="4115" max="4117" width="12.375" style="3283" customWidth="1"/>
    <col min="4118" max="4118" width="12.5" style="3283" customWidth="1"/>
    <col min="4119" max="4119" width="10.625" style="3283" customWidth="1"/>
    <col min="4120" max="4120" width="12.625" style="3283" customWidth="1"/>
    <col min="4121" max="4121" width="12.875" style="3283" customWidth="1"/>
    <col min="4122" max="4122" width="10.875" style="3283" customWidth="1"/>
    <col min="4123" max="4123" width="9.25" style="3283" customWidth="1"/>
    <col min="4124" max="4124" width="9" style="3283" customWidth="1"/>
    <col min="4125" max="4125" width="12.5" style="3283" customWidth="1"/>
    <col min="4126" max="4126" width="9.375" style="3283" customWidth="1"/>
    <col min="4127" max="4127" width="25.875" style="3283" customWidth="1"/>
    <col min="4128" max="4128" width="19.25" style="3283" customWidth="1"/>
    <col min="4129" max="4129" width="11.75" style="3283" customWidth="1"/>
    <col min="4130" max="4130" width="11.375" style="3283" customWidth="1"/>
    <col min="4131" max="4131" width="10.75" style="3283" customWidth="1"/>
    <col min="4132" max="4132" width="11" style="3283" customWidth="1"/>
    <col min="4133" max="4133" width="8.25" style="3283" customWidth="1"/>
    <col min="4134" max="4134" width="8.625" style="3283" customWidth="1"/>
    <col min="4135" max="4135" width="22.875" style="3283" customWidth="1"/>
    <col min="4136" max="4137" width="13.25" style="3283" customWidth="1"/>
    <col min="4138" max="4138" width="16.5" style="3283" customWidth="1"/>
    <col min="4139" max="4139" width="19.25" style="3283" customWidth="1"/>
    <col min="4140" max="4140" width="10.75" style="3283" customWidth="1"/>
    <col min="4141" max="4141" width="11.625" style="3283" customWidth="1"/>
    <col min="4142" max="4143" width="9.625" style="3283" customWidth="1"/>
    <col min="4144" max="4144" width="8.375" style="3283" customWidth="1"/>
    <col min="4145" max="4145" width="13" style="3283" customWidth="1"/>
    <col min="4146" max="4146" width="13.875" style="3283" customWidth="1"/>
    <col min="4147" max="4147" width="13.375" style="3283" customWidth="1"/>
    <col min="4148" max="4148" width="10.875" style="3283" customWidth="1"/>
    <col min="4149" max="4151" width="9" style="3283" customWidth="1"/>
    <col min="4152" max="4152" width="11.625" style="3283" customWidth="1"/>
    <col min="4153" max="4153" width="17.625" style="3283" customWidth="1"/>
    <col min="4154" max="4154" width="9" style="3283" customWidth="1"/>
    <col min="4155" max="4157" width="9" style="3283"/>
    <col min="4158" max="4158" width="36.625" style="3283" customWidth="1"/>
    <col min="4159" max="4352" width="9" style="3283"/>
    <col min="4353" max="4353" width="5" style="3283" customWidth="1"/>
    <col min="4354" max="4354" width="20.5" style="3283" customWidth="1"/>
    <col min="4355" max="4355" width="9.625" style="3283" customWidth="1"/>
    <col min="4356" max="4356" width="21" style="3283" customWidth="1"/>
    <col min="4357" max="4357" width="11" style="3283" customWidth="1"/>
    <col min="4358" max="4358" width="12.625" style="3283" customWidth="1"/>
    <col min="4359" max="4360" width="10.625" style="3283" customWidth="1"/>
    <col min="4361" max="4361" width="13.875" style="3283" customWidth="1"/>
    <col min="4362" max="4362" width="12.375" style="3283" customWidth="1"/>
    <col min="4363" max="4363" width="9.25" style="3283" customWidth="1"/>
    <col min="4364" max="4365" width="13.125" style="3283" customWidth="1"/>
    <col min="4366" max="4366" width="13" style="3283" customWidth="1"/>
    <col min="4367" max="4367" width="14.125" style="3283" customWidth="1"/>
    <col min="4368" max="4368" width="12.25" style="3283" customWidth="1"/>
    <col min="4369" max="4369" width="11.375" style="3283" customWidth="1"/>
    <col min="4370" max="4370" width="14.5" style="3283" customWidth="1"/>
    <col min="4371" max="4373" width="12.375" style="3283" customWidth="1"/>
    <col min="4374" max="4374" width="12.5" style="3283" customWidth="1"/>
    <col min="4375" max="4375" width="10.625" style="3283" customWidth="1"/>
    <col min="4376" max="4376" width="12.625" style="3283" customWidth="1"/>
    <col min="4377" max="4377" width="12.875" style="3283" customWidth="1"/>
    <col min="4378" max="4378" width="10.875" style="3283" customWidth="1"/>
    <col min="4379" max="4379" width="9.25" style="3283" customWidth="1"/>
    <col min="4380" max="4380" width="9" style="3283" customWidth="1"/>
    <col min="4381" max="4381" width="12.5" style="3283" customWidth="1"/>
    <col min="4382" max="4382" width="9.375" style="3283" customWidth="1"/>
    <col min="4383" max="4383" width="25.875" style="3283" customWidth="1"/>
    <col min="4384" max="4384" width="19.25" style="3283" customWidth="1"/>
    <col min="4385" max="4385" width="11.75" style="3283" customWidth="1"/>
    <col min="4386" max="4386" width="11.375" style="3283" customWidth="1"/>
    <col min="4387" max="4387" width="10.75" style="3283" customWidth="1"/>
    <col min="4388" max="4388" width="11" style="3283" customWidth="1"/>
    <col min="4389" max="4389" width="8.25" style="3283" customWidth="1"/>
    <col min="4390" max="4390" width="8.625" style="3283" customWidth="1"/>
    <col min="4391" max="4391" width="22.875" style="3283" customWidth="1"/>
    <col min="4392" max="4393" width="13.25" style="3283" customWidth="1"/>
    <col min="4394" max="4394" width="16.5" style="3283" customWidth="1"/>
    <col min="4395" max="4395" width="19.25" style="3283" customWidth="1"/>
    <col min="4396" max="4396" width="10.75" style="3283" customWidth="1"/>
    <col min="4397" max="4397" width="11.625" style="3283" customWidth="1"/>
    <col min="4398" max="4399" width="9.625" style="3283" customWidth="1"/>
    <col min="4400" max="4400" width="8.375" style="3283" customWidth="1"/>
    <col min="4401" max="4401" width="13" style="3283" customWidth="1"/>
    <col min="4402" max="4402" width="13.875" style="3283" customWidth="1"/>
    <col min="4403" max="4403" width="13.375" style="3283" customWidth="1"/>
    <col min="4404" max="4404" width="10.875" style="3283" customWidth="1"/>
    <col min="4405" max="4407" width="9" style="3283" customWidth="1"/>
    <col min="4408" max="4408" width="11.625" style="3283" customWidth="1"/>
    <col min="4409" max="4409" width="17.625" style="3283" customWidth="1"/>
    <col min="4410" max="4410" width="9" style="3283" customWidth="1"/>
    <col min="4411" max="4413" width="9" style="3283"/>
    <col min="4414" max="4414" width="36.625" style="3283" customWidth="1"/>
    <col min="4415" max="4608" width="9" style="3283"/>
    <col min="4609" max="4609" width="5" style="3283" customWidth="1"/>
    <col min="4610" max="4610" width="20.5" style="3283" customWidth="1"/>
    <col min="4611" max="4611" width="9.625" style="3283" customWidth="1"/>
    <col min="4612" max="4612" width="21" style="3283" customWidth="1"/>
    <col min="4613" max="4613" width="11" style="3283" customWidth="1"/>
    <col min="4614" max="4614" width="12.625" style="3283" customWidth="1"/>
    <col min="4615" max="4616" width="10.625" style="3283" customWidth="1"/>
    <col min="4617" max="4617" width="13.875" style="3283" customWidth="1"/>
    <col min="4618" max="4618" width="12.375" style="3283" customWidth="1"/>
    <col min="4619" max="4619" width="9.25" style="3283" customWidth="1"/>
    <col min="4620" max="4621" width="13.125" style="3283" customWidth="1"/>
    <col min="4622" max="4622" width="13" style="3283" customWidth="1"/>
    <col min="4623" max="4623" width="14.125" style="3283" customWidth="1"/>
    <col min="4624" max="4624" width="12.25" style="3283" customWidth="1"/>
    <col min="4625" max="4625" width="11.375" style="3283" customWidth="1"/>
    <col min="4626" max="4626" width="14.5" style="3283" customWidth="1"/>
    <col min="4627" max="4629" width="12.375" style="3283" customWidth="1"/>
    <col min="4630" max="4630" width="12.5" style="3283" customWidth="1"/>
    <col min="4631" max="4631" width="10.625" style="3283" customWidth="1"/>
    <col min="4632" max="4632" width="12.625" style="3283" customWidth="1"/>
    <col min="4633" max="4633" width="12.875" style="3283" customWidth="1"/>
    <col min="4634" max="4634" width="10.875" style="3283" customWidth="1"/>
    <col min="4635" max="4635" width="9.25" style="3283" customWidth="1"/>
    <col min="4636" max="4636" width="9" style="3283" customWidth="1"/>
    <col min="4637" max="4637" width="12.5" style="3283" customWidth="1"/>
    <col min="4638" max="4638" width="9.375" style="3283" customWidth="1"/>
    <col min="4639" max="4639" width="25.875" style="3283" customWidth="1"/>
    <col min="4640" max="4640" width="19.25" style="3283" customWidth="1"/>
    <col min="4641" max="4641" width="11.75" style="3283" customWidth="1"/>
    <col min="4642" max="4642" width="11.375" style="3283" customWidth="1"/>
    <col min="4643" max="4643" width="10.75" style="3283" customWidth="1"/>
    <col min="4644" max="4644" width="11" style="3283" customWidth="1"/>
    <col min="4645" max="4645" width="8.25" style="3283" customWidth="1"/>
    <col min="4646" max="4646" width="8.625" style="3283" customWidth="1"/>
    <col min="4647" max="4647" width="22.875" style="3283" customWidth="1"/>
    <col min="4648" max="4649" width="13.25" style="3283" customWidth="1"/>
    <col min="4650" max="4650" width="16.5" style="3283" customWidth="1"/>
    <col min="4651" max="4651" width="19.25" style="3283" customWidth="1"/>
    <col min="4652" max="4652" width="10.75" style="3283" customWidth="1"/>
    <col min="4653" max="4653" width="11.625" style="3283" customWidth="1"/>
    <col min="4654" max="4655" width="9.625" style="3283" customWidth="1"/>
    <col min="4656" max="4656" width="8.375" style="3283" customWidth="1"/>
    <col min="4657" max="4657" width="13" style="3283" customWidth="1"/>
    <col min="4658" max="4658" width="13.875" style="3283" customWidth="1"/>
    <col min="4659" max="4659" width="13.375" style="3283" customWidth="1"/>
    <col min="4660" max="4660" width="10.875" style="3283" customWidth="1"/>
    <col min="4661" max="4663" width="9" style="3283" customWidth="1"/>
    <col min="4664" max="4664" width="11.625" style="3283" customWidth="1"/>
    <col min="4665" max="4665" width="17.625" style="3283" customWidth="1"/>
    <col min="4666" max="4666" width="9" style="3283" customWidth="1"/>
    <col min="4667" max="4669" width="9" style="3283"/>
    <col min="4670" max="4670" width="36.625" style="3283" customWidth="1"/>
    <col min="4671" max="4864" width="9" style="3283"/>
    <col min="4865" max="4865" width="5" style="3283" customWidth="1"/>
    <col min="4866" max="4866" width="20.5" style="3283" customWidth="1"/>
    <col min="4867" max="4867" width="9.625" style="3283" customWidth="1"/>
    <col min="4868" max="4868" width="21" style="3283" customWidth="1"/>
    <col min="4869" max="4869" width="11" style="3283" customWidth="1"/>
    <col min="4870" max="4870" width="12.625" style="3283" customWidth="1"/>
    <col min="4871" max="4872" width="10.625" style="3283" customWidth="1"/>
    <col min="4873" max="4873" width="13.875" style="3283" customWidth="1"/>
    <col min="4874" max="4874" width="12.375" style="3283" customWidth="1"/>
    <col min="4875" max="4875" width="9.25" style="3283" customWidth="1"/>
    <col min="4876" max="4877" width="13.125" style="3283" customWidth="1"/>
    <col min="4878" max="4878" width="13" style="3283" customWidth="1"/>
    <col min="4879" max="4879" width="14.125" style="3283" customWidth="1"/>
    <col min="4880" max="4880" width="12.25" style="3283" customWidth="1"/>
    <col min="4881" max="4881" width="11.375" style="3283" customWidth="1"/>
    <col min="4882" max="4882" width="14.5" style="3283" customWidth="1"/>
    <col min="4883" max="4885" width="12.375" style="3283" customWidth="1"/>
    <col min="4886" max="4886" width="12.5" style="3283" customWidth="1"/>
    <col min="4887" max="4887" width="10.625" style="3283" customWidth="1"/>
    <col min="4888" max="4888" width="12.625" style="3283" customWidth="1"/>
    <col min="4889" max="4889" width="12.875" style="3283" customWidth="1"/>
    <col min="4890" max="4890" width="10.875" style="3283" customWidth="1"/>
    <col min="4891" max="4891" width="9.25" style="3283" customWidth="1"/>
    <col min="4892" max="4892" width="9" style="3283" customWidth="1"/>
    <col min="4893" max="4893" width="12.5" style="3283" customWidth="1"/>
    <col min="4894" max="4894" width="9.375" style="3283" customWidth="1"/>
    <col min="4895" max="4895" width="25.875" style="3283" customWidth="1"/>
    <col min="4896" max="4896" width="19.25" style="3283" customWidth="1"/>
    <col min="4897" max="4897" width="11.75" style="3283" customWidth="1"/>
    <col min="4898" max="4898" width="11.375" style="3283" customWidth="1"/>
    <col min="4899" max="4899" width="10.75" style="3283" customWidth="1"/>
    <col min="4900" max="4900" width="11" style="3283" customWidth="1"/>
    <col min="4901" max="4901" width="8.25" style="3283" customWidth="1"/>
    <col min="4902" max="4902" width="8.625" style="3283" customWidth="1"/>
    <col min="4903" max="4903" width="22.875" style="3283" customWidth="1"/>
    <col min="4904" max="4905" width="13.25" style="3283" customWidth="1"/>
    <col min="4906" max="4906" width="16.5" style="3283" customWidth="1"/>
    <col min="4907" max="4907" width="19.25" style="3283" customWidth="1"/>
    <col min="4908" max="4908" width="10.75" style="3283" customWidth="1"/>
    <col min="4909" max="4909" width="11.625" style="3283" customWidth="1"/>
    <col min="4910" max="4911" width="9.625" style="3283" customWidth="1"/>
    <col min="4912" max="4912" width="8.375" style="3283" customWidth="1"/>
    <col min="4913" max="4913" width="13" style="3283" customWidth="1"/>
    <col min="4914" max="4914" width="13.875" style="3283" customWidth="1"/>
    <col min="4915" max="4915" width="13.375" style="3283" customWidth="1"/>
    <col min="4916" max="4916" width="10.875" style="3283" customWidth="1"/>
    <col min="4917" max="4919" width="9" style="3283" customWidth="1"/>
    <col min="4920" max="4920" width="11.625" style="3283" customWidth="1"/>
    <col min="4921" max="4921" width="17.625" style="3283" customWidth="1"/>
    <col min="4922" max="4922" width="9" style="3283" customWidth="1"/>
    <col min="4923" max="4925" width="9" style="3283"/>
    <col min="4926" max="4926" width="36.625" style="3283" customWidth="1"/>
    <col min="4927" max="5120" width="9" style="3283"/>
    <col min="5121" max="5121" width="5" style="3283" customWidth="1"/>
    <col min="5122" max="5122" width="20.5" style="3283" customWidth="1"/>
    <col min="5123" max="5123" width="9.625" style="3283" customWidth="1"/>
    <col min="5124" max="5124" width="21" style="3283" customWidth="1"/>
    <col min="5125" max="5125" width="11" style="3283" customWidth="1"/>
    <col min="5126" max="5126" width="12.625" style="3283" customWidth="1"/>
    <col min="5127" max="5128" width="10.625" style="3283" customWidth="1"/>
    <col min="5129" max="5129" width="13.875" style="3283" customWidth="1"/>
    <col min="5130" max="5130" width="12.375" style="3283" customWidth="1"/>
    <col min="5131" max="5131" width="9.25" style="3283" customWidth="1"/>
    <col min="5132" max="5133" width="13.125" style="3283" customWidth="1"/>
    <col min="5134" max="5134" width="13" style="3283" customWidth="1"/>
    <col min="5135" max="5135" width="14.125" style="3283" customWidth="1"/>
    <col min="5136" max="5136" width="12.25" style="3283" customWidth="1"/>
    <col min="5137" max="5137" width="11.375" style="3283" customWidth="1"/>
    <col min="5138" max="5138" width="14.5" style="3283" customWidth="1"/>
    <col min="5139" max="5141" width="12.375" style="3283" customWidth="1"/>
    <col min="5142" max="5142" width="12.5" style="3283" customWidth="1"/>
    <col min="5143" max="5143" width="10.625" style="3283" customWidth="1"/>
    <col min="5144" max="5144" width="12.625" style="3283" customWidth="1"/>
    <col min="5145" max="5145" width="12.875" style="3283" customWidth="1"/>
    <col min="5146" max="5146" width="10.875" style="3283" customWidth="1"/>
    <col min="5147" max="5147" width="9.25" style="3283" customWidth="1"/>
    <col min="5148" max="5148" width="9" style="3283" customWidth="1"/>
    <col min="5149" max="5149" width="12.5" style="3283" customWidth="1"/>
    <col min="5150" max="5150" width="9.375" style="3283" customWidth="1"/>
    <col min="5151" max="5151" width="25.875" style="3283" customWidth="1"/>
    <col min="5152" max="5152" width="19.25" style="3283" customWidth="1"/>
    <col min="5153" max="5153" width="11.75" style="3283" customWidth="1"/>
    <col min="5154" max="5154" width="11.375" style="3283" customWidth="1"/>
    <col min="5155" max="5155" width="10.75" style="3283" customWidth="1"/>
    <col min="5156" max="5156" width="11" style="3283" customWidth="1"/>
    <col min="5157" max="5157" width="8.25" style="3283" customWidth="1"/>
    <col min="5158" max="5158" width="8.625" style="3283" customWidth="1"/>
    <col min="5159" max="5159" width="22.875" style="3283" customWidth="1"/>
    <col min="5160" max="5161" width="13.25" style="3283" customWidth="1"/>
    <col min="5162" max="5162" width="16.5" style="3283" customWidth="1"/>
    <col min="5163" max="5163" width="19.25" style="3283" customWidth="1"/>
    <col min="5164" max="5164" width="10.75" style="3283" customWidth="1"/>
    <col min="5165" max="5165" width="11.625" style="3283" customWidth="1"/>
    <col min="5166" max="5167" width="9.625" style="3283" customWidth="1"/>
    <col min="5168" max="5168" width="8.375" style="3283" customWidth="1"/>
    <col min="5169" max="5169" width="13" style="3283" customWidth="1"/>
    <col min="5170" max="5170" width="13.875" style="3283" customWidth="1"/>
    <col min="5171" max="5171" width="13.375" style="3283" customWidth="1"/>
    <col min="5172" max="5172" width="10.875" style="3283" customWidth="1"/>
    <col min="5173" max="5175" width="9" style="3283" customWidth="1"/>
    <col min="5176" max="5176" width="11.625" style="3283" customWidth="1"/>
    <col min="5177" max="5177" width="17.625" style="3283" customWidth="1"/>
    <col min="5178" max="5178" width="9" style="3283" customWidth="1"/>
    <col min="5179" max="5181" width="9" style="3283"/>
    <col min="5182" max="5182" width="36.625" style="3283" customWidth="1"/>
    <col min="5183" max="5376" width="9" style="3283"/>
    <col min="5377" max="5377" width="5" style="3283" customWidth="1"/>
    <col min="5378" max="5378" width="20.5" style="3283" customWidth="1"/>
    <col min="5379" max="5379" width="9.625" style="3283" customWidth="1"/>
    <col min="5380" max="5380" width="21" style="3283" customWidth="1"/>
    <col min="5381" max="5381" width="11" style="3283" customWidth="1"/>
    <col min="5382" max="5382" width="12.625" style="3283" customWidth="1"/>
    <col min="5383" max="5384" width="10.625" style="3283" customWidth="1"/>
    <col min="5385" max="5385" width="13.875" style="3283" customWidth="1"/>
    <col min="5386" max="5386" width="12.375" style="3283" customWidth="1"/>
    <col min="5387" max="5387" width="9.25" style="3283" customWidth="1"/>
    <col min="5388" max="5389" width="13.125" style="3283" customWidth="1"/>
    <col min="5390" max="5390" width="13" style="3283" customWidth="1"/>
    <col min="5391" max="5391" width="14.125" style="3283" customWidth="1"/>
    <col min="5392" max="5392" width="12.25" style="3283" customWidth="1"/>
    <col min="5393" max="5393" width="11.375" style="3283" customWidth="1"/>
    <col min="5394" max="5394" width="14.5" style="3283" customWidth="1"/>
    <col min="5395" max="5397" width="12.375" style="3283" customWidth="1"/>
    <col min="5398" max="5398" width="12.5" style="3283" customWidth="1"/>
    <col min="5399" max="5399" width="10.625" style="3283" customWidth="1"/>
    <col min="5400" max="5400" width="12.625" style="3283" customWidth="1"/>
    <col min="5401" max="5401" width="12.875" style="3283" customWidth="1"/>
    <col min="5402" max="5402" width="10.875" style="3283" customWidth="1"/>
    <col min="5403" max="5403" width="9.25" style="3283" customWidth="1"/>
    <col min="5404" max="5404" width="9" style="3283" customWidth="1"/>
    <col min="5405" max="5405" width="12.5" style="3283" customWidth="1"/>
    <col min="5406" max="5406" width="9.375" style="3283" customWidth="1"/>
    <col min="5407" max="5407" width="25.875" style="3283" customWidth="1"/>
    <col min="5408" max="5408" width="19.25" style="3283" customWidth="1"/>
    <col min="5409" max="5409" width="11.75" style="3283" customWidth="1"/>
    <col min="5410" max="5410" width="11.375" style="3283" customWidth="1"/>
    <col min="5411" max="5411" width="10.75" style="3283" customWidth="1"/>
    <col min="5412" max="5412" width="11" style="3283" customWidth="1"/>
    <col min="5413" max="5413" width="8.25" style="3283" customWidth="1"/>
    <col min="5414" max="5414" width="8.625" style="3283" customWidth="1"/>
    <col min="5415" max="5415" width="22.875" style="3283" customWidth="1"/>
    <col min="5416" max="5417" width="13.25" style="3283" customWidth="1"/>
    <col min="5418" max="5418" width="16.5" style="3283" customWidth="1"/>
    <col min="5419" max="5419" width="19.25" style="3283" customWidth="1"/>
    <col min="5420" max="5420" width="10.75" style="3283" customWidth="1"/>
    <col min="5421" max="5421" width="11.625" style="3283" customWidth="1"/>
    <col min="5422" max="5423" width="9.625" style="3283" customWidth="1"/>
    <col min="5424" max="5424" width="8.375" style="3283" customWidth="1"/>
    <col min="5425" max="5425" width="13" style="3283" customWidth="1"/>
    <col min="5426" max="5426" width="13.875" style="3283" customWidth="1"/>
    <col min="5427" max="5427" width="13.375" style="3283" customWidth="1"/>
    <col min="5428" max="5428" width="10.875" style="3283" customWidth="1"/>
    <col min="5429" max="5431" width="9" style="3283" customWidth="1"/>
    <col min="5432" max="5432" width="11.625" style="3283" customWidth="1"/>
    <col min="5433" max="5433" width="17.625" style="3283" customWidth="1"/>
    <col min="5434" max="5434" width="9" style="3283" customWidth="1"/>
    <col min="5435" max="5437" width="9" style="3283"/>
    <col min="5438" max="5438" width="36.625" style="3283" customWidth="1"/>
    <col min="5439" max="5632" width="9" style="3283"/>
    <col min="5633" max="5633" width="5" style="3283" customWidth="1"/>
    <col min="5634" max="5634" width="20.5" style="3283" customWidth="1"/>
    <col min="5635" max="5635" width="9.625" style="3283" customWidth="1"/>
    <col min="5636" max="5636" width="21" style="3283" customWidth="1"/>
    <col min="5637" max="5637" width="11" style="3283" customWidth="1"/>
    <col min="5638" max="5638" width="12.625" style="3283" customWidth="1"/>
    <col min="5639" max="5640" width="10.625" style="3283" customWidth="1"/>
    <col min="5641" max="5641" width="13.875" style="3283" customWidth="1"/>
    <col min="5642" max="5642" width="12.375" style="3283" customWidth="1"/>
    <col min="5643" max="5643" width="9.25" style="3283" customWidth="1"/>
    <col min="5644" max="5645" width="13.125" style="3283" customWidth="1"/>
    <col min="5646" max="5646" width="13" style="3283" customWidth="1"/>
    <col min="5647" max="5647" width="14.125" style="3283" customWidth="1"/>
    <col min="5648" max="5648" width="12.25" style="3283" customWidth="1"/>
    <col min="5649" max="5649" width="11.375" style="3283" customWidth="1"/>
    <col min="5650" max="5650" width="14.5" style="3283" customWidth="1"/>
    <col min="5651" max="5653" width="12.375" style="3283" customWidth="1"/>
    <col min="5654" max="5654" width="12.5" style="3283" customWidth="1"/>
    <col min="5655" max="5655" width="10.625" style="3283" customWidth="1"/>
    <col min="5656" max="5656" width="12.625" style="3283" customWidth="1"/>
    <col min="5657" max="5657" width="12.875" style="3283" customWidth="1"/>
    <col min="5658" max="5658" width="10.875" style="3283" customWidth="1"/>
    <col min="5659" max="5659" width="9.25" style="3283" customWidth="1"/>
    <col min="5660" max="5660" width="9" style="3283" customWidth="1"/>
    <col min="5661" max="5661" width="12.5" style="3283" customWidth="1"/>
    <col min="5662" max="5662" width="9.375" style="3283" customWidth="1"/>
    <col min="5663" max="5663" width="25.875" style="3283" customWidth="1"/>
    <col min="5664" max="5664" width="19.25" style="3283" customWidth="1"/>
    <col min="5665" max="5665" width="11.75" style="3283" customWidth="1"/>
    <col min="5666" max="5666" width="11.375" style="3283" customWidth="1"/>
    <col min="5667" max="5667" width="10.75" style="3283" customWidth="1"/>
    <col min="5668" max="5668" width="11" style="3283" customWidth="1"/>
    <col min="5669" max="5669" width="8.25" style="3283" customWidth="1"/>
    <col min="5670" max="5670" width="8.625" style="3283" customWidth="1"/>
    <col min="5671" max="5671" width="22.875" style="3283" customWidth="1"/>
    <col min="5672" max="5673" width="13.25" style="3283" customWidth="1"/>
    <col min="5674" max="5674" width="16.5" style="3283" customWidth="1"/>
    <col min="5675" max="5675" width="19.25" style="3283" customWidth="1"/>
    <col min="5676" max="5676" width="10.75" style="3283" customWidth="1"/>
    <col min="5677" max="5677" width="11.625" style="3283" customWidth="1"/>
    <col min="5678" max="5679" width="9.625" style="3283" customWidth="1"/>
    <col min="5680" max="5680" width="8.375" style="3283" customWidth="1"/>
    <col min="5681" max="5681" width="13" style="3283" customWidth="1"/>
    <col min="5682" max="5682" width="13.875" style="3283" customWidth="1"/>
    <col min="5683" max="5683" width="13.375" style="3283" customWidth="1"/>
    <col min="5684" max="5684" width="10.875" style="3283" customWidth="1"/>
    <col min="5685" max="5687" width="9" style="3283" customWidth="1"/>
    <col min="5688" max="5688" width="11.625" style="3283" customWidth="1"/>
    <col min="5689" max="5689" width="17.625" style="3283" customWidth="1"/>
    <col min="5690" max="5690" width="9" style="3283" customWidth="1"/>
    <col min="5691" max="5693" width="9" style="3283"/>
    <col min="5694" max="5694" width="36.625" style="3283" customWidth="1"/>
    <col min="5695" max="5888" width="9" style="3283"/>
    <col min="5889" max="5889" width="5" style="3283" customWidth="1"/>
    <col min="5890" max="5890" width="20.5" style="3283" customWidth="1"/>
    <col min="5891" max="5891" width="9.625" style="3283" customWidth="1"/>
    <col min="5892" max="5892" width="21" style="3283" customWidth="1"/>
    <col min="5893" max="5893" width="11" style="3283" customWidth="1"/>
    <col min="5894" max="5894" width="12.625" style="3283" customWidth="1"/>
    <col min="5895" max="5896" width="10.625" style="3283" customWidth="1"/>
    <col min="5897" max="5897" width="13.875" style="3283" customWidth="1"/>
    <col min="5898" max="5898" width="12.375" style="3283" customWidth="1"/>
    <col min="5899" max="5899" width="9.25" style="3283" customWidth="1"/>
    <col min="5900" max="5901" width="13.125" style="3283" customWidth="1"/>
    <col min="5902" max="5902" width="13" style="3283" customWidth="1"/>
    <col min="5903" max="5903" width="14.125" style="3283" customWidth="1"/>
    <col min="5904" max="5904" width="12.25" style="3283" customWidth="1"/>
    <col min="5905" max="5905" width="11.375" style="3283" customWidth="1"/>
    <col min="5906" max="5906" width="14.5" style="3283" customWidth="1"/>
    <col min="5907" max="5909" width="12.375" style="3283" customWidth="1"/>
    <col min="5910" max="5910" width="12.5" style="3283" customWidth="1"/>
    <col min="5911" max="5911" width="10.625" style="3283" customWidth="1"/>
    <col min="5912" max="5912" width="12.625" style="3283" customWidth="1"/>
    <col min="5913" max="5913" width="12.875" style="3283" customWidth="1"/>
    <col min="5914" max="5914" width="10.875" style="3283" customWidth="1"/>
    <col min="5915" max="5915" width="9.25" style="3283" customWidth="1"/>
    <col min="5916" max="5916" width="9" style="3283" customWidth="1"/>
    <col min="5917" max="5917" width="12.5" style="3283" customWidth="1"/>
    <col min="5918" max="5918" width="9.375" style="3283" customWidth="1"/>
    <col min="5919" max="5919" width="25.875" style="3283" customWidth="1"/>
    <col min="5920" max="5920" width="19.25" style="3283" customWidth="1"/>
    <col min="5921" max="5921" width="11.75" style="3283" customWidth="1"/>
    <col min="5922" max="5922" width="11.375" style="3283" customWidth="1"/>
    <col min="5923" max="5923" width="10.75" style="3283" customWidth="1"/>
    <col min="5924" max="5924" width="11" style="3283" customWidth="1"/>
    <col min="5925" max="5925" width="8.25" style="3283" customWidth="1"/>
    <col min="5926" max="5926" width="8.625" style="3283" customWidth="1"/>
    <col min="5927" max="5927" width="22.875" style="3283" customWidth="1"/>
    <col min="5928" max="5929" width="13.25" style="3283" customWidth="1"/>
    <col min="5930" max="5930" width="16.5" style="3283" customWidth="1"/>
    <col min="5931" max="5931" width="19.25" style="3283" customWidth="1"/>
    <col min="5932" max="5932" width="10.75" style="3283" customWidth="1"/>
    <col min="5933" max="5933" width="11.625" style="3283" customWidth="1"/>
    <col min="5934" max="5935" width="9.625" style="3283" customWidth="1"/>
    <col min="5936" max="5936" width="8.375" style="3283" customWidth="1"/>
    <col min="5937" max="5937" width="13" style="3283" customWidth="1"/>
    <col min="5938" max="5938" width="13.875" style="3283" customWidth="1"/>
    <col min="5939" max="5939" width="13.375" style="3283" customWidth="1"/>
    <col min="5940" max="5940" width="10.875" style="3283" customWidth="1"/>
    <col min="5941" max="5943" width="9" style="3283" customWidth="1"/>
    <col min="5944" max="5944" width="11.625" style="3283" customWidth="1"/>
    <col min="5945" max="5945" width="17.625" style="3283" customWidth="1"/>
    <col min="5946" max="5946" width="9" style="3283" customWidth="1"/>
    <col min="5947" max="5949" width="9" style="3283"/>
    <col min="5950" max="5950" width="36.625" style="3283" customWidth="1"/>
    <col min="5951" max="6144" width="9" style="3283"/>
    <col min="6145" max="6145" width="5" style="3283" customWidth="1"/>
    <col min="6146" max="6146" width="20.5" style="3283" customWidth="1"/>
    <col min="6147" max="6147" width="9.625" style="3283" customWidth="1"/>
    <col min="6148" max="6148" width="21" style="3283" customWidth="1"/>
    <col min="6149" max="6149" width="11" style="3283" customWidth="1"/>
    <col min="6150" max="6150" width="12.625" style="3283" customWidth="1"/>
    <col min="6151" max="6152" width="10.625" style="3283" customWidth="1"/>
    <col min="6153" max="6153" width="13.875" style="3283" customWidth="1"/>
    <col min="6154" max="6154" width="12.375" style="3283" customWidth="1"/>
    <col min="6155" max="6155" width="9.25" style="3283" customWidth="1"/>
    <col min="6156" max="6157" width="13.125" style="3283" customWidth="1"/>
    <col min="6158" max="6158" width="13" style="3283" customWidth="1"/>
    <col min="6159" max="6159" width="14.125" style="3283" customWidth="1"/>
    <col min="6160" max="6160" width="12.25" style="3283" customWidth="1"/>
    <col min="6161" max="6161" width="11.375" style="3283" customWidth="1"/>
    <col min="6162" max="6162" width="14.5" style="3283" customWidth="1"/>
    <col min="6163" max="6165" width="12.375" style="3283" customWidth="1"/>
    <col min="6166" max="6166" width="12.5" style="3283" customWidth="1"/>
    <col min="6167" max="6167" width="10.625" style="3283" customWidth="1"/>
    <col min="6168" max="6168" width="12.625" style="3283" customWidth="1"/>
    <col min="6169" max="6169" width="12.875" style="3283" customWidth="1"/>
    <col min="6170" max="6170" width="10.875" style="3283" customWidth="1"/>
    <col min="6171" max="6171" width="9.25" style="3283" customWidth="1"/>
    <col min="6172" max="6172" width="9" style="3283" customWidth="1"/>
    <col min="6173" max="6173" width="12.5" style="3283" customWidth="1"/>
    <col min="6174" max="6174" width="9.375" style="3283" customWidth="1"/>
    <col min="6175" max="6175" width="25.875" style="3283" customWidth="1"/>
    <col min="6176" max="6176" width="19.25" style="3283" customWidth="1"/>
    <col min="6177" max="6177" width="11.75" style="3283" customWidth="1"/>
    <col min="6178" max="6178" width="11.375" style="3283" customWidth="1"/>
    <col min="6179" max="6179" width="10.75" style="3283" customWidth="1"/>
    <col min="6180" max="6180" width="11" style="3283" customWidth="1"/>
    <col min="6181" max="6181" width="8.25" style="3283" customWidth="1"/>
    <col min="6182" max="6182" width="8.625" style="3283" customWidth="1"/>
    <col min="6183" max="6183" width="22.875" style="3283" customWidth="1"/>
    <col min="6184" max="6185" width="13.25" style="3283" customWidth="1"/>
    <col min="6186" max="6186" width="16.5" style="3283" customWidth="1"/>
    <col min="6187" max="6187" width="19.25" style="3283" customWidth="1"/>
    <col min="6188" max="6188" width="10.75" style="3283" customWidth="1"/>
    <col min="6189" max="6189" width="11.625" style="3283" customWidth="1"/>
    <col min="6190" max="6191" width="9.625" style="3283" customWidth="1"/>
    <col min="6192" max="6192" width="8.375" style="3283" customWidth="1"/>
    <col min="6193" max="6193" width="13" style="3283" customWidth="1"/>
    <col min="6194" max="6194" width="13.875" style="3283" customWidth="1"/>
    <col min="6195" max="6195" width="13.375" style="3283" customWidth="1"/>
    <col min="6196" max="6196" width="10.875" style="3283" customWidth="1"/>
    <col min="6197" max="6199" width="9" style="3283" customWidth="1"/>
    <col min="6200" max="6200" width="11.625" style="3283" customWidth="1"/>
    <col min="6201" max="6201" width="17.625" style="3283" customWidth="1"/>
    <col min="6202" max="6202" width="9" style="3283" customWidth="1"/>
    <col min="6203" max="6205" width="9" style="3283"/>
    <col min="6206" max="6206" width="36.625" style="3283" customWidth="1"/>
    <col min="6207" max="6400" width="9" style="3283"/>
    <col min="6401" max="6401" width="5" style="3283" customWidth="1"/>
    <col min="6402" max="6402" width="20.5" style="3283" customWidth="1"/>
    <col min="6403" max="6403" width="9.625" style="3283" customWidth="1"/>
    <col min="6404" max="6404" width="21" style="3283" customWidth="1"/>
    <col min="6405" max="6405" width="11" style="3283" customWidth="1"/>
    <col min="6406" max="6406" width="12.625" style="3283" customWidth="1"/>
    <col min="6407" max="6408" width="10.625" style="3283" customWidth="1"/>
    <col min="6409" max="6409" width="13.875" style="3283" customWidth="1"/>
    <col min="6410" max="6410" width="12.375" style="3283" customWidth="1"/>
    <col min="6411" max="6411" width="9.25" style="3283" customWidth="1"/>
    <col min="6412" max="6413" width="13.125" style="3283" customWidth="1"/>
    <col min="6414" max="6414" width="13" style="3283" customWidth="1"/>
    <col min="6415" max="6415" width="14.125" style="3283" customWidth="1"/>
    <col min="6416" max="6416" width="12.25" style="3283" customWidth="1"/>
    <col min="6417" max="6417" width="11.375" style="3283" customWidth="1"/>
    <col min="6418" max="6418" width="14.5" style="3283" customWidth="1"/>
    <col min="6419" max="6421" width="12.375" style="3283" customWidth="1"/>
    <col min="6422" max="6422" width="12.5" style="3283" customWidth="1"/>
    <col min="6423" max="6423" width="10.625" style="3283" customWidth="1"/>
    <col min="6424" max="6424" width="12.625" style="3283" customWidth="1"/>
    <col min="6425" max="6425" width="12.875" style="3283" customWidth="1"/>
    <col min="6426" max="6426" width="10.875" style="3283" customWidth="1"/>
    <col min="6427" max="6427" width="9.25" style="3283" customWidth="1"/>
    <col min="6428" max="6428" width="9" style="3283" customWidth="1"/>
    <col min="6429" max="6429" width="12.5" style="3283" customWidth="1"/>
    <col min="6430" max="6430" width="9.375" style="3283" customWidth="1"/>
    <col min="6431" max="6431" width="25.875" style="3283" customWidth="1"/>
    <col min="6432" max="6432" width="19.25" style="3283" customWidth="1"/>
    <col min="6433" max="6433" width="11.75" style="3283" customWidth="1"/>
    <col min="6434" max="6434" width="11.375" style="3283" customWidth="1"/>
    <col min="6435" max="6435" width="10.75" style="3283" customWidth="1"/>
    <col min="6436" max="6436" width="11" style="3283" customWidth="1"/>
    <col min="6437" max="6437" width="8.25" style="3283" customWidth="1"/>
    <col min="6438" max="6438" width="8.625" style="3283" customWidth="1"/>
    <col min="6439" max="6439" width="22.875" style="3283" customWidth="1"/>
    <col min="6440" max="6441" width="13.25" style="3283" customWidth="1"/>
    <col min="6442" max="6442" width="16.5" style="3283" customWidth="1"/>
    <col min="6443" max="6443" width="19.25" style="3283" customWidth="1"/>
    <col min="6444" max="6444" width="10.75" style="3283" customWidth="1"/>
    <col min="6445" max="6445" width="11.625" style="3283" customWidth="1"/>
    <col min="6446" max="6447" width="9.625" style="3283" customWidth="1"/>
    <col min="6448" max="6448" width="8.375" style="3283" customWidth="1"/>
    <col min="6449" max="6449" width="13" style="3283" customWidth="1"/>
    <col min="6450" max="6450" width="13.875" style="3283" customWidth="1"/>
    <col min="6451" max="6451" width="13.375" style="3283" customWidth="1"/>
    <col min="6452" max="6452" width="10.875" style="3283" customWidth="1"/>
    <col min="6453" max="6455" width="9" style="3283" customWidth="1"/>
    <col min="6456" max="6456" width="11.625" style="3283" customWidth="1"/>
    <col min="6457" max="6457" width="17.625" style="3283" customWidth="1"/>
    <col min="6458" max="6458" width="9" style="3283" customWidth="1"/>
    <col min="6459" max="6461" width="9" style="3283"/>
    <col min="6462" max="6462" width="36.625" style="3283" customWidth="1"/>
    <col min="6463" max="6656" width="9" style="3283"/>
    <col min="6657" max="6657" width="5" style="3283" customWidth="1"/>
    <col min="6658" max="6658" width="20.5" style="3283" customWidth="1"/>
    <col min="6659" max="6659" width="9.625" style="3283" customWidth="1"/>
    <col min="6660" max="6660" width="21" style="3283" customWidth="1"/>
    <col min="6661" max="6661" width="11" style="3283" customWidth="1"/>
    <col min="6662" max="6662" width="12.625" style="3283" customWidth="1"/>
    <col min="6663" max="6664" width="10.625" style="3283" customWidth="1"/>
    <col min="6665" max="6665" width="13.875" style="3283" customWidth="1"/>
    <col min="6666" max="6666" width="12.375" style="3283" customWidth="1"/>
    <col min="6667" max="6667" width="9.25" style="3283" customWidth="1"/>
    <col min="6668" max="6669" width="13.125" style="3283" customWidth="1"/>
    <col min="6670" max="6670" width="13" style="3283" customWidth="1"/>
    <col min="6671" max="6671" width="14.125" style="3283" customWidth="1"/>
    <col min="6672" max="6672" width="12.25" style="3283" customWidth="1"/>
    <col min="6673" max="6673" width="11.375" style="3283" customWidth="1"/>
    <col min="6674" max="6674" width="14.5" style="3283" customWidth="1"/>
    <col min="6675" max="6677" width="12.375" style="3283" customWidth="1"/>
    <col min="6678" max="6678" width="12.5" style="3283" customWidth="1"/>
    <col min="6679" max="6679" width="10.625" style="3283" customWidth="1"/>
    <col min="6680" max="6680" width="12.625" style="3283" customWidth="1"/>
    <col min="6681" max="6681" width="12.875" style="3283" customWidth="1"/>
    <col min="6682" max="6682" width="10.875" style="3283" customWidth="1"/>
    <col min="6683" max="6683" width="9.25" style="3283" customWidth="1"/>
    <col min="6684" max="6684" width="9" style="3283" customWidth="1"/>
    <col min="6685" max="6685" width="12.5" style="3283" customWidth="1"/>
    <col min="6686" max="6686" width="9.375" style="3283" customWidth="1"/>
    <col min="6687" max="6687" width="25.875" style="3283" customWidth="1"/>
    <col min="6688" max="6688" width="19.25" style="3283" customWidth="1"/>
    <col min="6689" max="6689" width="11.75" style="3283" customWidth="1"/>
    <col min="6690" max="6690" width="11.375" style="3283" customWidth="1"/>
    <col min="6691" max="6691" width="10.75" style="3283" customWidth="1"/>
    <col min="6692" max="6692" width="11" style="3283" customWidth="1"/>
    <col min="6693" max="6693" width="8.25" style="3283" customWidth="1"/>
    <col min="6694" max="6694" width="8.625" style="3283" customWidth="1"/>
    <col min="6695" max="6695" width="22.875" style="3283" customWidth="1"/>
    <col min="6696" max="6697" width="13.25" style="3283" customWidth="1"/>
    <col min="6698" max="6698" width="16.5" style="3283" customWidth="1"/>
    <col min="6699" max="6699" width="19.25" style="3283" customWidth="1"/>
    <col min="6700" max="6700" width="10.75" style="3283" customWidth="1"/>
    <col min="6701" max="6701" width="11.625" style="3283" customWidth="1"/>
    <col min="6702" max="6703" width="9.625" style="3283" customWidth="1"/>
    <col min="6704" max="6704" width="8.375" style="3283" customWidth="1"/>
    <col min="6705" max="6705" width="13" style="3283" customWidth="1"/>
    <col min="6706" max="6706" width="13.875" style="3283" customWidth="1"/>
    <col min="6707" max="6707" width="13.375" style="3283" customWidth="1"/>
    <col min="6708" max="6708" width="10.875" style="3283" customWidth="1"/>
    <col min="6709" max="6711" width="9" style="3283" customWidth="1"/>
    <col min="6712" max="6712" width="11.625" style="3283" customWidth="1"/>
    <col min="6713" max="6713" width="17.625" style="3283" customWidth="1"/>
    <col min="6714" max="6714" width="9" style="3283" customWidth="1"/>
    <col min="6715" max="6717" width="9" style="3283"/>
    <col min="6718" max="6718" width="36.625" style="3283" customWidth="1"/>
    <col min="6719" max="6912" width="9" style="3283"/>
    <col min="6913" max="6913" width="5" style="3283" customWidth="1"/>
    <col min="6914" max="6914" width="20.5" style="3283" customWidth="1"/>
    <col min="6915" max="6915" width="9.625" style="3283" customWidth="1"/>
    <col min="6916" max="6916" width="21" style="3283" customWidth="1"/>
    <col min="6917" max="6917" width="11" style="3283" customWidth="1"/>
    <col min="6918" max="6918" width="12.625" style="3283" customWidth="1"/>
    <col min="6919" max="6920" width="10.625" style="3283" customWidth="1"/>
    <col min="6921" max="6921" width="13.875" style="3283" customWidth="1"/>
    <col min="6922" max="6922" width="12.375" style="3283" customWidth="1"/>
    <col min="6923" max="6923" width="9.25" style="3283" customWidth="1"/>
    <col min="6924" max="6925" width="13.125" style="3283" customWidth="1"/>
    <col min="6926" max="6926" width="13" style="3283" customWidth="1"/>
    <col min="6927" max="6927" width="14.125" style="3283" customWidth="1"/>
    <col min="6928" max="6928" width="12.25" style="3283" customWidth="1"/>
    <col min="6929" max="6929" width="11.375" style="3283" customWidth="1"/>
    <col min="6930" max="6930" width="14.5" style="3283" customWidth="1"/>
    <col min="6931" max="6933" width="12.375" style="3283" customWidth="1"/>
    <col min="6934" max="6934" width="12.5" style="3283" customWidth="1"/>
    <col min="6935" max="6935" width="10.625" style="3283" customWidth="1"/>
    <col min="6936" max="6936" width="12.625" style="3283" customWidth="1"/>
    <col min="6937" max="6937" width="12.875" style="3283" customWidth="1"/>
    <col min="6938" max="6938" width="10.875" style="3283" customWidth="1"/>
    <col min="6939" max="6939" width="9.25" style="3283" customWidth="1"/>
    <col min="6940" max="6940" width="9" style="3283" customWidth="1"/>
    <col min="6941" max="6941" width="12.5" style="3283" customWidth="1"/>
    <col min="6942" max="6942" width="9.375" style="3283" customWidth="1"/>
    <col min="6943" max="6943" width="25.875" style="3283" customWidth="1"/>
    <col min="6944" max="6944" width="19.25" style="3283" customWidth="1"/>
    <col min="6945" max="6945" width="11.75" style="3283" customWidth="1"/>
    <col min="6946" max="6946" width="11.375" style="3283" customWidth="1"/>
    <col min="6947" max="6947" width="10.75" style="3283" customWidth="1"/>
    <col min="6948" max="6948" width="11" style="3283" customWidth="1"/>
    <col min="6949" max="6949" width="8.25" style="3283" customWidth="1"/>
    <col min="6950" max="6950" width="8.625" style="3283" customWidth="1"/>
    <col min="6951" max="6951" width="22.875" style="3283" customWidth="1"/>
    <col min="6952" max="6953" width="13.25" style="3283" customWidth="1"/>
    <col min="6954" max="6954" width="16.5" style="3283" customWidth="1"/>
    <col min="6955" max="6955" width="19.25" style="3283" customWidth="1"/>
    <col min="6956" max="6956" width="10.75" style="3283" customWidth="1"/>
    <col min="6957" max="6957" width="11.625" style="3283" customWidth="1"/>
    <col min="6958" max="6959" width="9.625" style="3283" customWidth="1"/>
    <col min="6960" max="6960" width="8.375" style="3283" customWidth="1"/>
    <col min="6961" max="6961" width="13" style="3283" customWidth="1"/>
    <col min="6962" max="6962" width="13.875" style="3283" customWidth="1"/>
    <col min="6963" max="6963" width="13.375" style="3283" customWidth="1"/>
    <col min="6964" max="6964" width="10.875" style="3283" customWidth="1"/>
    <col min="6965" max="6967" width="9" style="3283" customWidth="1"/>
    <col min="6968" max="6968" width="11.625" style="3283" customWidth="1"/>
    <col min="6969" max="6969" width="17.625" style="3283" customWidth="1"/>
    <col min="6970" max="6970" width="9" style="3283" customWidth="1"/>
    <col min="6971" max="6973" width="9" style="3283"/>
    <col min="6974" max="6974" width="36.625" style="3283" customWidth="1"/>
    <col min="6975" max="7168" width="9" style="3283"/>
    <col min="7169" max="7169" width="5" style="3283" customWidth="1"/>
    <col min="7170" max="7170" width="20.5" style="3283" customWidth="1"/>
    <col min="7171" max="7171" width="9.625" style="3283" customWidth="1"/>
    <col min="7172" max="7172" width="21" style="3283" customWidth="1"/>
    <col min="7173" max="7173" width="11" style="3283" customWidth="1"/>
    <col min="7174" max="7174" width="12.625" style="3283" customWidth="1"/>
    <col min="7175" max="7176" width="10.625" style="3283" customWidth="1"/>
    <col min="7177" max="7177" width="13.875" style="3283" customWidth="1"/>
    <col min="7178" max="7178" width="12.375" style="3283" customWidth="1"/>
    <col min="7179" max="7179" width="9.25" style="3283" customWidth="1"/>
    <col min="7180" max="7181" width="13.125" style="3283" customWidth="1"/>
    <col min="7182" max="7182" width="13" style="3283" customWidth="1"/>
    <col min="7183" max="7183" width="14.125" style="3283" customWidth="1"/>
    <col min="7184" max="7184" width="12.25" style="3283" customWidth="1"/>
    <col min="7185" max="7185" width="11.375" style="3283" customWidth="1"/>
    <col min="7186" max="7186" width="14.5" style="3283" customWidth="1"/>
    <col min="7187" max="7189" width="12.375" style="3283" customWidth="1"/>
    <col min="7190" max="7190" width="12.5" style="3283" customWidth="1"/>
    <col min="7191" max="7191" width="10.625" style="3283" customWidth="1"/>
    <col min="7192" max="7192" width="12.625" style="3283" customWidth="1"/>
    <col min="7193" max="7193" width="12.875" style="3283" customWidth="1"/>
    <col min="7194" max="7194" width="10.875" style="3283" customWidth="1"/>
    <col min="7195" max="7195" width="9.25" style="3283" customWidth="1"/>
    <col min="7196" max="7196" width="9" style="3283" customWidth="1"/>
    <col min="7197" max="7197" width="12.5" style="3283" customWidth="1"/>
    <col min="7198" max="7198" width="9.375" style="3283" customWidth="1"/>
    <col min="7199" max="7199" width="25.875" style="3283" customWidth="1"/>
    <col min="7200" max="7200" width="19.25" style="3283" customWidth="1"/>
    <col min="7201" max="7201" width="11.75" style="3283" customWidth="1"/>
    <col min="7202" max="7202" width="11.375" style="3283" customWidth="1"/>
    <col min="7203" max="7203" width="10.75" style="3283" customWidth="1"/>
    <col min="7204" max="7204" width="11" style="3283" customWidth="1"/>
    <col min="7205" max="7205" width="8.25" style="3283" customWidth="1"/>
    <col min="7206" max="7206" width="8.625" style="3283" customWidth="1"/>
    <col min="7207" max="7207" width="22.875" style="3283" customWidth="1"/>
    <col min="7208" max="7209" width="13.25" style="3283" customWidth="1"/>
    <col min="7210" max="7210" width="16.5" style="3283" customWidth="1"/>
    <col min="7211" max="7211" width="19.25" style="3283" customWidth="1"/>
    <col min="7212" max="7212" width="10.75" style="3283" customWidth="1"/>
    <col min="7213" max="7213" width="11.625" style="3283" customWidth="1"/>
    <col min="7214" max="7215" width="9.625" style="3283" customWidth="1"/>
    <col min="7216" max="7216" width="8.375" style="3283" customWidth="1"/>
    <col min="7217" max="7217" width="13" style="3283" customWidth="1"/>
    <col min="7218" max="7218" width="13.875" style="3283" customWidth="1"/>
    <col min="7219" max="7219" width="13.375" style="3283" customWidth="1"/>
    <col min="7220" max="7220" width="10.875" style="3283" customWidth="1"/>
    <col min="7221" max="7223" width="9" style="3283" customWidth="1"/>
    <col min="7224" max="7224" width="11.625" style="3283" customWidth="1"/>
    <col min="7225" max="7225" width="17.625" style="3283" customWidth="1"/>
    <col min="7226" max="7226" width="9" style="3283" customWidth="1"/>
    <col min="7227" max="7229" width="9" style="3283"/>
    <col min="7230" max="7230" width="36.625" style="3283" customWidth="1"/>
    <col min="7231" max="7424" width="9" style="3283"/>
    <col min="7425" max="7425" width="5" style="3283" customWidth="1"/>
    <col min="7426" max="7426" width="20.5" style="3283" customWidth="1"/>
    <col min="7427" max="7427" width="9.625" style="3283" customWidth="1"/>
    <col min="7428" max="7428" width="21" style="3283" customWidth="1"/>
    <col min="7429" max="7429" width="11" style="3283" customWidth="1"/>
    <col min="7430" max="7430" width="12.625" style="3283" customWidth="1"/>
    <col min="7431" max="7432" width="10.625" style="3283" customWidth="1"/>
    <col min="7433" max="7433" width="13.875" style="3283" customWidth="1"/>
    <col min="7434" max="7434" width="12.375" style="3283" customWidth="1"/>
    <col min="7435" max="7435" width="9.25" style="3283" customWidth="1"/>
    <col min="7436" max="7437" width="13.125" style="3283" customWidth="1"/>
    <col min="7438" max="7438" width="13" style="3283" customWidth="1"/>
    <col min="7439" max="7439" width="14.125" style="3283" customWidth="1"/>
    <col min="7440" max="7440" width="12.25" style="3283" customWidth="1"/>
    <col min="7441" max="7441" width="11.375" style="3283" customWidth="1"/>
    <col min="7442" max="7442" width="14.5" style="3283" customWidth="1"/>
    <col min="7443" max="7445" width="12.375" style="3283" customWidth="1"/>
    <col min="7446" max="7446" width="12.5" style="3283" customWidth="1"/>
    <col min="7447" max="7447" width="10.625" style="3283" customWidth="1"/>
    <col min="7448" max="7448" width="12.625" style="3283" customWidth="1"/>
    <col min="7449" max="7449" width="12.875" style="3283" customWidth="1"/>
    <col min="7450" max="7450" width="10.875" style="3283" customWidth="1"/>
    <col min="7451" max="7451" width="9.25" style="3283" customWidth="1"/>
    <col min="7452" max="7452" width="9" style="3283" customWidth="1"/>
    <col min="7453" max="7453" width="12.5" style="3283" customWidth="1"/>
    <col min="7454" max="7454" width="9.375" style="3283" customWidth="1"/>
    <col min="7455" max="7455" width="25.875" style="3283" customWidth="1"/>
    <col min="7456" max="7456" width="19.25" style="3283" customWidth="1"/>
    <col min="7457" max="7457" width="11.75" style="3283" customWidth="1"/>
    <col min="7458" max="7458" width="11.375" style="3283" customWidth="1"/>
    <col min="7459" max="7459" width="10.75" style="3283" customWidth="1"/>
    <col min="7460" max="7460" width="11" style="3283" customWidth="1"/>
    <col min="7461" max="7461" width="8.25" style="3283" customWidth="1"/>
    <col min="7462" max="7462" width="8.625" style="3283" customWidth="1"/>
    <col min="7463" max="7463" width="22.875" style="3283" customWidth="1"/>
    <col min="7464" max="7465" width="13.25" style="3283" customWidth="1"/>
    <col min="7466" max="7466" width="16.5" style="3283" customWidth="1"/>
    <col min="7467" max="7467" width="19.25" style="3283" customWidth="1"/>
    <col min="7468" max="7468" width="10.75" style="3283" customWidth="1"/>
    <col min="7469" max="7469" width="11.625" style="3283" customWidth="1"/>
    <col min="7470" max="7471" width="9.625" style="3283" customWidth="1"/>
    <col min="7472" max="7472" width="8.375" style="3283" customWidth="1"/>
    <col min="7473" max="7473" width="13" style="3283" customWidth="1"/>
    <col min="7474" max="7474" width="13.875" style="3283" customWidth="1"/>
    <col min="7475" max="7475" width="13.375" style="3283" customWidth="1"/>
    <col min="7476" max="7476" width="10.875" style="3283" customWidth="1"/>
    <col min="7477" max="7479" width="9" style="3283" customWidth="1"/>
    <col min="7480" max="7480" width="11.625" style="3283" customWidth="1"/>
    <col min="7481" max="7481" width="17.625" style="3283" customWidth="1"/>
    <col min="7482" max="7482" width="9" style="3283" customWidth="1"/>
    <col min="7483" max="7485" width="9" style="3283"/>
    <col min="7486" max="7486" width="36.625" style="3283" customWidth="1"/>
    <col min="7487" max="7680" width="9" style="3283"/>
    <col min="7681" max="7681" width="5" style="3283" customWidth="1"/>
    <col min="7682" max="7682" width="20.5" style="3283" customWidth="1"/>
    <col min="7683" max="7683" width="9.625" style="3283" customWidth="1"/>
    <col min="7684" max="7684" width="21" style="3283" customWidth="1"/>
    <col min="7685" max="7685" width="11" style="3283" customWidth="1"/>
    <col min="7686" max="7686" width="12.625" style="3283" customWidth="1"/>
    <col min="7687" max="7688" width="10.625" style="3283" customWidth="1"/>
    <col min="7689" max="7689" width="13.875" style="3283" customWidth="1"/>
    <col min="7690" max="7690" width="12.375" style="3283" customWidth="1"/>
    <col min="7691" max="7691" width="9.25" style="3283" customWidth="1"/>
    <col min="7692" max="7693" width="13.125" style="3283" customWidth="1"/>
    <col min="7694" max="7694" width="13" style="3283" customWidth="1"/>
    <col min="7695" max="7695" width="14.125" style="3283" customWidth="1"/>
    <col min="7696" max="7696" width="12.25" style="3283" customWidth="1"/>
    <col min="7697" max="7697" width="11.375" style="3283" customWidth="1"/>
    <col min="7698" max="7698" width="14.5" style="3283" customWidth="1"/>
    <col min="7699" max="7701" width="12.375" style="3283" customWidth="1"/>
    <col min="7702" max="7702" width="12.5" style="3283" customWidth="1"/>
    <col min="7703" max="7703" width="10.625" style="3283" customWidth="1"/>
    <col min="7704" max="7704" width="12.625" style="3283" customWidth="1"/>
    <col min="7705" max="7705" width="12.875" style="3283" customWidth="1"/>
    <col min="7706" max="7706" width="10.875" style="3283" customWidth="1"/>
    <col min="7707" max="7707" width="9.25" style="3283" customWidth="1"/>
    <col min="7708" max="7708" width="9" style="3283" customWidth="1"/>
    <col min="7709" max="7709" width="12.5" style="3283" customWidth="1"/>
    <col min="7710" max="7710" width="9.375" style="3283" customWidth="1"/>
    <col min="7711" max="7711" width="25.875" style="3283" customWidth="1"/>
    <col min="7712" max="7712" width="19.25" style="3283" customWidth="1"/>
    <col min="7713" max="7713" width="11.75" style="3283" customWidth="1"/>
    <col min="7714" max="7714" width="11.375" style="3283" customWidth="1"/>
    <col min="7715" max="7715" width="10.75" style="3283" customWidth="1"/>
    <col min="7716" max="7716" width="11" style="3283" customWidth="1"/>
    <col min="7717" max="7717" width="8.25" style="3283" customWidth="1"/>
    <col min="7718" max="7718" width="8.625" style="3283" customWidth="1"/>
    <col min="7719" max="7719" width="22.875" style="3283" customWidth="1"/>
    <col min="7720" max="7721" width="13.25" style="3283" customWidth="1"/>
    <col min="7722" max="7722" width="16.5" style="3283" customWidth="1"/>
    <col min="7723" max="7723" width="19.25" style="3283" customWidth="1"/>
    <col min="7724" max="7724" width="10.75" style="3283" customWidth="1"/>
    <col min="7725" max="7725" width="11.625" style="3283" customWidth="1"/>
    <col min="7726" max="7727" width="9.625" style="3283" customWidth="1"/>
    <col min="7728" max="7728" width="8.375" style="3283" customWidth="1"/>
    <col min="7729" max="7729" width="13" style="3283" customWidth="1"/>
    <col min="7730" max="7730" width="13.875" style="3283" customWidth="1"/>
    <col min="7731" max="7731" width="13.375" style="3283" customWidth="1"/>
    <col min="7732" max="7732" width="10.875" style="3283" customWidth="1"/>
    <col min="7733" max="7735" width="9" style="3283" customWidth="1"/>
    <col min="7736" max="7736" width="11.625" style="3283" customWidth="1"/>
    <col min="7737" max="7737" width="17.625" style="3283" customWidth="1"/>
    <col min="7738" max="7738" width="9" style="3283" customWidth="1"/>
    <col min="7739" max="7741" width="9" style="3283"/>
    <col min="7742" max="7742" width="36.625" style="3283" customWidth="1"/>
    <col min="7743" max="7936" width="9" style="3283"/>
    <col min="7937" max="7937" width="5" style="3283" customWidth="1"/>
    <col min="7938" max="7938" width="20.5" style="3283" customWidth="1"/>
    <col min="7939" max="7939" width="9.625" style="3283" customWidth="1"/>
    <col min="7940" max="7940" width="21" style="3283" customWidth="1"/>
    <col min="7941" max="7941" width="11" style="3283" customWidth="1"/>
    <col min="7942" max="7942" width="12.625" style="3283" customWidth="1"/>
    <col min="7943" max="7944" width="10.625" style="3283" customWidth="1"/>
    <col min="7945" max="7945" width="13.875" style="3283" customWidth="1"/>
    <col min="7946" max="7946" width="12.375" style="3283" customWidth="1"/>
    <col min="7947" max="7947" width="9.25" style="3283" customWidth="1"/>
    <col min="7948" max="7949" width="13.125" style="3283" customWidth="1"/>
    <col min="7950" max="7950" width="13" style="3283" customWidth="1"/>
    <col min="7951" max="7951" width="14.125" style="3283" customWidth="1"/>
    <col min="7952" max="7952" width="12.25" style="3283" customWidth="1"/>
    <col min="7953" max="7953" width="11.375" style="3283" customWidth="1"/>
    <col min="7954" max="7954" width="14.5" style="3283" customWidth="1"/>
    <col min="7955" max="7957" width="12.375" style="3283" customWidth="1"/>
    <col min="7958" max="7958" width="12.5" style="3283" customWidth="1"/>
    <col min="7959" max="7959" width="10.625" style="3283" customWidth="1"/>
    <col min="7960" max="7960" width="12.625" style="3283" customWidth="1"/>
    <col min="7961" max="7961" width="12.875" style="3283" customWidth="1"/>
    <col min="7962" max="7962" width="10.875" style="3283" customWidth="1"/>
    <col min="7963" max="7963" width="9.25" style="3283" customWidth="1"/>
    <col min="7964" max="7964" width="9" style="3283" customWidth="1"/>
    <col min="7965" max="7965" width="12.5" style="3283" customWidth="1"/>
    <col min="7966" max="7966" width="9.375" style="3283" customWidth="1"/>
    <col min="7967" max="7967" width="25.875" style="3283" customWidth="1"/>
    <col min="7968" max="7968" width="19.25" style="3283" customWidth="1"/>
    <col min="7969" max="7969" width="11.75" style="3283" customWidth="1"/>
    <col min="7970" max="7970" width="11.375" style="3283" customWidth="1"/>
    <col min="7971" max="7971" width="10.75" style="3283" customWidth="1"/>
    <col min="7972" max="7972" width="11" style="3283" customWidth="1"/>
    <col min="7973" max="7973" width="8.25" style="3283" customWidth="1"/>
    <col min="7974" max="7974" width="8.625" style="3283" customWidth="1"/>
    <col min="7975" max="7975" width="22.875" style="3283" customWidth="1"/>
    <col min="7976" max="7977" width="13.25" style="3283" customWidth="1"/>
    <col min="7978" max="7978" width="16.5" style="3283" customWidth="1"/>
    <col min="7979" max="7979" width="19.25" style="3283" customWidth="1"/>
    <col min="7980" max="7980" width="10.75" style="3283" customWidth="1"/>
    <col min="7981" max="7981" width="11.625" style="3283" customWidth="1"/>
    <col min="7982" max="7983" width="9.625" style="3283" customWidth="1"/>
    <col min="7984" max="7984" width="8.375" style="3283" customWidth="1"/>
    <col min="7985" max="7985" width="13" style="3283" customWidth="1"/>
    <col min="7986" max="7986" width="13.875" style="3283" customWidth="1"/>
    <col min="7987" max="7987" width="13.375" style="3283" customWidth="1"/>
    <col min="7988" max="7988" width="10.875" style="3283" customWidth="1"/>
    <col min="7989" max="7991" width="9" style="3283" customWidth="1"/>
    <col min="7992" max="7992" width="11.625" style="3283" customWidth="1"/>
    <col min="7993" max="7993" width="17.625" style="3283" customWidth="1"/>
    <col min="7994" max="7994" width="9" style="3283" customWidth="1"/>
    <col min="7995" max="7997" width="9" style="3283"/>
    <col min="7998" max="7998" width="36.625" style="3283" customWidth="1"/>
    <col min="7999" max="8192" width="9" style="3283"/>
    <col min="8193" max="8193" width="5" style="3283" customWidth="1"/>
    <col min="8194" max="8194" width="20.5" style="3283" customWidth="1"/>
    <col min="8195" max="8195" width="9.625" style="3283" customWidth="1"/>
    <col min="8196" max="8196" width="21" style="3283" customWidth="1"/>
    <col min="8197" max="8197" width="11" style="3283" customWidth="1"/>
    <col min="8198" max="8198" width="12.625" style="3283" customWidth="1"/>
    <col min="8199" max="8200" width="10.625" style="3283" customWidth="1"/>
    <col min="8201" max="8201" width="13.875" style="3283" customWidth="1"/>
    <col min="8202" max="8202" width="12.375" style="3283" customWidth="1"/>
    <col min="8203" max="8203" width="9.25" style="3283" customWidth="1"/>
    <col min="8204" max="8205" width="13.125" style="3283" customWidth="1"/>
    <col min="8206" max="8206" width="13" style="3283" customWidth="1"/>
    <col min="8207" max="8207" width="14.125" style="3283" customWidth="1"/>
    <col min="8208" max="8208" width="12.25" style="3283" customWidth="1"/>
    <col min="8209" max="8209" width="11.375" style="3283" customWidth="1"/>
    <col min="8210" max="8210" width="14.5" style="3283" customWidth="1"/>
    <col min="8211" max="8213" width="12.375" style="3283" customWidth="1"/>
    <col min="8214" max="8214" width="12.5" style="3283" customWidth="1"/>
    <col min="8215" max="8215" width="10.625" style="3283" customWidth="1"/>
    <col min="8216" max="8216" width="12.625" style="3283" customWidth="1"/>
    <col min="8217" max="8217" width="12.875" style="3283" customWidth="1"/>
    <col min="8218" max="8218" width="10.875" style="3283" customWidth="1"/>
    <col min="8219" max="8219" width="9.25" style="3283" customWidth="1"/>
    <col min="8220" max="8220" width="9" style="3283" customWidth="1"/>
    <col min="8221" max="8221" width="12.5" style="3283" customWidth="1"/>
    <col min="8222" max="8222" width="9.375" style="3283" customWidth="1"/>
    <col min="8223" max="8223" width="25.875" style="3283" customWidth="1"/>
    <col min="8224" max="8224" width="19.25" style="3283" customWidth="1"/>
    <col min="8225" max="8225" width="11.75" style="3283" customWidth="1"/>
    <col min="8226" max="8226" width="11.375" style="3283" customWidth="1"/>
    <col min="8227" max="8227" width="10.75" style="3283" customWidth="1"/>
    <col min="8228" max="8228" width="11" style="3283" customWidth="1"/>
    <col min="8229" max="8229" width="8.25" style="3283" customWidth="1"/>
    <col min="8230" max="8230" width="8.625" style="3283" customWidth="1"/>
    <col min="8231" max="8231" width="22.875" style="3283" customWidth="1"/>
    <col min="8232" max="8233" width="13.25" style="3283" customWidth="1"/>
    <col min="8234" max="8234" width="16.5" style="3283" customWidth="1"/>
    <col min="8235" max="8235" width="19.25" style="3283" customWidth="1"/>
    <col min="8236" max="8236" width="10.75" style="3283" customWidth="1"/>
    <col min="8237" max="8237" width="11.625" style="3283" customWidth="1"/>
    <col min="8238" max="8239" width="9.625" style="3283" customWidth="1"/>
    <col min="8240" max="8240" width="8.375" style="3283" customWidth="1"/>
    <col min="8241" max="8241" width="13" style="3283" customWidth="1"/>
    <col min="8242" max="8242" width="13.875" style="3283" customWidth="1"/>
    <col min="8243" max="8243" width="13.375" style="3283" customWidth="1"/>
    <col min="8244" max="8244" width="10.875" style="3283" customWidth="1"/>
    <col min="8245" max="8247" width="9" style="3283" customWidth="1"/>
    <col min="8248" max="8248" width="11.625" style="3283" customWidth="1"/>
    <col min="8249" max="8249" width="17.625" style="3283" customWidth="1"/>
    <col min="8250" max="8250" width="9" style="3283" customWidth="1"/>
    <col min="8251" max="8253" width="9" style="3283"/>
    <col min="8254" max="8254" width="36.625" style="3283" customWidth="1"/>
    <col min="8255" max="8448" width="9" style="3283"/>
    <col min="8449" max="8449" width="5" style="3283" customWidth="1"/>
    <col min="8450" max="8450" width="20.5" style="3283" customWidth="1"/>
    <col min="8451" max="8451" width="9.625" style="3283" customWidth="1"/>
    <col min="8452" max="8452" width="21" style="3283" customWidth="1"/>
    <col min="8453" max="8453" width="11" style="3283" customWidth="1"/>
    <col min="8454" max="8454" width="12.625" style="3283" customWidth="1"/>
    <col min="8455" max="8456" width="10.625" style="3283" customWidth="1"/>
    <col min="8457" max="8457" width="13.875" style="3283" customWidth="1"/>
    <col min="8458" max="8458" width="12.375" style="3283" customWidth="1"/>
    <col min="8459" max="8459" width="9.25" style="3283" customWidth="1"/>
    <col min="8460" max="8461" width="13.125" style="3283" customWidth="1"/>
    <col min="8462" max="8462" width="13" style="3283" customWidth="1"/>
    <col min="8463" max="8463" width="14.125" style="3283" customWidth="1"/>
    <col min="8464" max="8464" width="12.25" style="3283" customWidth="1"/>
    <col min="8465" max="8465" width="11.375" style="3283" customWidth="1"/>
    <col min="8466" max="8466" width="14.5" style="3283" customWidth="1"/>
    <col min="8467" max="8469" width="12.375" style="3283" customWidth="1"/>
    <col min="8470" max="8470" width="12.5" style="3283" customWidth="1"/>
    <col min="8471" max="8471" width="10.625" style="3283" customWidth="1"/>
    <col min="8472" max="8472" width="12.625" style="3283" customWidth="1"/>
    <col min="8473" max="8473" width="12.875" style="3283" customWidth="1"/>
    <col min="8474" max="8474" width="10.875" style="3283" customWidth="1"/>
    <col min="8475" max="8475" width="9.25" style="3283" customWidth="1"/>
    <col min="8476" max="8476" width="9" style="3283" customWidth="1"/>
    <col min="8477" max="8477" width="12.5" style="3283" customWidth="1"/>
    <col min="8478" max="8478" width="9.375" style="3283" customWidth="1"/>
    <col min="8479" max="8479" width="25.875" style="3283" customWidth="1"/>
    <col min="8480" max="8480" width="19.25" style="3283" customWidth="1"/>
    <col min="8481" max="8481" width="11.75" style="3283" customWidth="1"/>
    <col min="8482" max="8482" width="11.375" style="3283" customWidth="1"/>
    <col min="8483" max="8483" width="10.75" style="3283" customWidth="1"/>
    <col min="8484" max="8484" width="11" style="3283" customWidth="1"/>
    <col min="8485" max="8485" width="8.25" style="3283" customWidth="1"/>
    <col min="8486" max="8486" width="8.625" style="3283" customWidth="1"/>
    <col min="8487" max="8487" width="22.875" style="3283" customWidth="1"/>
    <col min="8488" max="8489" width="13.25" style="3283" customWidth="1"/>
    <col min="8490" max="8490" width="16.5" style="3283" customWidth="1"/>
    <col min="8491" max="8491" width="19.25" style="3283" customWidth="1"/>
    <col min="8492" max="8492" width="10.75" style="3283" customWidth="1"/>
    <col min="8493" max="8493" width="11.625" style="3283" customWidth="1"/>
    <col min="8494" max="8495" width="9.625" style="3283" customWidth="1"/>
    <col min="8496" max="8496" width="8.375" style="3283" customWidth="1"/>
    <col min="8497" max="8497" width="13" style="3283" customWidth="1"/>
    <col min="8498" max="8498" width="13.875" style="3283" customWidth="1"/>
    <col min="8499" max="8499" width="13.375" style="3283" customWidth="1"/>
    <col min="8500" max="8500" width="10.875" style="3283" customWidth="1"/>
    <col min="8501" max="8503" width="9" style="3283" customWidth="1"/>
    <col min="8504" max="8504" width="11.625" style="3283" customWidth="1"/>
    <col min="8505" max="8505" width="17.625" style="3283" customWidth="1"/>
    <col min="8506" max="8506" width="9" style="3283" customWidth="1"/>
    <col min="8507" max="8509" width="9" style="3283"/>
    <col min="8510" max="8510" width="36.625" style="3283" customWidth="1"/>
    <col min="8511" max="8704" width="9" style="3283"/>
    <col min="8705" max="8705" width="5" style="3283" customWidth="1"/>
    <col min="8706" max="8706" width="20.5" style="3283" customWidth="1"/>
    <col min="8707" max="8707" width="9.625" style="3283" customWidth="1"/>
    <col min="8708" max="8708" width="21" style="3283" customWidth="1"/>
    <col min="8709" max="8709" width="11" style="3283" customWidth="1"/>
    <col min="8710" max="8710" width="12.625" style="3283" customWidth="1"/>
    <col min="8711" max="8712" width="10.625" style="3283" customWidth="1"/>
    <col min="8713" max="8713" width="13.875" style="3283" customWidth="1"/>
    <col min="8714" max="8714" width="12.375" style="3283" customWidth="1"/>
    <col min="8715" max="8715" width="9.25" style="3283" customWidth="1"/>
    <col min="8716" max="8717" width="13.125" style="3283" customWidth="1"/>
    <col min="8718" max="8718" width="13" style="3283" customWidth="1"/>
    <col min="8719" max="8719" width="14.125" style="3283" customWidth="1"/>
    <col min="8720" max="8720" width="12.25" style="3283" customWidth="1"/>
    <col min="8721" max="8721" width="11.375" style="3283" customWidth="1"/>
    <col min="8722" max="8722" width="14.5" style="3283" customWidth="1"/>
    <col min="8723" max="8725" width="12.375" style="3283" customWidth="1"/>
    <col min="8726" max="8726" width="12.5" style="3283" customWidth="1"/>
    <col min="8727" max="8727" width="10.625" style="3283" customWidth="1"/>
    <col min="8728" max="8728" width="12.625" style="3283" customWidth="1"/>
    <col min="8729" max="8729" width="12.875" style="3283" customWidth="1"/>
    <col min="8730" max="8730" width="10.875" style="3283" customWidth="1"/>
    <col min="8731" max="8731" width="9.25" style="3283" customWidth="1"/>
    <col min="8732" max="8732" width="9" style="3283" customWidth="1"/>
    <col min="8733" max="8733" width="12.5" style="3283" customWidth="1"/>
    <col min="8734" max="8734" width="9.375" style="3283" customWidth="1"/>
    <col min="8735" max="8735" width="25.875" style="3283" customWidth="1"/>
    <col min="8736" max="8736" width="19.25" style="3283" customWidth="1"/>
    <col min="8737" max="8737" width="11.75" style="3283" customWidth="1"/>
    <col min="8738" max="8738" width="11.375" style="3283" customWidth="1"/>
    <col min="8739" max="8739" width="10.75" style="3283" customWidth="1"/>
    <col min="8740" max="8740" width="11" style="3283" customWidth="1"/>
    <col min="8741" max="8741" width="8.25" style="3283" customWidth="1"/>
    <col min="8742" max="8742" width="8.625" style="3283" customWidth="1"/>
    <col min="8743" max="8743" width="22.875" style="3283" customWidth="1"/>
    <col min="8744" max="8745" width="13.25" style="3283" customWidth="1"/>
    <col min="8746" max="8746" width="16.5" style="3283" customWidth="1"/>
    <col min="8747" max="8747" width="19.25" style="3283" customWidth="1"/>
    <col min="8748" max="8748" width="10.75" style="3283" customWidth="1"/>
    <col min="8749" max="8749" width="11.625" style="3283" customWidth="1"/>
    <col min="8750" max="8751" width="9.625" style="3283" customWidth="1"/>
    <col min="8752" max="8752" width="8.375" style="3283" customWidth="1"/>
    <col min="8753" max="8753" width="13" style="3283" customWidth="1"/>
    <col min="8754" max="8754" width="13.875" style="3283" customWidth="1"/>
    <col min="8755" max="8755" width="13.375" style="3283" customWidth="1"/>
    <col min="8756" max="8756" width="10.875" style="3283" customWidth="1"/>
    <col min="8757" max="8759" width="9" style="3283" customWidth="1"/>
    <col min="8760" max="8760" width="11.625" style="3283" customWidth="1"/>
    <col min="8761" max="8761" width="17.625" style="3283" customWidth="1"/>
    <col min="8762" max="8762" width="9" style="3283" customWidth="1"/>
    <col min="8763" max="8765" width="9" style="3283"/>
    <col min="8766" max="8766" width="36.625" style="3283" customWidth="1"/>
    <col min="8767" max="8960" width="9" style="3283"/>
    <col min="8961" max="8961" width="5" style="3283" customWidth="1"/>
    <col min="8962" max="8962" width="20.5" style="3283" customWidth="1"/>
    <col min="8963" max="8963" width="9.625" style="3283" customWidth="1"/>
    <col min="8964" max="8964" width="21" style="3283" customWidth="1"/>
    <col min="8965" max="8965" width="11" style="3283" customWidth="1"/>
    <col min="8966" max="8966" width="12.625" style="3283" customWidth="1"/>
    <col min="8967" max="8968" width="10.625" style="3283" customWidth="1"/>
    <col min="8969" max="8969" width="13.875" style="3283" customWidth="1"/>
    <col min="8970" max="8970" width="12.375" style="3283" customWidth="1"/>
    <col min="8971" max="8971" width="9.25" style="3283" customWidth="1"/>
    <col min="8972" max="8973" width="13.125" style="3283" customWidth="1"/>
    <col min="8974" max="8974" width="13" style="3283" customWidth="1"/>
    <col min="8975" max="8975" width="14.125" style="3283" customWidth="1"/>
    <col min="8976" max="8976" width="12.25" style="3283" customWidth="1"/>
    <col min="8977" max="8977" width="11.375" style="3283" customWidth="1"/>
    <col min="8978" max="8978" width="14.5" style="3283" customWidth="1"/>
    <col min="8979" max="8981" width="12.375" style="3283" customWidth="1"/>
    <col min="8982" max="8982" width="12.5" style="3283" customWidth="1"/>
    <col min="8983" max="8983" width="10.625" style="3283" customWidth="1"/>
    <col min="8984" max="8984" width="12.625" style="3283" customWidth="1"/>
    <col min="8985" max="8985" width="12.875" style="3283" customWidth="1"/>
    <col min="8986" max="8986" width="10.875" style="3283" customWidth="1"/>
    <col min="8987" max="8987" width="9.25" style="3283" customWidth="1"/>
    <col min="8988" max="8988" width="9" style="3283" customWidth="1"/>
    <col min="8989" max="8989" width="12.5" style="3283" customWidth="1"/>
    <col min="8990" max="8990" width="9.375" style="3283" customWidth="1"/>
    <col min="8991" max="8991" width="25.875" style="3283" customWidth="1"/>
    <col min="8992" max="8992" width="19.25" style="3283" customWidth="1"/>
    <col min="8993" max="8993" width="11.75" style="3283" customWidth="1"/>
    <col min="8994" max="8994" width="11.375" style="3283" customWidth="1"/>
    <col min="8995" max="8995" width="10.75" style="3283" customWidth="1"/>
    <col min="8996" max="8996" width="11" style="3283" customWidth="1"/>
    <col min="8997" max="8997" width="8.25" style="3283" customWidth="1"/>
    <col min="8998" max="8998" width="8.625" style="3283" customWidth="1"/>
    <col min="8999" max="8999" width="22.875" style="3283" customWidth="1"/>
    <col min="9000" max="9001" width="13.25" style="3283" customWidth="1"/>
    <col min="9002" max="9002" width="16.5" style="3283" customWidth="1"/>
    <col min="9003" max="9003" width="19.25" style="3283" customWidth="1"/>
    <col min="9004" max="9004" width="10.75" style="3283" customWidth="1"/>
    <col min="9005" max="9005" width="11.625" style="3283" customWidth="1"/>
    <col min="9006" max="9007" width="9.625" style="3283" customWidth="1"/>
    <col min="9008" max="9008" width="8.375" style="3283" customWidth="1"/>
    <col min="9009" max="9009" width="13" style="3283" customWidth="1"/>
    <col min="9010" max="9010" width="13.875" style="3283" customWidth="1"/>
    <col min="9011" max="9011" width="13.375" style="3283" customWidth="1"/>
    <col min="9012" max="9012" width="10.875" style="3283" customWidth="1"/>
    <col min="9013" max="9015" width="9" style="3283" customWidth="1"/>
    <col min="9016" max="9016" width="11.625" style="3283" customWidth="1"/>
    <col min="9017" max="9017" width="17.625" style="3283" customWidth="1"/>
    <col min="9018" max="9018" width="9" style="3283" customWidth="1"/>
    <col min="9019" max="9021" width="9" style="3283"/>
    <col min="9022" max="9022" width="36.625" style="3283" customWidth="1"/>
    <col min="9023" max="9216" width="9" style="3283"/>
    <col min="9217" max="9217" width="5" style="3283" customWidth="1"/>
    <col min="9218" max="9218" width="20.5" style="3283" customWidth="1"/>
    <col min="9219" max="9219" width="9.625" style="3283" customWidth="1"/>
    <col min="9220" max="9220" width="21" style="3283" customWidth="1"/>
    <col min="9221" max="9221" width="11" style="3283" customWidth="1"/>
    <col min="9222" max="9222" width="12.625" style="3283" customWidth="1"/>
    <col min="9223" max="9224" width="10.625" style="3283" customWidth="1"/>
    <col min="9225" max="9225" width="13.875" style="3283" customWidth="1"/>
    <col min="9226" max="9226" width="12.375" style="3283" customWidth="1"/>
    <col min="9227" max="9227" width="9.25" style="3283" customWidth="1"/>
    <col min="9228" max="9229" width="13.125" style="3283" customWidth="1"/>
    <col min="9230" max="9230" width="13" style="3283" customWidth="1"/>
    <col min="9231" max="9231" width="14.125" style="3283" customWidth="1"/>
    <col min="9232" max="9232" width="12.25" style="3283" customWidth="1"/>
    <col min="9233" max="9233" width="11.375" style="3283" customWidth="1"/>
    <col min="9234" max="9234" width="14.5" style="3283" customWidth="1"/>
    <col min="9235" max="9237" width="12.375" style="3283" customWidth="1"/>
    <col min="9238" max="9238" width="12.5" style="3283" customWidth="1"/>
    <col min="9239" max="9239" width="10.625" style="3283" customWidth="1"/>
    <col min="9240" max="9240" width="12.625" style="3283" customWidth="1"/>
    <col min="9241" max="9241" width="12.875" style="3283" customWidth="1"/>
    <col min="9242" max="9242" width="10.875" style="3283" customWidth="1"/>
    <col min="9243" max="9243" width="9.25" style="3283" customWidth="1"/>
    <col min="9244" max="9244" width="9" style="3283" customWidth="1"/>
    <col min="9245" max="9245" width="12.5" style="3283" customWidth="1"/>
    <col min="9246" max="9246" width="9.375" style="3283" customWidth="1"/>
    <col min="9247" max="9247" width="25.875" style="3283" customWidth="1"/>
    <col min="9248" max="9248" width="19.25" style="3283" customWidth="1"/>
    <col min="9249" max="9249" width="11.75" style="3283" customWidth="1"/>
    <col min="9250" max="9250" width="11.375" style="3283" customWidth="1"/>
    <col min="9251" max="9251" width="10.75" style="3283" customWidth="1"/>
    <col min="9252" max="9252" width="11" style="3283" customWidth="1"/>
    <col min="9253" max="9253" width="8.25" style="3283" customWidth="1"/>
    <col min="9254" max="9254" width="8.625" style="3283" customWidth="1"/>
    <col min="9255" max="9255" width="22.875" style="3283" customWidth="1"/>
    <col min="9256" max="9257" width="13.25" style="3283" customWidth="1"/>
    <col min="9258" max="9258" width="16.5" style="3283" customWidth="1"/>
    <col min="9259" max="9259" width="19.25" style="3283" customWidth="1"/>
    <col min="9260" max="9260" width="10.75" style="3283" customWidth="1"/>
    <col min="9261" max="9261" width="11.625" style="3283" customWidth="1"/>
    <col min="9262" max="9263" width="9.625" style="3283" customWidth="1"/>
    <col min="9264" max="9264" width="8.375" style="3283" customWidth="1"/>
    <col min="9265" max="9265" width="13" style="3283" customWidth="1"/>
    <col min="9266" max="9266" width="13.875" style="3283" customWidth="1"/>
    <col min="9267" max="9267" width="13.375" style="3283" customWidth="1"/>
    <col min="9268" max="9268" width="10.875" style="3283" customWidth="1"/>
    <col min="9269" max="9271" width="9" style="3283" customWidth="1"/>
    <col min="9272" max="9272" width="11.625" style="3283" customWidth="1"/>
    <col min="9273" max="9273" width="17.625" style="3283" customWidth="1"/>
    <col min="9274" max="9274" width="9" style="3283" customWidth="1"/>
    <col min="9275" max="9277" width="9" style="3283"/>
    <col min="9278" max="9278" width="36.625" style="3283" customWidth="1"/>
    <col min="9279" max="9472" width="9" style="3283"/>
    <col min="9473" max="9473" width="5" style="3283" customWidth="1"/>
    <col min="9474" max="9474" width="20.5" style="3283" customWidth="1"/>
    <col min="9475" max="9475" width="9.625" style="3283" customWidth="1"/>
    <col min="9476" max="9476" width="21" style="3283" customWidth="1"/>
    <col min="9477" max="9477" width="11" style="3283" customWidth="1"/>
    <col min="9478" max="9478" width="12.625" style="3283" customWidth="1"/>
    <col min="9479" max="9480" width="10.625" style="3283" customWidth="1"/>
    <col min="9481" max="9481" width="13.875" style="3283" customWidth="1"/>
    <col min="9482" max="9482" width="12.375" style="3283" customWidth="1"/>
    <col min="9483" max="9483" width="9.25" style="3283" customWidth="1"/>
    <col min="9484" max="9485" width="13.125" style="3283" customWidth="1"/>
    <col min="9486" max="9486" width="13" style="3283" customWidth="1"/>
    <col min="9487" max="9487" width="14.125" style="3283" customWidth="1"/>
    <col min="9488" max="9488" width="12.25" style="3283" customWidth="1"/>
    <col min="9489" max="9489" width="11.375" style="3283" customWidth="1"/>
    <col min="9490" max="9490" width="14.5" style="3283" customWidth="1"/>
    <col min="9491" max="9493" width="12.375" style="3283" customWidth="1"/>
    <col min="9494" max="9494" width="12.5" style="3283" customWidth="1"/>
    <col min="9495" max="9495" width="10.625" style="3283" customWidth="1"/>
    <col min="9496" max="9496" width="12.625" style="3283" customWidth="1"/>
    <col min="9497" max="9497" width="12.875" style="3283" customWidth="1"/>
    <col min="9498" max="9498" width="10.875" style="3283" customWidth="1"/>
    <col min="9499" max="9499" width="9.25" style="3283" customWidth="1"/>
    <col min="9500" max="9500" width="9" style="3283" customWidth="1"/>
    <col min="9501" max="9501" width="12.5" style="3283" customWidth="1"/>
    <col min="9502" max="9502" width="9.375" style="3283" customWidth="1"/>
    <col min="9503" max="9503" width="25.875" style="3283" customWidth="1"/>
    <col min="9504" max="9504" width="19.25" style="3283" customWidth="1"/>
    <col min="9505" max="9505" width="11.75" style="3283" customWidth="1"/>
    <col min="9506" max="9506" width="11.375" style="3283" customWidth="1"/>
    <col min="9507" max="9507" width="10.75" style="3283" customWidth="1"/>
    <col min="9508" max="9508" width="11" style="3283" customWidth="1"/>
    <col min="9509" max="9509" width="8.25" style="3283" customWidth="1"/>
    <col min="9510" max="9510" width="8.625" style="3283" customWidth="1"/>
    <col min="9511" max="9511" width="22.875" style="3283" customWidth="1"/>
    <col min="9512" max="9513" width="13.25" style="3283" customWidth="1"/>
    <col min="9514" max="9514" width="16.5" style="3283" customWidth="1"/>
    <col min="9515" max="9515" width="19.25" style="3283" customWidth="1"/>
    <col min="9516" max="9516" width="10.75" style="3283" customWidth="1"/>
    <col min="9517" max="9517" width="11.625" style="3283" customWidth="1"/>
    <col min="9518" max="9519" width="9.625" style="3283" customWidth="1"/>
    <col min="9520" max="9520" width="8.375" style="3283" customWidth="1"/>
    <col min="9521" max="9521" width="13" style="3283" customWidth="1"/>
    <col min="9522" max="9522" width="13.875" style="3283" customWidth="1"/>
    <col min="9523" max="9523" width="13.375" style="3283" customWidth="1"/>
    <col min="9524" max="9524" width="10.875" style="3283" customWidth="1"/>
    <col min="9525" max="9527" width="9" style="3283" customWidth="1"/>
    <col min="9528" max="9528" width="11.625" style="3283" customWidth="1"/>
    <col min="9529" max="9529" width="17.625" style="3283" customWidth="1"/>
    <col min="9530" max="9530" width="9" style="3283" customWidth="1"/>
    <col min="9531" max="9533" width="9" style="3283"/>
    <col min="9534" max="9534" width="36.625" style="3283" customWidth="1"/>
    <col min="9535" max="9728" width="9" style="3283"/>
    <col min="9729" max="9729" width="5" style="3283" customWidth="1"/>
    <col min="9730" max="9730" width="20.5" style="3283" customWidth="1"/>
    <col min="9731" max="9731" width="9.625" style="3283" customWidth="1"/>
    <col min="9732" max="9732" width="21" style="3283" customWidth="1"/>
    <col min="9733" max="9733" width="11" style="3283" customWidth="1"/>
    <col min="9734" max="9734" width="12.625" style="3283" customWidth="1"/>
    <col min="9735" max="9736" width="10.625" style="3283" customWidth="1"/>
    <col min="9737" max="9737" width="13.875" style="3283" customWidth="1"/>
    <col min="9738" max="9738" width="12.375" style="3283" customWidth="1"/>
    <col min="9739" max="9739" width="9.25" style="3283" customWidth="1"/>
    <col min="9740" max="9741" width="13.125" style="3283" customWidth="1"/>
    <col min="9742" max="9742" width="13" style="3283" customWidth="1"/>
    <col min="9743" max="9743" width="14.125" style="3283" customWidth="1"/>
    <col min="9744" max="9744" width="12.25" style="3283" customWidth="1"/>
    <col min="9745" max="9745" width="11.375" style="3283" customWidth="1"/>
    <col min="9746" max="9746" width="14.5" style="3283" customWidth="1"/>
    <col min="9747" max="9749" width="12.375" style="3283" customWidth="1"/>
    <col min="9750" max="9750" width="12.5" style="3283" customWidth="1"/>
    <col min="9751" max="9751" width="10.625" style="3283" customWidth="1"/>
    <col min="9752" max="9752" width="12.625" style="3283" customWidth="1"/>
    <col min="9753" max="9753" width="12.875" style="3283" customWidth="1"/>
    <col min="9754" max="9754" width="10.875" style="3283" customWidth="1"/>
    <col min="9755" max="9755" width="9.25" style="3283" customWidth="1"/>
    <col min="9756" max="9756" width="9" style="3283" customWidth="1"/>
    <col min="9757" max="9757" width="12.5" style="3283" customWidth="1"/>
    <col min="9758" max="9758" width="9.375" style="3283" customWidth="1"/>
    <col min="9759" max="9759" width="25.875" style="3283" customWidth="1"/>
    <col min="9760" max="9760" width="19.25" style="3283" customWidth="1"/>
    <col min="9761" max="9761" width="11.75" style="3283" customWidth="1"/>
    <col min="9762" max="9762" width="11.375" style="3283" customWidth="1"/>
    <col min="9763" max="9763" width="10.75" style="3283" customWidth="1"/>
    <col min="9764" max="9764" width="11" style="3283" customWidth="1"/>
    <col min="9765" max="9765" width="8.25" style="3283" customWidth="1"/>
    <col min="9766" max="9766" width="8.625" style="3283" customWidth="1"/>
    <col min="9767" max="9767" width="22.875" style="3283" customWidth="1"/>
    <col min="9768" max="9769" width="13.25" style="3283" customWidth="1"/>
    <col min="9770" max="9770" width="16.5" style="3283" customWidth="1"/>
    <col min="9771" max="9771" width="19.25" style="3283" customWidth="1"/>
    <col min="9772" max="9772" width="10.75" style="3283" customWidth="1"/>
    <col min="9773" max="9773" width="11.625" style="3283" customWidth="1"/>
    <col min="9774" max="9775" width="9.625" style="3283" customWidth="1"/>
    <col min="9776" max="9776" width="8.375" style="3283" customWidth="1"/>
    <col min="9777" max="9777" width="13" style="3283" customWidth="1"/>
    <col min="9778" max="9778" width="13.875" style="3283" customWidth="1"/>
    <col min="9779" max="9779" width="13.375" style="3283" customWidth="1"/>
    <col min="9780" max="9780" width="10.875" style="3283" customWidth="1"/>
    <col min="9781" max="9783" width="9" style="3283" customWidth="1"/>
    <col min="9784" max="9784" width="11.625" style="3283" customWidth="1"/>
    <col min="9785" max="9785" width="17.625" style="3283" customWidth="1"/>
    <col min="9786" max="9786" width="9" style="3283" customWidth="1"/>
    <col min="9787" max="9789" width="9" style="3283"/>
    <col min="9790" max="9790" width="36.625" style="3283" customWidth="1"/>
    <col min="9791" max="9984" width="9" style="3283"/>
    <col min="9985" max="9985" width="5" style="3283" customWidth="1"/>
    <col min="9986" max="9986" width="20.5" style="3283" customWidth="1"/>
    <col min="9987" max="9987" width="9.625" style="3283" customWidth="1"/>
    <col min="9988" max="9988" width="21" style="3283" customWidth="1"/>
    <col min="9989" max="9989" width="11" style="3283" customWidth="1"/>
    <col min="9990" max="9990" width="12.625" style="3283" customWidth="1"/>
    <col min="9991" max="9992" width="10.625" style="3283" customWidth="1"/>
    <col min="9993" max="9993" width="13.875" style="3283" customWidth="1"/>
    <col min="9994" max="9994" width="12.375" style="3283" customWidth="1"/>
    <col min="9995" max="9995" width="9.25" style="3283" customWidth="1"/>
    <col min="9996" max="9997" width="13.125" style="3283" customWidth="1"/>
    <col min="9998" max="9998" width="13" style="3283" customWidth="1"/>
    <col min="9999" max="9999" width="14.125" style="3283" customWidth="1"/>
    <col min="10000" max="10000" width="12.25" style="3283" customWidth="1"/>
    <col min="10001" max="10001" width="11.375" style="3283" customWidth="1"/>
    <col min="10002" max="10002" width="14.5" style="3283" customWidth="1"/>
    <col min="10003" max="10005" width="12.375" style="3283" customWidth="1"/>
    <col min="10006" max="10006" width="12.5" style="3283" customWidth="1"/>
    <col min="10007" max="10007" width="10.625" style="3283" customWidth="1"/>
    <col min="10008" max="10008" width="12.625" style="3283" customWidth="1"/>
    <col min="10009" max="10009" width="12.875" style="3283" customWidth="1"/>
    <col min="10010" max="10010" width="10.875" style="3283" customWidth="1"/>
    <col min="10011" max="10011" width="9.25" style="3283" customWidth="1"/>
    <col min="10012" max="10012" width="9" style="3283" customWidth="1"/>
    <col min="10013" max="10013" width="12.5" style="3283" customWidth="1"/>
    <col min="10014" max="10014" width="9.375" style="3283" customWidth="1"/>
    <col min="10015" max="10015" width="25.875" style="3283" customWidth="1"/>
    <col min="10016" max="10016" width="19.25" style="3283" customWidth="1"/>
    <col min="10017" max="10017" width="11.75" style="3283" customWidth="1"/>
    <col min="10018" max="10018" width="11.375" style="3283" customWidth="1"/>
    <col min="10019" max="10019" width="10.75" style="3283" customWidth="1"/>
    <col min="10020" max="10020" width="11" style="3283" customWidth="1"/>
    <col min="10021" max="10021" width="8.25" style="3283" customWidth="1"/>
    <col min="10022" max="10022" width="8.625" style="3283" customWidth="1"/>
    <col min="10023" max="10023" width="22.875" style="3283" customWidth="1"/>
    <col min="10024" max="10025" width="13.25" style="3283" customWidth="1"/>
    <col min="10026" max="10026" width="16.5" style="3283" customWidth="1"/>
    <col min="10027" max="10027" width="19.25" style="3283" customWidth="1"/>
    <col min="10028" max="10028" width="10.75" style="3283" customWidth="1"/>
    <col min="10029" max="10029" width="11.625" style="3283" customWidth="1"/>
    <col min="10030" max="10031" width="9.625" style="3283" customWidth="1"/>
    <col min="10032" max="10032" width="8.375" style="3283" customWidth="1"/>
    <col min="10033" max="10033" width="13" style="3283" customWidth="1"/>
    <col min="10034" max="10034" width="13.875" style="3283" customWidth="1"/>
    <col min="10035" max="10035" width="13.375" style="3283" customWidth="1"/>
    <col min="10036" max="10036" width="10.875" style="3283" customWidth="1"/>
    <col min="10037" max="10039" width="9" style="3283" customWidth="1"/>
    <col min="10040" max="10040" width="11.625" style="3283" customWidth="1"/>
    <col min="10041" max="10041" width="17.625" style="3283" customWidth="1"/>
    <col min="10042" max="10042" width="9" style="3283" customWidth="1"/>
    <col min="10043" max="10045" width="9" style="3283"/>
    <col min="10046" max="10046" width="36.625" style="3283" customWidth="1"/>
    <col min="10047" max="10240" width="9" style="3283"/>
    <col min="10241" max="10241" width="5" style="3283" customWidth="1"/>
    <col min="10242" max="10242" width="20.5" style="3283" customWidth="1"/>
    <col min="10243" max="10243" width="9.625" style="3283" customWidth="1"/>
    <col min="10244" max="10244" width="21" style="3283" customWidth="1"/>
    <col min="10245" max="10245" width="11" style="3283" customWidth="1"/>
    <col min="10246" max="10246" width="12.625" style="3283" customWidth="1"/>
    <col min="10247" max="10248" width="10.625" style="3283" customWidth="1"/>
    <col min="10249" max="10249" width="13.875" style="3283" customWidth="1"/>
    <col min="10250" max="10250" width="12.375" style="3283" customWidth="1"/>
    <col min="10251" max="10251" width="9.25" style="3283" customWidth="1"/>
    <col min="10252" max="10253" width="13.125" style="3283" customWidth="1"/>
    <col min="10254" max="10254" width="13" style="3283" customWidth="1"/>
    <col min="10255" max="10255" width="14.125" style="3283" customWidth="1"/>
    <col min="10256" max="10256" width="12.25" style="3283" customWidth="1"/>
    <col min="10257" max="10257" width="11.375" style="3283" customWidth="1"/>
    <col min="10258" max="10258" width="14.5" style="3283" customWidth="1"/>
    <col min="10259" max="10261" width="12.375" style="3283" customWidth="1"/>
    <col min="10262" max="10262" width="12.5" style="3283" customWidth="1"/>
    <col min="10263" max="10263" width="10.625" style="3283" customWidth="1"/>
    <col min="10264" max="10264" width="12.625" style="3283" customWidth="1"/>
    <col min="10265" max="10265" width="12.875" style="3283" customWidth="1"/>
    <col min="10266" max="10266" width="10.875" style="3283" customWidth="1"/>
    <col min="10267" max="10267" width="9.25" style="3283" customWidth="1"/>
    <col min="10268" max="10268" width="9" style="3283" customWidth="1"/>
    <col min="10269" max="10269" width="12.5" style="3283" customWidth="1"/>
    <col min="10270" max="10270" width="9.375" style="3283" customWidth="1"/>
    <col min="10271" max="10271" width="25.875" style="3283" customWidth="1"/>
    <col min="10272" max="10272" width="19.25" style="3283" customWidth="1"/>
    <col min="10273" max="10273" width="11.75" style="3283" customWidth="1"/>
    <col min="10274" max="10274" width="11.375" style="3283" customWidth="1"/>
    <col min="10275" max="10275" width="10.75" style="3283" customWidth="1"/>
    <col min="10276" max="10276" width="11" style="3283" customWidth="1"/>
    <col min="10277" max="10277" width="8.25" style="3283" customWidth="1"/>
    <col min="10278" max="10278" width="8.625" style="3283" customWidth="1"/>
    <col min="10279" max="10279" width="22.875" style="3283" customWidth="1"/>
    <col min="10280" max="10281" width="13.25" style="3283" customWidth="1"/>
    <col min="10282" max="10282" width="16.5" style="3283" customWidth="1"/>
    <col min="10283" max="10283" width="19.25" style="3283" customWidth="1"/>
    <col min="10284" max="10284" width="10.75" style="3283" customWidth="1"/>
    <col min="10285" max="10285" width="11.625" style="3283" customWidth="1"/>
    <col min="10286" max="10287" width="9.625" style="3283" customWidth="1"/>
    <col min="10288" max="10288" width="8.375" style="3283" customWidth="1"/>
    <col min="10289" max="10289" width="13" style="3283" customWidth="1"/>
    <col min="10290" max="10290" width="13.875" style="3283" customWidth="1"/>
    <col min="10291" max="10291" width="13.375" style="3283" customWidth="1"/>
    <col min="10292" max="10292" width="10.875" style="3283" customWidth="1"/>
    <col min="10293" max="10295" width="9" style="3283" customWidth="1"/>
    <col min="10296" max="10296" width="11.625" style="3283" customWidth="1"/>
    <col min="10297" max="10297" width="17.625" style="3283" customWidth="1"/>
    <col min="10298" max="10298" width="9" style="3283" customWidth="1"/>
    <col min="10299" max="10301" width="9" style="3283"/>
    <col min="10302" max="10302" width="36.625" style="3283" customWidth="1"/>
    <col min="10303" max="10496" width="9" style="3283"/>
    <col min="10497" max="10497" width="5" style="3283" customWidth="1"/>
    <col min="10498" max="10498" width="20.5" style="3283" customWidth="1"/>
    <col min="10499" max="10499" width="9.625" style="3283" customWidth="1"/>
    <col min="10500" max="10500" width="21" style="3283" customWidth="1"/>
    <col min="10501" max="10501" width="11" style="3283" customWidth="1"/>
    <col min="10502" max="10502" width="12.625" style="3283" customWidth="1"/>
    <col min="10503" max="10504" width="10.625" style="3283" customWidth="1"/>
    <col min="10505" max="10505" width="13.875" style="3283" customWidth="1"/>
    <col min="10506" max="10506" width="12.375" style="3283" customWidth="1"/>
    <col min="10507" max="10507" width="9.25" style="3283" customWidth="1"/>
    <col min="10508" max="10509" width="13.125" style="3283" customWidth="1"/>
    <col min="10510" max="10510" width="13" style="3283" customWidth="1"/>
    <col min="10511" max="10511" width="14.125" style="3283" customWidth="1"/>
    <col min="10512" max="10512" width="12.25" style="3283" customWidth="1"/>
    <col min="10513" max="10513" width="11.375" style="3283" customWidth="1"/>
    <col min="10514" max="10514" width="14.5" style="3283" customWidth="1"/>
    <col min="10515" max="10517" width="12.375" style="3283" customWidth="1"/>
    <col min="10518" max="10518" width="12.5" style="3283" customWidth="1"/>
    <col min="10519" max="10519" width="10.625" style="3283" customWidth="1"/>
    <col min="10520" max="10520" width="12.625" style="3283" customWidth="1"/>
    <col min="10521" max="10521" width="12.875" style="3283" customWidth="1"/>
    <col min="10522" max="10522" width="10.875" style="3283" customWidth="1"/>
    <col min="10523" max="10523" width="9.25" style="3283" customWidth="1"/>
    <col min="10524" max="10524" width="9" style="3283" customWidth="1"/>
    <col min="10525" max="10525" width="12.5" style="3283" customWidth="1"/>
    <col min="10526" max="10526" width="9.375" style="3283" customWidth="1"/>
    <col min="10527" max="10527" width="25.875" style="3283" customWidth="1"/>
    <col min="10528" max="10528" width="19.25" style="3283" customWidth="1"/>
    <col min="10529" max="10529" width="11.75" style="3283" customWidth="1"/>
    <col min="10530" max="10530" width="11.375" style="3283" customWidth="1"/>
    <col min="10531" max="10531" width="10.75" style="3283" customWidth="1"/>
    <col min="10532" max="10532" width="11" style="3283" customWidth="1"/>
    <col min="10533" max="10533" width="8.25" style="3283" customWidth="1"/>
    <col min="10534" max="10534" width="8.625" style="3283" customWidth="1"/>
    <col min="10535" max="10535" width="22.875" style="3283" customWidth="1"/>
    <col min="10536" max="10537" width="13.25" style="3283" customWidth="1"/>
    <col min="10538" max="10538" width="16.5" style="3283" customWidth="1"/>
    <col min="10539" max="10539" width="19.25" style="3283" customWidth="1"/>
    <col min="10540" max="10540" width="10.75" style="3283" customWidth="1"/>
    <col min="10541" max="10541" width="11.625" style="3283" customWidth="1"/>
    <col min="10542" max="10543" width="9.625" style="3283" customWidth="1"/>
    <col min="10544" max="10544" width="8.375" style="3283" customWidth="1"/>
    <col min="10545" max="10545" width="13" style="3283" customWidth="1"/>
    <col min="10546" max="10546" width="13.875" style="3283" customWidth="1"/>
    <col min="10547" max="10547" width="13.375" style="3283" customWidth="1"/>
    <col min="10548" max="10548" width="10.875" style="3283" customWidth="1"/>
    <col min="10549" max="10551" width="9" style="3283" customWidth="1"/>
    <col min="10552" max="10552" width="11.625" style="3283" customWidth="1"/>
    <col min="10553" max="10553" width="17.625" style="3283" customWidth="1"/>
    <col min="10554" max="10554" width="9" style="3283" customWidth="1"/>
    <col min="10555" max="10557" width="9" style="3283"/>
    <col min="10558" max="10558" width="36.625" style="3283" customWidth="1"/>
    <col min="10559" max="10752" width="9" style="3283"/>
    <col min="10753" max="10753" width="5" style="3283" customWidth="1"/>
    <col min="10754" max="10754" width="20.5" style="3283" customWidth="1"/>
    <col min="10755" max="10755" width="9.625" style="3283" customWidth="1"/>
    <col min="10756" max="10756" width="21" style="3283" customWidth="1"/>
    <col min="10757" max="10757" width="11" style="3283" customWidth="1"/>
    <col min="10758" max="10758" width="12.625" style="3283" customWidth="1"/>
    <col min="10759" max="10760" width="10.625" style="3283" customWidth="1"/>
    <col min="10761" max="10761" width="13.875" style="3283" customWidth="1"/>
    <col min="10762" max="10762" width="12.375" style="3283" customWidth="1"/>
    <col min="10763" max="10763" width="9.25" style="3283" customWidth="1"/>
    <col min="10764" max="10765" width="13.125" style="3283" customWidth="1"/>
    <col min="10766" max="10766" width="13" style="3283" customWidth="1"/>
    <col min="10767" max="10767" width="14.125" style="3283" customWidth="1"/>
    <col min="10768" max="10768" width="12.25" style="3283" customWidth="1"/>
    <col min="10769" max="10769" width="11.375" style="3283" customWidth="1"/>
    <col min="10770" max="10770" width="14.5" style="3283" customWidth="1"/>
    <col min="10771" max="10773" width="12.375" style="3283" customWidth="1"/>
    <col min="10774" max="10774" width="12.5" style="3283" customWidth="1"/>
    <col min="10775" max="10775" width="10.625" style="3283" customWidth="1"/>
    <col min="10776" max="10776" width="12.625" style="3283" customWidth="1"/>
    <col min="10777" max="10777" width="12.875" style="3283" customWidth="1"/>
    <col min="10778" max="10778" width="10.875" style="3283" customWidth="1"/>
    <col min="10779" max="10779" width="9.25" style="3283" customWidth="1"/>
    <col min="10780" max="10780" width="9" style="3283" customWidth="1"/>
    <col min="10781" max="10781" width="12.5" style="3283" customWidth="1"/>
    <col min="10782" max="10782" width="9.375" style="3283" customWidth="1"/>
    <col min="10783" max="10783" width="25.875" style="3283" customWidth="1"/>
    <col min="10784" max="10784" width="19.25" style="3283" customWidth="1"/>
    <col min="10785" max="10785" width="11.75" style="3283" customWidth="1"/>
    <col min="10786" max="10786" width="11.375" style="3283" customWidth="1"/>
    <col min="10787" max="10787" width="10.75" style="3283" customWidth="1"/>
    <col min="10788" max="10788" width="11" style="3283" customWidth="1"/>
    <col min="10789" max="10789" width="8.25" style="3283" customWidth="1"/>
    <col min="10790" max="10790" width="8.625" style="3283" customWidth="1"/>
    <col min="10791" max="10791" width="22.875" style="3283" customWidth="1"/>
    <col min="10792" max="10793" width="13.25" style="3283" customWidth="1"/>
    <col min="10794" max="10794" width="16.5" style="3283" customWidth="1"/>
    <col min="10795" max="10795" width="19.25" style="3283" customWidth="1"/>
    <col min="10796" max="10796" width="10.75" style="3283" customWidth="1"/>
    <col min="10797" max="10797" width="11.625" style="3283" customWidth="1"/>
    <col min="10798" max="10799" width="9.625" style="3283" customWidth="1"/>
    <col min="10800" max="10800" width="8.375" style="3283" customWidth="1"/>
    <col min="10801" max="10801" width="13" style="3283" customWidth="1"/>
    <col min="10802" max="10802" width="13.875" style="3283" customWidth="1"/>
    <col min="10803" max="10803" width="13.375" style="3283" customWidth="1"/>
    <col min="10804" max="10804" width="10.875" style="3283" customWidth="1"/>
    <col min="10805" max="10807" width="9" style="3283" customWidth="1"/>
    <col min="10808" max="10808" width="11.625" style="3283" customWidth="1"/>
    <col min="10809" max="10809" width="17.625" style="3283" customWidth="1"/>
    <col min="10810" max="10810" width="9" style="3283" customWidth="1"/>
    <col min="10811" max="10813" width="9" style="3283"/>
    <col min="10814" max="10814" width="36.625" style="3283" customWidth="1"/>
    <col min="10815" max="11008" width="9" style="3283"/>
    <col min="11009" max="11009" width="5" style="3283" customWidth="1"/>
    <col min="11010" max="11010" width="20.5" style="3283" customWidth="1"/>
    <col min="11011" max="11011" width="9.625" style="3283" customWidth="1"/>
    <col min="11012" max="11012" width="21" style="3283" customWidth="1"/>
    <col min="11013" max="11013" width="11" style="3283" customWidth="1"/>
    <col min="11014" max="11014" width="12.625" style="3283" customWidth="1"/>
    <col min="11015" max="11016" width="10.625" style="3283" customWidth="1"/>
    <col min="11017" max="11017" width="13.875" style="3283" customWidth="1"/>
    <col min="11018" max="11018" width="12.375" style="3283" customWidth="1"/>
    <col min="11019" max="11019" width="9.25" style="3283" customWidth="1"/>
    <col min="11020" max="11021" width="13.125" style="3283" customWidth="1"/>
    <col min="11022" max="11022" width="13" style="3283" customWidth="1"/>
    <col min="11023" max="11023" width="14.125" style="3283" customWidth="1"/>
    <col min="11024" max="11024" width="12.25" style="3283" customWidth="1"/>
    <col min="11025" max="11025" width="11.375" style="3283" customWidth="1"/>
    <col min="11026" max="11026" width="14.5" style="3283" customWidth="1"/>
    <col min="11027" max="11029" width="12.375" style="3283" customWidth="1"/>
    <col min="11030" max="11030" width="12.5" style="3283" customWidth="1"/>
    <col min="11031" max="11031" width="10.625" style="3283" customWidth="1"/>
    <col min="11032" max="11032" width="12.625" style="3283" customWidth="1"/>
    <col min="11033" max="11033" width="12.875" style="3283" customWidth="1"/>
    <col min="11034" max="11034" width="10.875" style="3283" customWidth="1"/>
    <col min="11035" max="11035" width="9.25" style="3283" customWidth="1"/>
    <col min="11036" max="11036" width="9" style="3283" customWidth="1"/>
    <col min="11037" max="11037" width="12.5" style="3283" customWidth="1"/>
    <col min="11038" max="11038" width="9.375" style="3283" customWidth="1"/>
    <col min="11039" max="11039" width="25.875" style="3283" customWidth="1"/>
    <col min="11040" max="11040" width="19.25" style="3283" customWidth="1"/>
    <col min="11041" max="11041" width="11.75" style="3283" customWidth="1"/>
    <col min="11042" max="11042" width="11.375" style="3283" customWidth="1"/>
    <col min="11043" max="11043" width="10.75" style="3283" customWidth="1"/>
    <col min="11044" max="11044" width="11" style="3283" customWidth="1"/>
    <col min="11045" max="11045" width="8.25" style="3283" customWidth="1"/>
    <col min="11046" max="11046" width="8.625" style="3283" customWidth="1"/>
    <col min="11047" max="11047" width="22.875" style="3283" customWidth="1"/>
    <col min="11048" max="11049" width="13.25" style="3283" customWidth="1"/>
    <col min="11050" max="11050" width="16.5" style="3283" customWidth="1"/>
    <col min="11051" max="11051" width="19.25" style="3283" customWidth="1"/>
    <col min="11052" max="11052" width="10.75" style="3283" customWidth="1"/>
    <col min="11053" max="11053" width="11.625" style="3283" customWidth="1"/>
    <col min="11054" max="11055" width="9.625" style="3283" customWidth="1"/>
    <col min="11056" max="11056" width="8.375" style="3283" customWidth="1"/>
    <col min="11057" max="11057" width="13" style="3283" customWidth="1"/>
    <col min="11058" max="11058" width="13.875" style="3283" customWidth="1"/>
    <col min="11059" max="11059" width="13.375" style="3283" customWidth="1"/>
    <col min="11060" max="11060" width="10.875" style="3283" customWidth="1"/>
    <col min="11061" max="11063" width="9" style="3283" customWidth="1"/>
    <col min="11064" max="11064" width="11.625" style="3283" customWidth="1"/>
    <col min="11065" max="11065" width="17.625" style="3283" customWidth="1"/>
    <col min="11066" max="11066" width="9" style="3283" customWidth="1"/>
    <col min="11067" max="11069" width="9" style="3283"/>
    <col min="11070" max="11070" width="36.625" style="3283" customWidth="1"/>
    <col min="11071" max="11264" width="9" style="3283"/>
    <col min="11265" max="11265" width="5" style="3283" customWidth="1"/>
    <col min="11266" max="11266" width="20.5" style="3283" customWidth="1"/>
    <col min="11267" max="11267" width="9.625" style="3283" customWidth="1"/>
    <col min="11268" max="11268" width="21" style="3283" customWidth="1"/>
    <col min="11269" max="11269" width="11" style="3283" customWidth="1"/>
    <col min="11270" max="11270" width="12.625" style="3283" customWidth="1"/>
    <col min="11271" max="11272" width="10.625" style="3283" customWidth="1"/>
    <col min="11273" max="11273" width="13.875" style="3283" customWidth="1"/>
    <col min="11274" max="11274" width="12.375" style="3283" customWidth="1"/>
    <col min="11275" max="11275" width="9.25" style="3283" customWidth="1"/>
    <col min="11276" max="11277" width="13.125" style="3283" customWidth="1"/>
    <col min="11278" max="11278" width="13" style="3283" customWidth="1"/>
    <col min="11279" max="11279" width="14.125" style="3283" customWidth="1"/>
    <col min="11280" max="11280" width="12.25" style="3283" customWidth="1"/>
    <col min="11281" max="11281" width="11.375" style="3283" customWidth="1"/>
    <col min="11282" max="11282" width="14.5" style="3283" customWidth="1"/>
    <col min="11283" max="11285" width="12.375" style="3283" customWidth="1"/>
    <col min="11286" max="11286" width="12.5" style="3283" customWidth="1"/>
    <col min="11287" max="11287" width="10.625" style="3283" customWidth="1"/>
    <col min="11288" max="11288" width="12.625" style="3283" customWidth="1"/>
    <col min="11289" max="11289" width="12.875" style="3283" customWidth="1"/>
    <col min="11290" max="11290" width="10.875" style="3283" customWidth="1"/>
    <col min="11291" max="11291" width="9.25" style="3283" customWidth="1"/>
    <col min="11292" max="11292" width="9" style="3283" customWidth="1"/>
    <col min="11293" max="11293" width="12.5" style="3283" customWidth="1"/>
    <col min="11294" max="11294" width="9.375" style="3283" customWidth="1"/>
    <col min="11295" max="11295" width="25.875" style="3283" customWidth="1"/>
    <col min="11296" max="11296" width="19.25" style="3283" customWidth="1"/>
    <col min="11297" max="11297" width="11.75" style="3283" customWidth="1"/>
    <col min="11298" max="11298" width="11.375" style="3283" customWidth="1"/>
    <col min="11299" max="11299" width="10.75" style="3283" customWidth="1"/>
    <col min="11300" max="11300" width="11" style="3283" customWidth="1"/>
    <col min="11301" max="11301" width="8.25" style="3283" customWidth="1"/>
    <col min="11302" max="11302" width="8.625" style="3283" customWidth="1"/>
    <col min="11303" max="11303" width="22.875" style="3283" customWidth="1"/>
    <col min="11304" max="11305" width="13.25" style="3283" customWidth="1"/>
    <col min="11306" max="11306" width="16.5" style="3283" customWidth="1"/>
    <col min="11307" max="11307" width="19.25" style="3283" customWidth="1"/>
    <col min="11308" max="11308" width="10.75" style="3283" customWidth="1"/>
    <col min="11309" max="11309" width="11.625" style="3283" customWidth="1"/>
    <col min="11310" max="11311" width="9.625" style="3283" customWidth="1"/>
    <col min="11312" max="11312" width="8.375" style="3283" customWidth="1"/>
    <col min="11313" max="11313" width="13" style="3283" customWidth="1"/>
    <col min="11314" max="11314" width="13.875" style="3283" customWidth="1"/>
    <col min="11315" max="11315" width="13.375" style="3283" customWidth="1"/>
    <col min="11316" max="11316" width="10.875" style="3283" customWidth="1"/>
    <col min="11317" max="11319" width="9" style="3283" customWidth="1"/>
    <col min="11320" max="11320" width="11.625" style="3283" customWidth="1"/>
    <col min="11321" max="11321" width="17.625" style="3283" customWidth="1"/>
    <col min="11322" max="11322" width="9" style="3283" customWidth="1"/>
    <col min="11323" max="11325" width="9" style="3283"/>
    <col min="11326" max="11326" width="36.625" style="3283" customWidth="1"/>
    <col min="11327" max="11520" width="9" style="3283"/>
    <col min="11521" max="11521" width="5" style="3283" customWidth="1"/>
    <col min="11522" max="11522" width="20.5" style="3283" customWidth="1"/>
    <col min="11523" max="11523" width="9.625" style="3283" customWidth="1"/>
    <col min="11524" max="11524" width="21" style="3283" customWidth="1"/>
    <col min="11525" max="11525" width="11" style="3283" customWidth="1"/>
    <col min="11526" max="11526" width="12.625" style="3283" customWidth="1"/>
    <col min="11527" max="11528" width="10.625" style="3283" customWidth="1"/>
    <col min="11529" max="11529" width="13.875" style="3283" customWidth="1"/>
    <col min="11530" max="11530" width="12.375" style="3283" customWidth="1"/>
    <col min="11531" max="11531" width="9.25" style="3283" customWidth="1"/>
    <col min="11532" max="11533" width="13.125" style="3283" customWidth="1"/>
    <col min="11534" max="11534" width="13" style="3283" customWidth="1"/>
    <col min="11535" max="11535" width="14.125" style="3283" customWidth="1"/>
    <col min="11536" max="11536" width="12.25" style="3283" customWidth="1"/>
    <col min="11537" max="11537" width="11.375" style="3283" customWidth="1"/>
    <col min="11538" max="11538" width="14.5" style="3283" customWidth="1"/>
    <col min="11539" max="11541" width="12.375" style="3283" customWidth="1"/>
    <col min="11542" max="11542" width="12.5" style="3283" customWidth="1"/>
    <col min="11543" max="11543" width="10.625" style="3283" customWidth="1"/>
    <col min="11544" max="11544" width="12.625" style="3283" customWidth="1"/>
    <col min="11545" max="11545" width="12.875" style="3283" customWidth="1"/>
    <col min="11546" max="11546" width="10.875" style="3283" customWidth="1"/>
    <col min="11547" max="11547" width="9.25" style="3283" customWidth="1"/>
    <col min="11548" max="11548" width="9" style="3283" customWidth="1"/>
    <col min="11549" max="11549" width="12.5" style="3283" customWidth="1"/>
    <col min="11550" max="11550" width="9.375" style="3283" customWidth="1"/>
    <col min="11551" max="11551" width="25.875" style="3283" customWidth="1"/>
    <col min="11552" max="11552" width="19.25" style="3283" customWidth="1"/>
    <col min="11553" max="11553" width="11.75" style="3283" customWidth="1"/>
    <col min="11554" max="11554" width="11.375" style="3283" customWidth="1"/>
    <col min="11555" max="11555" width="10.75" style="3283" customWidth="1"/>
    <col min="11556" max="11556" width="11" style="3283" customWidth="1"/>
    <col min="11557" max="11557" width="8.25" style="3283" customWidth="1"/>
    <col min="11558" max="11558" width="8.625" style="3283" customWidth="1"/>
    <col min="11559" max="11559" width="22.875" style="3283" customWidth="1"/>
    <col min="11560" max="11561" width="13.25" style="3283" customWidth="1"/>
    <col min="11562" max="11562" width="16.5" style="3283" customWidth="1"/>
    <col min="11563" max="11563" width="19.25" style="3283" customWidth="1"/>
    <col min="11564" max="11564" width="10.75" style="3283" customWidth="1"/>
    <col min="11565" max="11565" width="11.625" style="3283" customWidth="1"/>
    <col min="11566" max="11567" width="9.625" style="3283" customWidth="1"/>
    <col min="11568" max="11568" width="8.375" style="3283" customWidth="1"/>
    <col min="11569" max="11569" width="13" style="3283" customWidth="1"/>
    <col min="11570" max="11570" width="13.875" style="3283" customWidth="1"/>
    <col min="11571" max="11571" width="13.375" style="3283" customWidth="1"/>
    <col min="11572" max="11572" width="10.875" style="3283" customWidth="1"/>
    <col min="11573" max="11575" width="9" style="3283" customWidth="1"/>
    <col min="11576" max="11576" width="11.625" style="3283" customWidth="1"/>
    <col min="11577" max="11577" width="17.625" style="3283" customWidth="1"/>
    <col min="11578" max="11578" width="9" style="3283" customWidth="1"/>
    <col min="11579" max="11581" width="9" style="3283"/>
    <col min="11582" max="11582" width="36.625" style="3283" customWidth="1"/>
    <col min="11583" max="11776" width="9" style="3283"/>
    <col min="11777" max="11777" width="5" style="3283" customWidth="1"/>
    <col min="11778" max="11778" width="20.5" style="3283" customWidth="1"/>
    <col min="11779" max="11779" width="9.625" style="3283" customWidth="1"/>
    <col min="11780" max="11780" width="21" style="3283" customWidth="1"/>
    <col min="11781" max="11781" width="11" style="3283" customWidth="1"/>
    <col min="11782" max="11782" width="12.625" style="3283" customWidth="1"/>
    <col min="11783" max="11784" width="10.625" style="3283" customWidth="1"/>
    <col min="11785" max="11785" width="13.875" style="3283" customWidth="1"/>
    <col min="11786" max="11786" width="12.375" style="3283" customWidth="1"/>
    <col min="11787" max="11787" width="9.25" style="3283" customWidth="1"/>
    <col min="11788" max="11789" width="13.125" style="3283" customWidth="1"/>
    <col min="11790" max="11790" width="13" style="3283" customWidth="1"/>
    <col min="11791" max="11791" width="14.125" style="3283" customWidth="1"/>
    <col min="11792" max="11792" width="12.25" style="3283" customWidth="1"/>
    <col min="11793" max="11793" width="11.375" style="3283" customWidth="1"/>
    <col min="11794" max="11794" width="14.5" style="3283" customWidth="1"/>
    <col min="11795" max="11797" width="12.375" style="3283" customWidth="1"/>
    <col min="11798" max="11798" width="12.5" style="3283" customWidth="1"/>
    <col min="11799" max="11799" width="10.625" style="3283" customWidth="1"/>
    <col min="11800" max="11800" width="12.625" style="3283" customWidth="1"/>
    <col min="11801" max="11801" width="12.875" style="3283" customWidth="1"/>
    <col min="11802" max="11802" width="10.875" style="3283" customWidth="1"/>
    <col min="11803" max="11803" width="9.25" style="3283" customWidth="1"/>
    <col min="11804" max="11804" width="9" style="3283" customWidth="1"/>
    <col min="11805" max="11805" width="12.5" style="3283" customWidth="1"/>
    <col min="11806" max="11806" width="9.375" style="3283" customWidth="1"/>
    <col min="11807" max="11807" width="25.875" style="3283" customWidth="1"/>
    <col min="11808" max="11808" width="19.25" style="3283" customWidth="1"/>
    <col min="11809" max="11809" width="11.75" style="3283" customWidth="1"/>
    <col min="11810" max="11810" width="11.375" style="3283" customWidth="1"/>
    <col min="11811" max="11811" width="10.75" style="3283" customWidth="1"/>
    <col min="11812" max="11812" width="11" style="3283" customWidth="1"/>
    <col min="11813" max="11813" width="8.25" style="3283" customWidth="1"/>
    <col min="11814" max="11814" width="8.625" style="3283" customWidth="1"/>
    <col min="11815" max="11815" width="22.875" style="3283" customWidth="1"/>
    <col min="11816" max="11817" width="13.25" style="3283" customWidth="1"/>
    <col min="11818" max="11818" width="16.5" style="3283" customWidth="1"/>
    <col min="11819" max="11819" width="19.25" style="3283" customWidth="1"/>
    <col min="11820" max="11820" width="10.75" style="3283" customWidth="1"/>
    <col min="11821" max="11821" width="11.625" style="3283" customWidth="1"/>
    <col min="11822" max="11823" width="9.625" style="3283" customWidth="1"/>
    <col min="11824" max="11824" width="8.375" style="3283" customWidth="1"/>
    <col min="11825" max="11825" width="13" style="3283" customWidth="1"/>
    <col min="11826" max="11826" width="13.875" style="3283" customWidth="1"/>
    <col min="11827" max="11827" width="13.375" style="3283" customWidth="1"/>
    <col min="11828" max="11828" width="10.875" style="3283" customWidth="1"/>
    <col min="11829" max="11831" width="9" style="3283" customWidth="1"/>
    <col min="11832" max="11832" width="11.625" style="3283" customWidth="1"/>
    <col min="11833" max="11833" width="17.625" style="3283" customWidth="1"/>
    <col min="11834" max="11834" width="9" style="3283" customWidth="1"/>
    <col min="11835" max="11837" width="9" style="3283"/>
    <col min="11838" max="11838" width="36.625" style="3283" customWidth="1"/>
    <col min="11839" max="12032" width="9" style="3283"/>
    <col min="12033" max="12033" width="5" style="3283" customWidth="1"/>
    <col min="12034" max="12034" width="20.5" style="3283" customWidth="1"/>
    <col min="12035" max="12035" width="9.625" style="3283" customWidth="1"/>
    <col min="12036" max="12036" width="21" style="3283" customWidth="1"/>
    <col min="12037" max="12037" width="11" style="3283" customWidth="1"/>
    <col min="12038" max="12038" width="12.625" style="3283" customWidth="1"/>
    <col min="12039" max="12040" width="10.625" style="3283" customWidth="1"/>
    <col min="12041" max="12041" width="13.875" style="3283" customWidth="1"/>
    <col min="12042" max="12042" width="12.375" style="3283" customWidth="1"/>
    <col min="12043" max="12043" width="9.25" style="3283" customWidth="1"/>
    <col min="12044" max="12045" width="13.125" style="3283" customWidth="1"/>
    <col min="12046" max="12046" width="13" style="3283" customWidth="1"/>
    <col min="12047" max="12047" width="14.125" style="3283" customWidth="1"/>
    <col min="12048" max="12048" width="12.25" style="3283" customWidth="1"/>
    <col min="12049" max="12049" width="11.375" style="3283" customWidth="1"/>
    <col min="12050" max="12050" width="14.5" style="3283" customWidth="1"/>
    <col min="12051" max="12053" width="12.375" style="3283" customWidth="1"/>
    <col min="12054" max="12054" width="12.5" style="3283" customWidth="1"/>
    <col min="12055" max="12055" width="10.625" style="3283" customWidth="1"/>
    <col min="12056" max="12056" width="12.625" style="3283" customWidth="1"/>
    <col min="12057" max="12057" width="12.875" style="3283" customWidth="1"/>
    <col min="12058" max="12058" width="10.875" style="3283" customWidth="1"/>
    <col min="12059" max="12059" width="9.25" style="3283" customWidth="1"/>
    <col min="12060" max="12060" width="9" style="3283" customWidth="1"/>
    <col min="12061" max="12061" width="12.5" style="3283" customWidth="1"/>
    <col min="12062" max="12062" width="9.375" style="3283" customWidth="1"/>
    <col min="12063" max="12063" width="25.875" style="3283" customWidth="1"/>
    <col min="12064" max="12064" width="19.25" style="3283" customWidth="1"/>
    <col min="12065" max="12065" width="11.75" style="3283" customWidth="1"/>
    <col min="12066" max="12066" width="11.375" style="3283" customWidth="1"/>
    <col min="12067" max="12067" width="10.75" style="3283" customWidth="1"/>
    <col min="12068" max="12068" width="11" style="3283" customWidth="1"/>
    <col min="12069" max="12069" width="8.25" style="3283" customWidth="1"/>
    <col min="12070" max="12070" width="8.625" style="3283" customWidth="1"/>
    <col min="12071" max="12071" width="22.875" style="3283" customWidth="1"/>
    <col min="12072" max="12073" width="13.25" style="3283" customWidth="1"/>
    <col min="12074" max="12074" width="16.5" style="3283" customWidth="1"/>
    <col min="12075" max="12075" width="19.25" style="3283" customWidth="1"/>
    <col min="12076" max="12076" width="10.75" style="3283" customWidth="1"/>
    <col min="12077" max="12077" width="11.625" style="3283" customWidth="1"/>
    <col min="12078" max="12079" width="9.625" style="3283" customWidth="1"/>
    <col min="12080" max="12080" width="8.375" style="3283" customWidth="1"/>
    <col min="12081" max="12081" width="13" style="3283" customWidth="1"/>
    <col min="12082" max="12082" width="13.875" style="3283" customWidth="1"/>
    <col min="12083" max="12083" width="13.375" style="3283" customWidth="1"/>
    <col min="12084" max="12084" width="10.875" style="3283" customWidth="1"/>
    <col min="12085" max="12087" width="9" style="3283" customWidth="1"/>
    <col min="12088" max="12088" width="11.625" style="3283" customWidth="1"/>
    <col min="12089" max="12089" width="17.625" style="3283" customWidth="1"/>
    <col min="12090" max="12090" width="9" style="3283" customWidth="1"/>
    <col min="12091" max="12093" width="9" style="3283"/>
    <col min="12094" max="12094" width="36.625" style="3283" customWidth="1"/>
    <col min="12095" max="12288" width="9" style="3283"/>
    <col min="12289" max="12289" width="5" style="3283" customWidth="1"/>
    <col min="12290" max="12290" width="20.5" style="3283" customWidth="1"/>
    <col min="12291" max="12291" width="9.625" style="3283" customWidth="1"/>
    <col min="12292" max="12292" width="21" style="3283" customWidth="1"/>
    <col min="12293" max="12293" width="11" style="3283" customWidth="1"/>
    <col min="12294" max="12294" width="12.625" style="3283" customWidth="1"/>
    <col min="12295" max="12296" width="10.625" style="3283" customWidth="1"/>
    <col min="12297" max="12297" width="13.875" style="3283" customWidth="1"/>
    <col min="12298" max="12298" width="12.375" style="3283" customWidth="1"/>
    <col min="12299" max="12299" width="9.25" style="3283" customWidth="1"/>
    <col min="12300" max="12301" width="13.125" style="3283" customWidth="1"/>
    <col min="12302" max="12302" width="13" style="3283" customWidth="1"/>
    <col min="12303" max="12303" width="14.125" style="3283" customWidth="1"/>
    <col min="12304" max="12304" width="12.25" style="3283" customWidth="1"/>
    <col min="12305" max="12305" width="11.375" style="3283" customWidth="1"/>
    <col min="12306" max="12306" width="14.5" style="3283" customWidth="1"/>
    <col min="12307" max="12309" width="12.375" style="3283" customWidth="1"/>
    <col min="12310" max="12310" width="12.5" style="3283" customWidth="1"/>
    <col min="12311" max="12311" width="10.625" style="3283" customWidth="1"/>
    <col min="12312" max="12312" width="12.625" style="3283" customWidth="1"/>
    <col min="12313" max="12313" width="12.875" style="3283" customWidth="1"/>
    <col min="12314" max="12314" width="10.875" style="3283" customWidth="1"/>
    <col min="12315" max="12315" width="9.25" style="3283" customWidth="1"/>
    <col min="12316" max="12316" width="9" style="3283" customWidth="1"/>
    <col min="12317" max="12317" width="12.5" style="3283" customWidth="1"/>
    <col min="12318" max="12318" width="9.375" style="3283" customWidth="1"/>
    <col min="12319" max="12319" width="25.875" style="3283" customWidth="1"/>
    <col min="12320" max="12320" width="19.25" style="3283" customWidth="1"/>
    <col min="12321" max="12321" width="11.75" style="3283" customWidth="1"/>
    <col min="12322" max="12322" width="11.375" style="3283" customWidth="1"/>
    <col min="12323" max="12323" width="10.75" style="3283" customWidth="1"/>
    <col min="12324" max="12324" width="11" style="3283" customWidth="1"/>
    <col min="12325" max="12325" width="8.25" style="3283" customWidth="1"/>
    <col min="12326" max="12326" width="8.625" style="3283" customWidth="1"/>
    <col min="12327" max="12327" width="22.875" style="3283" customWidth="1"/>
    <col min="12328" max="12329" width="13.25" style="3283" customWidth="1"/>
    <col min="12330" max="12330" width="16.5" style="3283" customWidth="1"/>
    <col min="12331" max="12331" width="19.25" style="3283" customWidth="1"/>
    <col min="12332" max="12332" width="10.75" style="3283" customWidth="1"/>
    <col min="12333" max="12333" width="11.625" style="3283" customWidth="1"/>
    <col min="12334" max="12335" width="9.625" style="3283" customWidth="1"/>
    <col min="12336" max="12336" width="8.375" style="3283" customWidth="1"/>
    <col min="12337" max="12337" width="13" style="3283" customWidth="1"/>
    <col min="12338" max="12338" width="13.875" style="3283" customWidth="1"/>
    <col min="12339" max="12339" width="13.375" style="3283" customWidth="1"/>
    <col min="12340" max="12340" width="10.875" style="3283" customWidth="1"/>
    <col min="12341" max="12343" width="9" style="3283" customWidth="1"/>
    <col min="12344" max="12344" width="11.625" style="3283" customWidth="1"/>
    <col min="12345" max="12345" width="17.625" style="3283" customWidth="1"/>
    <col min="12346" max="12346" width="9" style="3283" customWidth="1"/>
    <col min="12347" max="12349" width="9" style="3283"/>
    <col min="12350" max="12350" width="36.625" style="3283" customWidth="1"/>
    <col min="12351" max="12544" width="9" style="3283"/>
    <col min="12545" max="12545" width="5" style="3283" customWidth="1"/>
    <col min="12546" max="12546" width="20.5" style="3283" customWidth="1"/>
    <col min="12547" max="12547" width="9.625" style="3283" customWidth="1"/>
    <col min="12548" max="12548" width="21" style="3283" customWidth="1"/>
    <col min="12549" max="12549" width="11" style="3283" customWidth="1"/>
    <col min="12550" max="12550" width="12.625" style="3283" customWidth="1"/>
    <col min="12551" max="12552" width="10.625" style="3283" customWidth="1"/>
    <col min="12553" max="12553" width="13.875" style="3283" customWidth="1"/>
    <col min="12554" max="12554" width="12.375" style="3283" customWidth="1"/>
    <col min="12555" max="12555" width="9.25" style="3283" customWidth="1"/>
    <col min="12556" max="12557" width="13.125" style="3283" customWidth="1"/>
    <col min="12558" max="12558" width="13" style="3283" customWidth="1"/>
    <col min="12559" max="12559" width="14.125" style="3283" customWidth="1"/>
    <col min="12560" max="12560" width="12.25" style="3283" customWidth="1"/>
    <col min="12561" max="12561" width="11.375" style="3283" customWidth="1"/>
    <col min="12562" max="12562" width="14.5" style="3283" customWidth="1"/>
    <col min="12563" max="12565" width="12.375" style="3283" customWidth="1"/>
    <col min="12566" max="12566" width="12.5" style="3283" customWidth="1"/>
    <col min="12567" max="12567" width="10.625" style="3283" customWidth="1"/>
    <col min="12568" max="12568" width="12.625" style="3283" customWidth="1"/>
    <col min="12569" max="12569" width="12.875" style="3283" customWidth="1"/>
    <col min="12570" max="12570" width="10.875" style="3283" customWidth="1"/>
    <col min="12571" max="12571" width="9.25" style="3283" customWidth="1"/>
    <col min="12572" max="12572" width="9" style="3283" customWidth="1"/>
    <col min="12573" max="12573" width="12.5" style="3283" customWidth="1"/>
    <col min="12574" max="12574" width="9.375" style="3283" customWidth="1"/>
    <col min="12575" max="12575" width="25.875" style="3283" customWidth="1"/>
    <col min="12576" max="12576" width="19.25" style="3283" customWidth="1"/>
    <col min="12577" max="12577" width="11.75" style="3283" customWidth="1"/>
    <col min="12578" max="12578" width="11.375" style="3283" customWidth="1"/>
    <col min="12579" max="12579" width="10.75" style="3283" customWidth="1"/>
    <col min="12580" max="12580" width="11" style="3283" customWidth="1"/>
    <col min="12581" max="12581" width="8.25" style="3283" customWidth="1"/>
    <col min="12582" max="12582" width="8.625" style="3283" customWidth="1"/>
    <col min="12583" max="12583" width="22.875" style="3283" customWidth="1"/>
    <col min="12584" max="12585" width="13.25" style="3283" customWidth="1"/>
    <col min="12586" max="12586" width="16.5" style="3283" customWidth="1"/>
    <col min="12587" max="12587" width="19.25" style="3283" customWidth="1"/>
    <col min="12588" max="12588" width="10.75" style="3283" customWidth="1"/>
    <col min="12589" max="12589" width="11.625" style="3283" customWidth="1"/>
    <col min="12590" max="12591" width="9.625" style="3283" customWidth="1"/>
    <col min="12592" max="12592" width="8.375" style="3283" customWidth="1"/>
    <col min="12593" max="12593" width="13" style="3283" customWidth="1"/>
    <col min="12594" max="12594" width="13.875" style="3283" customWidth="1"/>
    <col min="12595" max="12595" width="13.375" style="3283" customWidth="1"/>
    <col min="12596" max="12596" width="10.875" style="3283" customWidth="1"/>
    <col min="12597" max="12599" width="9" style="3283" customWidth="1"/>
    <col min="12600" max="12600" width="11.625" style="3283" customWidth="1"/>
    <col min="12601" max="12601" width="17.625" style="3283" customWidth="1"/>
    <col min="12602" max="12602" width="9" style="3283" customWidth="1"/>
    <col min="12603" max="12605" width="9" style="3283"/>
    <col min="12606" max="12606" width="36.625" style="3283" customWidth="1"/>
    <col min="12607" max="12800" width="9" style="3283"/>
    <col min="12801" max="12801" width="5" style="3283" customWidth="1"/>
    <col min="12802" max="12802" width="20.5" style="3283" customWidth="1"/>
    <col min="12803" max="12803" width="9.625" style="3283" customWidth="1"/>
    <col min="12804" max="12804" width="21" style="3283" customWidth="1"/>
    <col min="12805" max="12805" width="11" style="3283" customWidth="1"/>
    <col min="12806" max="12806" width="12.625" style="3283" customWidth="1"/>
    <col min="12807" max="12808" width="10.625" style="3283" customWidth="1"/>
    <col min="12809" max="12809" width="13.875" style="3283" customWidth="1"/>
    <col min="12810" max="12810" width="12.375" style="3283" customWidth="1"/>
    <col min="12811" max="12811" width="9.25" style="3283" customWidth="1"/>
    <col min="12812" max="12813" width="13.125" style="3283" customWidth="1"/>
    <col min="12814" max="12814" width="13" style="3283" customWidth="1"/>
    <col min="12815" max="12815" width="14.125" style="3283" customWidth="1"/>
    <col min="12816" max="12816" width="12.25" style="3283" customWidth="1"/>
    <col min="12817" max="12817" width="11.375" style="3283" customWidth="1"/>
    <col min="12818" max="12818" width="14.5" style="3283" customWidth="1"/>
    <col min="12819" max="12821" width="12.375" style="3283" customWidth="1"/>
    <col min="12822" max="12822" width="12.5" style="3283" customWidth="1"/>
    <col min="12823" max="12823" width="10.625" style="3283" customWidth="1"/>
    <col min="12824" max="12824" width="12.625" style="3283" customWidth="1"/>
    <col min="12825" max="12825" width="12.875" style="3283" customWidth="1"/>
    <col min="12826" max="12826" width="10.875" style="3283" customWidth="1"/>
    <col min="12827" max="12827" width="9.25" style="3283" customWidth="1"/>
    <col min="12828" max="12828" width="9" style="3283" customWidth="1"/>
    <col min="12829" max="12829" width="12.5" style="3283" customWidth="1"/>
    <col min="12830" max="12830" width="9.375" style="3283" customWidth="1"/>
    <col min="12831" max="12831" width="25.875" style="3283" customWidth="1"/>
    <col min="12832" max="12832" width="19.25" style="3283" customWidth="1"/>
    <col min="12833" max="12833" width="11.75" style="3283" customWidth="1"/>
    <col min="12834" max="12834" width="11.375" style="3283" customWidth="1"/>
    <col min="12835" max="12835" width="10.75" style="3283" customWidth="1"/>
    <col min="12836" max="12836" width="11" style="3283" customWidth="1"/>
    <col min="12837" max="12837" width="8.25" style="3283" customWidth="1"/>
    <col min="12838" max="12838" width="8.625" style="3283" customWidth="1"/>
    <col min="12839" max="12839" width="22.875" style="3283" customWidth="1"/>
    <col min="12840" max="12841" width="13.25" style="3283" customWidth="1"/>
    <col min="12842" max="12842" width="16.5" style="3283" customWidth="1"/>
    <col min="12843" max="12843" width="19.25" style="3283" customWidth="1"/>
    <col min="12844" max="12844" width="10.75" style="3283" customWidth="1"/>
    <col min="12845" max="12845" width="11.625" style="3283" customWidth="1"/>
    <col min="12846" max="12847" width="9.625" style="3283" customWidth="1"/>
    <col min="12848" max="12848" width="8.375" style="3283" customWidth="1"/>
    <col min="12849" max="12849" width="13" style="3283" customWidth="1"/>
    <col min="12850" max="12850" width="13.875" style="3283" customWidth="1"/>
    <col min="12851" max="12851" width="13.375" style="3283" customWidth="1"/>
    <col min="12852" max="12852" width="10.875" style="3283" customWidth="1"/>
    <col min="12853" max="12855" width="9" style="3283" customWidth="1"/>
    <col min="12856" max="12856" width="11.625" style="3283" customWidth="1"/>
    <col min="12857" max="12857" width="17.625" style="3283" customWidth="1"/>
    <col min="12858" max="12858" width="9" style="3283" customWidth="1"/>
    <col min="12859" max="12861" width="9" style="3283"/>
    <col min="12862" max="12862" width="36.625" style="3283" customWidth="1"/>
    <col min="12863" max="13056" width="9" style="3283"/>
    <col min="13057" max="13057" width="5" style="3283" customWidth="1"/>
    <col min="13058" max="13058" width="20.5" style="3283" customWidth="1"/>
    <col min="13059" max="13059" width="9.625" style="3283" customWidth="1"/>
    <col min="13060" max="13060" width="21" style="3283" customWidth="1"/>
    <col min="13061" max="13061" width="11" style="3283" customWidth="1"/>
    <col min="13062" max="13062" width="12.625" style="3283" customWidth="1"/>
    <col min="13063" max="13064" width="10.625" style="3283" customWidth="1"/>
    <col min="13065" max="13065" width="13.875" style="3283" customWidth="1"/>
    <col min="13066" max="13066" width="12.375" style="3283" customWidth="1"/>
    <col min="13067" max="13067" width="9.25" style="3283" customWidth="1"/>
    <col min="13068" max="13069" width="13.125" style="3283" customWidth="1"/>
    <col min="13070" max="13070" width="13" style="3283" customWidth="1"/>
    <col min="13071" max="13071" width="14.125" style="3283" customWidth="1"/>
    <col min="13072" max="13072" width="12.25" style="3283" customWidth="1"/>
    <col min="13073" max="13073" width="11.375" style="3283" customWidth="1"/>
    <col min="13074" max="13074" width="14.5" style="3283" customWidth="1"/>
    <col min="13075" max="13077" width="12.375" style="3283" customWidth="1"/>
    <col min="13078" max="13078" width="12.5" style="3283" customWidth="1"/>
    <col min="13079" max="13079" width="10.625" style="3283" customWidth="1"/>
    <col min="13080" max="13080" width="12.625" style="3283" customWidth="1"/>
    <col min="13081" max="13081" width="12.875" style="3283" customWidth="1"/>
    <col min="13082" max="13082" width="10.875" style="3283" customWidth="1"/>
    <col min="13083" max="13083" width="9.25" style="3283" customWidth="1"/>
    <col min="13084" max="13084" width="9" style="3283" customWidth="1"/>
    <col min="13085" max="13085" width="12.5" style="3283" customWidth="1"/>
    <col min="13086" max="13086" width="9.375" style="3283" customWidth="1"/>
    <col min="13087" max="13087" width="25.875" style="3283" customWidth="1"/>
    <col min="13088" max="13088" width="19.25" style="3283" customWidth="1"/>
    <col min="13089" max="13089" width="11.75" style="3283" customWidth="1"/>
    <col min="13090" max="13090" width="11.375" style="3283" customWidth="1"/>
    <col min="13091" max="13091" width="10.75" style="3283" customWidth="1"/>
    <col min="13092" max="13092" width="11" style="3283" customWidth="1"/>
    <col min="13093" max="13093" width="8.25" style="3283" customWidth="1"/>
    <col min="13094" max="13094" width="8.625" style="3283" customWidth="1"/>
    <col min="13095" max="13095" width="22.875" style="3283" customWidth="1"/>
    <col min="13096" max="13097" width="13.25" style="3283" customWidth="1"/>
    <col min="13098" max="13098" width="16.5" style="3283" customWidth="1"/>
    <col min="13099" max="13099" width="19.25" style="3283" customWidth="1"/>
    <col min="13100" max="13100" width="10.75" style="3283" customWidth="1"/>
    <col min="13101" max="13101" width="11.625" style="3283" customWidth="1"/>
    <col min="13102" max="13103" width="9.625" style="3283" customWidth="1"/>
    <col min="13104" max="13104" width="8.375" style="3283" customWidth="1"/>
    <col min="13105" max="13105" width="13" style="3283" customWidth="1"/>
    <col min="13106" max="13106" width="13.875" style="3283" customWidth="1"/>
    <col min="13107" max="13107" width="13.375" style="3283" customWidth="1"/>
    <col min="13108" max="13108" width="10.875" style="3283" customWidth="1"/>
    <col min="13109" max="13111" width="9" style="3283" customWidth="1"/>
    <col min="13112" max="13112" width="11.625" style="3283" customWidth="1"/>
    <col min="13113" max="13113" width="17.625" style="3283" customWidth="1"/>
    <col min="13114" max="13114" width="9" style="3283" customWidth="1"/>
    <col min="13115" max="13117" width="9" style="3283"/>
    <col min="13118" max="13118" width="36.625" style="3283" customWidth="1"/>
    <col min="13119" max="13312" width="9" style="3283"/>
    <col min="13313" max="13313" width="5" style="3283" customWidth="1"/>
    <col min="13314" max="13314" width="20.5" style="3283" customWidth="1"/>
    <col min="13315" max="13315" width="9.625" style="3283" customWidth="1"/>
    <col min="13316" max="13316" width="21" style="3283" customWidth="1"/>
    <col min="13317" max="13317" width="11" style="3283" customWidth="1"/>
    <col min="13318" max="13318" width="12.625" style="3283" customWidth="1"/>
    <col min="13319" max="13320" width="10.625" style="3283" customWidth="1"/>
    <col min="13321" max="13321" width="13.875" style="3283" customWidth="1"/>
    <col min="13322" max="13322" width="12.375" style="3283" customWidth="1"/>
    <col min="13323" max="13323" width="9.25" style="3283" customWidth="1"/>
    <col min="13324" max="13325" width="13.125" style="3283" customWidth="1"/>
    <col min="13326" max="13326" width="13" style="3283" customWidth="1"/>
    <col min="13327" max="13327" width="14.125" style="3283" customWidth="1"/>
    <col min="13328" max="13328" width="12.25" style="3283" customWidth="1"/>
    <col min="13329" max="13329" width="11.375" style="3283" customWidth="1"/>
    <col min="13330" max="13330" width="14.5" style="3283" customWidth="1"/>
    <col min="13331" max="13333" width="12.375" style="3283" customWidth="1"/>
    <col min="13334" max="13334" width="12.5" style="3283" customWidth="1"/>
    <col min="13335" max="13335" width="10.625" style="3283" customWidth="1"/>
    <col min="13336" max="13336" width="12.625" style="3283" customWidth="1"/>
    <col min="13337" max="13337" width="12.875" style="3283" customWidth="1"/>
    <col min="13338" max="13338" width="10.875" style="3283" customWidth="1"/>
    <col min="13339" max="13339" width="9.25" style="3283" customWidth="1"/>
    <col min="13340" max="13340" width="9" style="3283" customWidth="1"/>
    <col min="13341" max="13341" width="12.5" style="3283" customWidth="1"/>
    <col min="13342" max="13342" width="9.375" style="3283" customWidth="1"/>
    <col min="13343" max="13343" width="25.875" style="3283" customWidth="1"/>
    <col min="13344" max="13344" width="19.25" style="3283" customWidth="1"/>
    <col min="13345" max="13345" width="11.75" style="3283" customWidth="1"/>
    <col min="13346" max="13346" width="11.375" style="3283" customWidth="1"/>
    <col min="13347" max="13347" width="10.75" style="3283" customWidth="1"/>
    <col min="13348" max="13348" width="11" style="3283" customWidth="1"/>
    <col min="13349" max="13349" width="8.25" style="3283" customWidth="1"/>
    <col min="13350" max="13350" width="8.625" style="3283" customWidth="1"/>
    <col min="13351" max="13351" width="22.875" style="3283" customWidth="1"/>
    <col min="13352" max="13353" width="13.25" style="3283" customWidth="1"/>
    <col min="13354" max="13354" width="16.5" style="3283" customWidth="1"/>
    <col min="13355" max="13355" width="19.25" style="3283" customWidth="1"/>
    <col min="13356" max="13356" width="10.75" style="3283" customWidth="1"/>
    <col min="13357" max="13357" width="11.625" style="3283" customWidth="1"/>
    <col min="13358" max="13359" width="9.625" style="3283" customWidth="1"/>
    <col min="13360" max="13360" width="8.375" style="3283" customWidth="1"/>
    <col min="13361" max="13361" width="13" style="3283" customWidth="1"/>
    <col min="13362" max="13362" width="13.875" style="3283" customWidth="1"/>
    <col min="13363" max="13363" width="13.375" style="3283" customWidth="1"/>
    <col min="13364" max="13364" width="10.875" style="3283" customWidth="1"/>
    <col min="13365" max="13367" width="9" style="3283" customWidth="1"/>
    <col min="13368" max="13368" width="11.625" style="3283" customWidth="1"/>
    <col min="13369" max="13369" width="17.625" style="3283" customWidth="1"/>
    <col min="13370" max="13370" width="9" style="3283" customWidth="1"/>
    <col min="13371" max="13373" width="9" style="3283"/>
    <col min="13374" max="13374" width="36.625" style="3283" customWidth="1"/>
    <col min="13375" max="13568" width="9" style="3283"/>
    <col min="13569" max="13569" width="5" style="3283" customWidth="1"/>
    <col min="13570" max="13570" width="20.5" style="3283" customWidth="1"/>
    <col min="13571" max="13571" width="9.625" style="3283" customWidth="1"/>
    <col min="13572" max="13572" width="21" style="3283" customWidth="1"/>
    <col min="13573" max="13573" width="11" style="3283" customWidth="1"/>
    <col min="13574" max="13574" width="12.625" style="3283" customWidth="1"/>
    <col min="13575" max="13576" width="10.625" style="3283" customWidth="1"/>
    <col min="13577" max="13577" width="13.875" style="3283" customWidth="1"/>
    <col min="13578" max="13578" width="12.375" style="3283" customWidth="1"/>
    <col min="13579" max="13579" width="9.25" style="3283" customWidth="1"/>
    <col min="13580" max="13581" width="13.125" style="3283" customWidth="1"/>
    <col min="13582" max="13582" width="13" style="3283" customWidth="1"/>
    <col min="13583" max="13583" width="14.125" style="3283" customWidth="1"/>
    <col min="13584" max="13584" width="12.25" style="3283" customWidth="1"/>
    <col min="13585" max="13585" width="11.375" style="3283" customWidth="1"/>
    <col min="13586" max="13586" width="14.5" style="3283" customWidth="1"/>
    <col min="13587" max="13589" width="12.375" style="3283" customWidth="1"/>
    <col min="13590" max="13590" width="12.5" style="3283" customWidth="1"/>
    <col min="13591" max="13591" width="10.625" style="3283" customWidth="1"/>
    <col min="13592" max="13592" width="12.625" style="3283" customWidth="1"/>
    <col min="13593" max="13593" width="12.875" style="3283" customWidth="1"/>
    <col min="13594" max="13594" width="10.875" style="3283" customWidth="1"/>
    <col min="13595" max="13595" width="9.25" style="3283" customWidth="1"/>
    <col min="13596" max="13596" width="9" style="3283" customWidth="1"/>
    <col min="13597" max="13597" width="12.5" style="3283" customWidth="1"/>
    <col min="13598" max="13598" width="9.375" style="3283" customWidth="1"/>
    <col min="13599" max="13599" width="25.875" style="3283" customWidth="1"/>
    <col min="13600" max="13600" width="19.25" style="3283" customWidth="1"/>
    <col min="13601" max="13601" width="11.75" style="3283" customWidth="1"/>
    <col min="13602" max="13602" width="11.375" style="3283" customWidth="1"/>
    <col min="13603" max="13603" width="10.75" style="3283" customWidth="1"/>
    <col min="13604" max="13604" width="11" style="3283" customWidth="1"/>
    <col min="13605" max="13605" width="8.25" style="3283" customWidth="1"/>
    <col min="13606" max="13606" width="8.625" style="3283" customWidth="1"/>
    <col min="13607" max="13607" width="22.875" style="3283" customWidth="1"/>
    <col min="13608" max="13609" width="13.25" style="3283" customWidth="1"/>
    <col min="13610" max="13610" width="16.5" style="3283" customWidth="1"/>
    <col min="13611" max="13611" width="19.25" style="3283" customWidth="1"/>
    <col min="13612" max="13612" width="10.75" style="3283" customWidth="1"/>
    <col min="13613" max="13613" width="11.625" style="3283" customWidth="1"/>
    <col min="13614" max="13615" width="9.625" style="3283" customWidth="1"/>
    <col min="13616" max="13616" width="8.375" style="3283" customWidth="1"/>
    <col min="13617" max="13617" width="13" style="3283" customWidth="1"/>
    <col min="13618" max="13618" width="13.875" style="3283" customWidth="1"/>
    <col min="13619" max="13619" width="13.375" style="3283" customWidth="1"/>
    <col min="13620" max="13620" width="10.875" style="3283" customWidth="1"/>
    <col min="13621" max="13623" width="9" style="3283" customWidth="1"/>
    <col min="13624" max="13624" width="11.625" style="3283" customWidth="1"/>
    <col min="13625" max="13625" width="17.625" style="3283" customWidth="1"/>
    <col min="13626" max="13626" width="9" style="3283" customWidth="1"/>
    <col min="13627" max="13629" width="9" style="3283"/>
    <col min="13630" max="13630" width="36.625" style="3283" customWidth="1"/>
    <col min="13631" max="13824" width="9" style="3283"/>
    <col min="13825" max="13825" width="5" style="3283" customWidth="1"/>
    <col min="13826" max="13826" width="20.5" style="3283" customWidth="1"/>
    <col min="13827" max="13827" width="9.625" style="3283" customWidth="1"/>
    <col min="13828" max="13828" width="21" style="3283" customWidth="1"/>
    <col min="13829" max="13829" width="11" style="3283" customWidth="1"/>
    <col min="13830" max="13830" width="12.625" style="3283" customWidth="1"/>
    <col min="13831" max="13832" width="10.625" style="3283" customWidth="1"/>
    <col min="13833" max="13833" width="13.875" style="3283" customWidth="1"/>
    <col min="13834" max="13834" width="12.375" style="3283" customWidth="1"/>
    <col min="13835" max="13835" width="9.25" style="3283" customWidth="1"/>
    <col min="13836" max="13837" width="13.125" style="3283" customWidth="1"/>
    <col min="13838" max="13838" width="13" style="3283" customWidth="1"/>
    <col min="13839" max="13839" width="14.125" style="3283" customWidth="1"/>
    <col min="13840" max="13840" width="12.25" style="3283" customWidth="1"/>
    <col min="13841" max="13841" width="11.375" style="3283" customWidth="1"/>
    <col min="13842" max="13842" width="14.5" style="3283" customWidth="1"/>
    <col min="13843" max="13845" width="12.375" style="3283" customWidth="1"/>
    <col min="13846" max="13846" width="12.5" style="3283" customWidth="1"/>
    <col min="13847" max="13847" width="10.625" style="3283" customWidth="1"/>
    <col min="13848" max="13848" width="12.625" style="3283" customWidth="1"/>
    <col min="13849" max="13849" width="12.875" style="3283" customWidth="1"/>
    <col min="13850" max="13850" width="10.875" style="3283" customWidth="1"/>
    <col min="13851" max="13851" width="9.25" style="3283" customWidth="1"/>
    <col min="13852" max="13852" width="9" style="3283" customWidth="1"/>
    <col min="13853" max="13853" width="12.5" style="3283" customWidth="1"/>
    <col min="13854" max="13854" width="9.375" style="3283" customWidth="1"/>
    <col min="13855" max="13855" width="25.875" style="3283" customWidth="1"/>
    <col min="13856" max="13856" width="19.25" style="3283" customWidth="1"/>
    <col min="13857" max="13857" width="11.75" style="3283" customWidth="1"/>
    <col min="13858" max="13858" width="11.375" style="3283" customWidth="1"/>
    <col min="13859" max="13859" width="10.75" style="3283" customWidth="1"/>
    <col min="13860" max="13860" width="11" style="3283" customWidth="1"/>
    <col min="13861" max="13861" width="8.25" style="3283" customWidth="1"/>
    <col min="13862" max="13862" width="8.625" style="3283" customWidth="1"/>
    <col min="13863" max="13863" width="22.875" style="3283" customWidth="1"/>
    <col min="13864" max="13865" width="13.25" style="3283" customWidth="1"/>
    <col min="13866" max="13866" width="16.5" style="3283" customWidth="1"/>
    <col min="13867" max="13867" width="19.25" style="3283" customWidth="1"/>
    <col min="13868" max="13868" width="10.75" style="3283" customWidth="1"/>
    <col min="13869" max="13869" width="11.625" style="3283" customWidth="1"/>
    <col min="13870" max="13871" width="9.625" style="3283" customWidth="1"/>
    <col min="13872" max="13872" width="8.375" style="3283" customWidth="1"/>
    <col min="13873" max="13873" width="13" style="3283" customWidth="1"/>
    <col min="13874" max="13874" width="13.875" style="3283" customWidth="1"/>
    <col min="13875" max="13875" width="13.375" style="3283" customWidth="1"/>
    <col min="13876" max="13876" width="10.875" style="3283" customWidth="1"/>
    <col min="13877" max="13879" width="9" style="3283" customWidth="1"/>
    <col min="13880" max="13880" width="11.625" style="3283" customWidth="1"/>
    <col min="13881" max="13881" width="17.625" style="3283" customWidth="1"/>
    <col min="13882" max="13882" width="9" style="3283" customWidth="1"/>
    <col min="13883" max="13885" width="9" style="3283"/>
    <col min="13886" max="13886" width="36.625" style="3283" customWidth="1"/>
    <col min="13887" max="14080" width="9" style="3283"/>
    <col min="14081" max="14081" width="5" style="3283" customWidth="1"/>
    <col min="14082" max="14082" width="20.5" style="3283" customWidth="1"/>
    <col min="14083" max="14083" width="9.625" style="3283" customWidth="1"/>
    <col min="14084" max="14084" width="21" style="3283" customWidth="1"/>
    <col min="14085" max="14085" width="11" style="3283" customWidth="1"/>
    <col min="14086" max="14086" width="12.625" style="3283" customWidth="1"/>
    <col min="14087" max="14088" width="10.625" style="3283" customWidth="1"/>
    <col min="14089" max="14089" width="13.875" style="3283" customWidth="1"/>
    <col min="14090" max="14090" width="12.375" style="3283" customWidth="1"/>
    <col min="14091" max="14091" width="9.25" style="3283" customWidth="1"/>
    <col min="14092" max="14093" width="13.125" style="3283" customWidth="1"/>
    <col min="14094" max="14094" width="13" style="3283" customWidth="1"/>
    <col min="14095" max="14095" width="14.125" style="3283" customWidth="1"/>
    <col min="14096" max="14096" width="12.25" style="3283" customWidth="1"/>
    <col min="14097" max="14097" width="11.375" style="3283" customWidth="1"/>
    <col min="14098" max="14098" width="14.5" style="3283" customWidth="1"/>
    <col min="14099" max="14101" width="12.375" style="3283" customWidth="1"/>
    <col min="14102" max="14102" width="12.5" style="3283" customWidth="1"/>
    <col min="14103" max="14103" width="10.625" style="3283" customWidth="1"/>
    <col min="14104" max="14104" width="12.625" style="3283" customWidth="1"/>
    <col min="14105" max="14105" width="12.875" style="3283" customWidth="1"/>
    <col min="14106" max="14106" width="10.875" style="3283" customWidth="1"/>
    <col min="14107" max="14107" width="9.25" style="3283" customWidth="1"/>
    <col min="14108" max="14108" width="9" style="3283" customWidth="1"/>
    <col min="14109" max="14109" width="12.5" style="3283" customWidth="1"/>
    <col min="14110" max="14110" width="9.375" style="3283" customWidth="1"/>
    <col min="14111" max="14111" width="25.875" style="3283" customWidth="1"/>
    <col min="14112" max="14112" width="19.25" style="3283" customWidth="1"/>
    <col min="14113" max="14113" width="11.75" style="3283" customWidth="1"/>
    <col min="14114" max="14114" width="11.375" style="3283" customWidth="1"/>
    <col min="14115" max="14115" width="10.75" style="3283" customWidth="1"/>
    <col min="14116" max="14116" width="11" style="3283" customWidth="1"/>
    <col min="14117" max="14117" width="8.25" style="3283" customWidth="1"/>
    <col min="14118" max="14118" width="8.625" style="3283" customWidth="1"/>
    <col min="14119" max="14119" width="22.875" style="3283" customWidth="1"/>
    <col min="14120" max="14121" width="13.25" style="3283" customWidth="1"/>
    <col min="14122" max="14122" width="16.5" style="3283" customWidth="1"/>
    <col min="14123" max="14123" width="19.25" style="3283" customWidth="1"/>
    <col min="14124" max="14124" width="10.75" style="3283" customWidth="1"/>
    <col min="14125" max="14125" width="11.625" style="3283" customWidth="1"/>
    <col min="14126" max="14127" width="9.625" style="3283" customWidth="1"/>
    <col min="14128" max="14128" width="8.375" style="3283" customWidth="1"/>
    <col min="14129" max="14129" width="13" style="3283" customWidth="1"/>
    <col min="14130" max="14130" width="13.875" style="3283" customWidth="1"/>
    <col min="14131" max="14131" width="13.375" style="3283" customWidth="1"/>
    <col min="14132" max="14132" width="10.875" style="3283" customWidth="1"/>
    <col min="14133" max="14135" width="9" style="3283" customWidth="1"/>
    <col min="14136" max="14136" width="11.625" style="3283" customWidth="1"/>
    <col min="14137" max="14137" width="17.625" style="3283" customWidth="1"/>
    <col min="14138" max="14138" width="9" style="3283" customWidth="1"/>
    <col min="14139" max="14141" width="9" style="3283"/>
    <col min="14142" max="14142" width="36.625" style="3283" customWidth="1"/>
    <col min="14143" max="14336" width="9" style="3283"/>
    <col min="14337" max="14337" width="5" style="3283" customWidth="1"/>
    <col min="14338" max="14338" width="20.5" style="3283" customWidth="1"/>
    <col min="14339" max="14339" width="9.625" style="3283" customWidth="1"/>
    <col min="14340" max="14340" width="21" style="3283" customWidth="1"/>
    <col min="14341" max="14341" width="11" style="3283" customWidth="1"/>
    <col min="14342" max="14342" width="12.625" style="3283" customWidth="1"/>
    <col min="14343" max="14344" width="10.625" style="3283" customWidth="1"/>
    <col min="14345" max="14345" width="13.875" style="3283" customWidth="1"/>
    <col min="14346" max="14346" width="12.375" style="3283" customWidth="1"/>
    <col min="14347" max="14347" width="9.25" style="3283" customWidth="1"/>
    <col min="14348" max="14349" width="13.125" style="3283" customWidth="1"/>
    <col min="14350" max="14350" width="13" style="3283" customWidth="1"/>
    <col min="14351" max="14351" width="14.125" style="3283" customWidth="1"/>
    <col min="14352" max="14352" width="12.25" style="3283" customWidth="1"/>
    <col min="14353" max="14353" width="11.375" style="3283" customWidth="1"/>
    <col min="14354" max="14354" width="14.5" style="3283" customWidth="1"/>
    <col min="14355" max="14357" width="12.375" style="3283" customWidth="1"/>
    <col min="14358" max="14358" width="12.5" style="3283" customWidth="1"/>
    <col min="14359" max="14359" width="10.625" style="3283" customWidth="1"/>
    <col min="14360" max="14360" width="12.625" style="3283" customWidth="1"/>
    <col min="14361" max="14361" width="12.875" style="3283" customWidth="1"/>
    <col min="14362" max="14362" width="10.875" style="3283" customWidth="1"/>
    <col min="14363" max="14363" width="9.25" style="3283" customWidth="1"/>
    <col min="14364" max="14364" width="9" style="3283" customWidth="1"/>
    <col min="14365" max="14365" width="12.5" style="3283" customWidth="1"/>
    <col min="14366" max="14366" width="9.375" style="3283" customWidth="1"/>
    <col min="14367" max="14367" width="25.875" style="3283" customWidth="1"/>
    <col min="14368" max="14368" width="19.25" style="3283" customWidth="1"/>
    <col min="14369" max="14369" width="11.75" style="3283" customWidth="1"/>
    <col min="14370" max="14370" width="11.375" style="3283" customWidth="1"/>
    <col min="14371" max="14371" width="10.75" style="3283" customWidth="1"/>
    <col min="14372" max="14372" width="11" style="3283" customWidth="1"/>
    <col min="14373" max="14373" width="8.25" style="3283" customWidth="1"/>
    <col min="14374" max="14374" width="8.625" style="3283" customWidth="1"/>
    <col min="14375" max="14375" width="22.875" style="3283" customWidth="1"/>
    <col min="14376" max="14377" width="13.25" style="3283" customWidth="1"/>
    <col min="14378" max="14378" width="16.5" style="3283" customWidth="1"/>
    <col min="14379" max="14379" width="19.25" style="3283" customWidth="1"/>
    <col min="14380" max="14380" width="10.75" style="3283" customWidth="1"/>
    <col min="14381" max="14381" width="11.625" style="3283" customWidth="1"/>
    <col min="14382" max="14383" width="9.625" style="3283" customWidth="1"/>
    <col min="14384" max="14384" width="8.375" style="3283" customWidth="1"/>
    <col min="14385" max="14385" width="13" style="3283" customWidth="1"/>
    <col min="14386" max="14386" width="13.875" style="3283" customWidth="1"/>
    <col min="14387" max="14387" width="13.375" style="3283" customWidth="1"/>
    <col min="14388" max="14388" width="10.875" style="3283" customWidth="1"/>
    <col min="14389" max="14391" width="9" style="3283" customWidth="1"/>
    <col min="14392" max="14392" width="11.625" style="3283" customWidth="1"/>
    <col min="14393" max="14393" width="17.625" style="3283" customWidth="1"/>
    <col min="14394" max="14394" width="9" style="3283" customWidth="1"/>
    <col min="14395" max="14397" width="9" style="3283"/>
    <col min="14398" max="14398" width="36.625" style="3283" customWidth="1"/>
    <col min="14399" max="14592" width="9" style="3283"/>
    <col min="14593" max="14593" width="5" style="3283" customWidth="1"/>
    <col min="14594" max="14594" width="20.5" style="3283" customWidth="1"/>
    <col min="14595" max="14595" width="9.625" style="3283" customWidth="1"/>
    <col min="14596" max="14596" width="21" style="3283" customWidth="1"/>
    <col min="14597" max="14597" width="11" style="3283" customWidth="1"/>
    <col min="14598" max="14598" width="12.625" style="3283" customWidth="1"/>
    <col min="14599" max="14600" width="10.625" style="3283" customWidth="1"/>
    <col min="14601" max="14601" width="13.875" style="3283" customWidth="1"/>
    <col min="14602" max="14602" width="12.375" style="3283" customWidth="1"/>
    <col min="14603" max="14603" width="9.25" style="3283" customWidth="1"/>
    <col min="14604" max="14605" width="13.125" style="3283" customWidth="1"/>
    <col min="14606" max="14606" width="13" style="3283" customWidth="1"/>
    <col min="14607" max="14607" width="14.125" style="3283" customWidth="1"/>
    <col min="14608" max="14608" width="12.25" style="3283" customWidth="1"/>
    <col min="14609" max="14609" width="11.375" style="3283" customWidth="1"/>
    <col min="14610" max="14610" width="14.5" style="3283" customWidth="1"/>
    <col min="14611" max="14613" width="12.375" style="3283" customWidth="1"/>
    <col min="14614" max="14614" width="12.5" style="3283" customWidth="1"/>
    <col min="14615" max="14615" width="10.625" style="3283" customWidth="1"/>
    <col min="14616" max="14616" width="12.625" style="3283" customWidth="1"/>
    <col min="14617" max="14617" width="12.875" style="3283" customWidth="1"/>
    <col min="14618" max="14618" width="10.875" style="3283" customWidth="1"/>
    <col min="14619" max="14619" width="9.25" style="3283" customWidth="1"/>
    <col min="14620" max="14620" width="9" style="3283" customWidth="1"/>
    <col min="14621" max="14621" width="12.5" style="3283" customWidth="1"/>
    <col min="14622" max="14622" width="9.375" style="3283" customWidth="1"/>
    <col min="14623" max="14623" width="25.875" style="3283" customWidth="1"/>
    <col min="14624" max="14624" width="19.25" style="3283" customWidth="1"/>
    <col min="14625" max="14625" width="11.75" style="3283" customWidth="1"/>
    <col min="14626" max="14626" width="11.375" style="3283" customWidth="1"/>
    <col min="14627" max="14627" width="10.75" style="3283" customWidth="1"/>
    <col min="14628" max="14628" width="11" style="3283" customWidth="1"/>
    <col min="14629" max="14629" width="8.25" style="3283" customWidth="1"/>
    <col min="14630" max="14630" width="8.625" style="3283" customWidth="1"/>
    <col min="14631" max="14631" width="22.875" style="3283" customWidth="1"/>
    <col min="14632" max="14633" width="13.25" style="3283" customWidth="1"/>
    <col min="14634" max="14634" width="16.5" style="3283" customWidth="1"/>
    <col min="14635" max="14635" width="19.25" style="3283" customWidth="1"/>
    <col min="14636" max="14636" width="10.75" style="3283" customWidth="1"/>
    <col min="14637" max="14637" width="11.625" style="3283" customWidth="1"/>
    <col min="14638" max="14639" width="9.625" style="3283" customWidth="1"/>
    <col min="14640" max="14640" width="8.375" style="3283" customWidth="1"/>
    <col min="14641" max="14641" width="13" style="3283" customWidth="1"/>
    <col min="14642" max="14642" width="13.875" style="3283" customWidth="1"/>
    <col min="14643" max="14643" width="13.375" style="3283" customWidth="1"/>
    <col min="14644" max="14644" width="10.875" style="3283" customWidth="1"/>
    <col min="14645" max="14647" width="9" style="3283" customWidth="1"/>
    <col min="14648" max="14648" width="11.625" style="3283" customWidth="1"/>
    <col min="14649" max="14649" width="17.625" style="3283" customWidth="1"/>
    <col min="14650" max="14650" width="9" style="3283" customWidth="1"/>
    <col min="14651" max="14653" width="9" style="3283"/>
    <col min="14654" max="14654" width="36.625" style="3283" customWidth="1"/>
    <col min="14655" max="14848" width="9" style="3283"/>
    <col min="14849" max="14849" width="5" style="3283" customWidth="1"/>
    <col min="14850" max="14850" width="20.5" style="3283" customWidth="1"/>
    <col min="14851" max="14851" width="9.625" style="3283" customWidth="1"/>
    <col min="14852" max="14852" width="21" style="3283" customWidth="1"/>
    <col min="14853" max="14853" width="11" style="3283" customWidth="1"/>
    <col min="14854" max="14854" width="12.625" style="3283" customWidth="1"/>
    <col min="14855" max="14856" width="10.625" style="3283" customWidth="1"/>
    <col min="14857" max="14857" width="13.875" style="3283" customWidth="1"/>
    <col min="14858" max="14858" width="12.375" style="3283" customWidth="1"/>
    <col min="14859" max="14859" width="9.25" style="3283" customWidth="1"/>
    <col min="14860" max="14861" width="13.125" style="3283" customWidth="1"/>
    <col min="14862" max="14862" width="13" style="3283" customWidth="1"/>
    <col min="14863" max="14863" width="14.125" style="3283" customWidth="1"/>
    <col min="14864" max="14864" width="12.25" style="3283" customWidth="1"/>
    <col min="14865" max="14865" width="11.375" style="3283" customWidth="1"/>
    <col min="14866" max="14866" width="14.5" style="3283" customWidth="1"/>
    <col min="14867" max="14869" width="12.375" style="3283" customWidth="1"/>
    <col min="14870" max="14870" width="12.5" style="3283" customWidth="1"/>
    <col min="14871" max="14871" width="10.625" style="3283" customWidth="1"/>
    <col min="14872" max="14872" width="12.625" style="3283" customWidth="1"/>
    <col min="14873" max="14873" width="12.875" style="3283" customWidth="1"/>
    <col min="14874" max="14874" width="10.875" style="3283" customWidth="1"/>
    <col min="14875" max="14875" width="9.25" style="3283" customWidth="1"/>
    <col min="14876" max="14876" width="9" style="3283" customWidth="1"/>
    <col min="14877" max="14877" width="12.5" style="3283" customWidth="1"/>
    <col min="14878" max="14878" width="9.375" style="3283" customWidth="1"/>
    <col min="14879" max="14879" width="25.875" style="3283" customWidth="1"/>
    <col min="14880" max="14880" width="19.25" style="3283" customWidth="1"/>
    <col min="14881" max="14881" width="11.75" style="3283" customWidth="1"/>
    <col min="14882" max="14882" width="11.375" style="3283" customWidth="1"/>
    <col min="14883" max="14883" width="10.75" style="3283" customWidth="1"/>
    <col min="14884" max="14884" width="11" style="3283" customWidth="1"/>
    <col min="14885" max="14885" width="8.25" style="3283" customWidth="1"/>
    <col min="14886" max="14886" width="8.625" style="3283" customWidth="1"/>
    <col min="14887" max="14887" width="22.875" style="3283" customWidth="1"/>
    <col min="14888" max="14889" width="13.25" style="3283" customWidth="1"/>
    <col min="14890" max="14890" width="16.5" style="3283" customWidth="1"/>
    <col min="14891" max="14891" width="19.25" style="3283" customWidth="1"/>
    <col min="14892" max="14892" width="10.75" style="3283" customWidth="1"/>
    <col min="14893" max="14893" width="11.625" style="3283" customWidth="1"/>
    <col min="14894" max="14895" width="9.625" style="3283" customWidth="1"/>
    <col min="14896" max="14896" width="8.375" style="3283" customWidth="1"/>
    <col min="14897" max="14897" width="13" style="3283" customWidth="1"/>
    <col min="14898" max="14898" width="13.875" style="3283" customWidth="1"/>
    <col min="14899" max="14899" width="13.375" style="3283" customWidth="1"/>
    <col min="14900" max="14900" width="10.875" style="3283" customWidth="1"/>
    <col min="14901" max="14903" width="9" style="3283" customWidth="1"/>
    <col min="14904" max="14904" width="11.625" style="3283" customWidth="1"/>
    <col min="14905" max="14905" width="17.625" style="3283" customWidth="1"/>
    <col min="14906" max="14906" width="9" style="3283" customWidth="1"/>
    <col min="14907" max="14909" width="9" style="3283"/>
    <col min="14910" max="14910" width="36.625" style="3283" customWidth="1"/>
    <col min="14911" max="15104" width="9" style="3283"/>
    <col min="15105" max="15105" width="5" style="3283" customWidth="1"/>
    <col min="15106" max="15106" width="20.5" style="3283" customWidth="1"/>
    <col min="15107" max="15107" width="9.625" style="3283" customWidth="1"/>
    <col min="15108" max="15108" width="21" style="3283" customWidth="1"/>
    <col min="15109" max="15109" width="11" style="3283" customWidth="1"/>
    <col min="15110" max="15110" width="12.625" style="3283" customWidth="1"/>
    <col min="15111" max="15112" width="10.625" style="3283" customWidth="1"/>
    <col min="15113" max="15113" width="13.875" style="3283" customWidth="1"/>
    <col min="15114" max="15114" width="12.375" style="3283" customWidth="1"/>
    <col min="15115" max="15115" width="9.25" style="3283" customWidth="1"/>
    <col min="15116" max="15117" width="13.125" style="3283" customWidth="1"/>
    <col min="15118" max="15118" width="13" style="3283" customWidth="1"/>
    <col min="15119" max="15119" width="14.125" style="3283" customWidth="1"/>
    <col min="15120" max="15120" width="12.25" style="3283" customWidth="1"/>
    <col min="15121" max="15121" width="11.375" style="3283" customWidth="1"/>
    <col min="15122" max="15122" width="14.5" style="3283" customWidth="1"/>
    <col min="15123" max="15125" width="12.375" style="3283" customWidth="1"/>
    <col min="15126" max="15126" width="12.5" style="3283" customWidth="1"/>
    <col min="15127" max="15127" width="10.625" style="3283" customWidth="1"/>
    <col min="15128" max="15128" width="12.625" style="3283" customWidth="1"/>
    <col min="15129" max="15129" width="12.875" style="3283" customWidth="1"/>
    <col min="15130" max="15130" width="10.875" style="3283" customWidth="1"/>
    <col min="15131" max="15131" width="9.25" style="3283" customWidth="1"/>
    <col min="15132" max="15132" width="9" style="3283" customWidth="1"/>
    <col min="15133" max="15133" width="12.5" style="3283" customWidth="1"/>
    <col min="15134" max="15134" width="9.375" style="3283" customWidth="1"/>
    <col min="15135" max="15135" width="25.875" style="3283" customWidth="1"/>
    <col min="15136" max="15136" width="19.25" style="3283" customWidth="1"/>
    <col min="15137" max="15137" width="11.75" style="3283" customWidth="1"/>
    <col min="15138" max="15138" width="11.375" style="3283" customWidth="1"/>
    <col min="15139" max="15139" width="10.75" style="3283" customWidth="1"/>
    <col min="15140" max="15140" width="11" style="3283" customWidth="1"/>
    <col min="15141" max="15141" width="8.25" style="3283" customWidth="1"/>
    <col min="15142" max="15142" width="8.625" style="3283" customWidth="1"/>
    <col min="15143" max="15143" width="22.875" style="3283" customWidth="1"/>
    <col min="15144" max="15145" width="13.25" style="3283" customWidth="1"/>
    <col min="15146" max="15146" width="16.5" style="3283" customWidth="1"/>
    <col min="15147" max="15147" width="19.25" style="3283" customWidth="1"/>
    <col min="15148" max="15148" width="10.75" style="3283" customWidth="1"/>
    <col min="15149" max="15149" width="11.625" style="3283" customWidth="1"/>
    <col min="15150" max="15151" width="9.625" style="3283" customWidth="1"/>
    <col min="15152" max="15152" width="8.375" style="3283" customWidth="1"/>
    <col min="15153" max="15153" width="13" style="3283" customWidth="1"/>
    <col min="15154" max="15154" width="13.875" style="3283" customWidth="1"/>
    <col min="15155" max="15155" width="13.375" style="3283" customWidth="1"/>
    <col min="15156" max="15156" width="10.875" style="3283" customWidth="1"/>
    <col min="15157" max="15159" width="9" style="3283" customWidth="1"/>
    <col min="15160" max="15160" width="11.625" style="3283" customWidth="1"/>
    <col min="15161" max="15161" width="17.625" style="3283" customWidth="1"/>
    <col min="15162" max="15162" width="9" style="3283" customWidth="1"/>
    <col min="15163" max="15165" width="9" style="3283"/>
    <col min="15166" max="15166" width="36.625" style="3283" customWidth="1"/>
    <col min="15167" max="15360" width="9" style="3283"/>
    <col min="15361" max="15361" width="5" style="3283" customWidth="1"/>
    <col min="15362" max="15362" width="20.5" style="3283" customWidth="1"/>
    <col min="15363" max="15363" width="9.625" style="3283" customWidth="1"/>
    <col min="15364" max="15364" width="21" style="3283" customWidth="1"/>
    <col min="15365" max="15365" width="11" style="3283" customWidth="1"/>
    <col min="15366" max="15366" width="12.625" style="3283" customWidth="1"/>
    <col min="15367" max="15368" width="10.625" style="3283" customWidth="1"/>
    <col min="15369" max="15369" width="13.875" style="3283" customWidth="1"/>
    <col min="15370" max="15370" width="12.375" style="3283" customWidth="1"/>
    <col min="15371" max="15371" width="9.25" style="3283" customWidth="1"/>
    <col min="15372" max="15373" width="13.125" style="3283" customWidth="1"/>
    <col min="15374" max="15374" width="13" style="3283" customWidth="1"/>
    <col min="15375" max="15375" width="14.125" style="3283" customWidth="1"/>
    <col min="15376" max="15376" width="12.25" style="3283" customWidth="1"/>
    <col min="15377" max="15377" width="11.375" style="3283" customWidth="1"/>
    <col min="15378" max="15378" width="14.5" style="3283" customWidth="1"/>
    <col min="15379" max="15381" width="12.375" style="3283" customWidth="1"/>
    <col min="15382" max="15382" width="12.5" style="3283" customWidth="1"/>
    <col min="15383" max="15383" width="10.625" style="3283" customWidth="1"/>
    <col min="15384" max="15384" width="12.625" style="3283" customWidth="1"/>
    <col min="15385" max="15385" width="12.875" style="3283" customWidth="1"/>
    <col min="15386" max="15386" width="10.875" style="3283" customWidth="1"/>
    <col min="15387" max="15387" width="9.25" style="3283" customWidth="1"/>
    <col min="15388" max="15388" width="9" style="3283" customWidth="1"/>
    <col min="15389" max="15389" width="12.5" style="3283" customWidth="1"/>
    <col min="15390" max="15390" width="9.375" style="3283" customWidth="1"/>
    <col min="15391" max="15391" width="25.875" style="3283" customWidth="1"/>
    <col min="15392" max="15392" width="19.25" style="3283" customWidth="1"/>
    <col min="15393" max="15393" width="11.75" style="3283" customWidth="1"/>
    <col min="15394" max="15394" width="11.375" style="3283" customWidth="1"/>
    <col min="15395" max="15395" width="10.75" style="3283" customWidth="1"/>
    <col min="15396" max="15396" width="11" style="3283" customWidth="1"/>
    <col min="15397" max="15397" width="8.25" style="3283" customWidth="1"/>
    <col min="15398" max="15398" width="8.625" style="3283" customWidth="1"/>
    <col min="15399" max="15399" width="22.875" style="3283" customWidth="1"/>
    <col min="15400" max="15401" width="13.25" style="3283" customWidth="1"/>
    <col min="15402" max="15402" width="16.5" style="3283" customWidth="1"/>
    <col min="15403" max="15403" width="19.25" style="3283" customWidth="1"/>
    <col min="15404" max="15404" width="10.75" style="3283" customWidth="1"/>
    <col min="15405" max="15405" width="11.625" style="3283" customWidth="1"/>
    <col min="15406" max="15407" width="9.625" style="3283" customWidth="1"/>
    <col min="15408" max="15408" width="8.375" style="3283" customWidth="1"/>
    <col min="15409" max="15409" width="13" style="3283" customWidth="1"/>
    <col min="15410" max="15410" width="13.875" style="3283" customWidth="1"/>
    <col min="15411" max="15411" width="13.375" style="3283" customWidth="1"/>
    <col min="15412" max="15412" width="10.875" style="3283" customWidth="1"/>
    <col min="15413" max="15415" width="9" style="3283" customWidth="1"/>
    <col min="15416" max="15416" width="11.625" style="3283" customWidth="1"/>
    <col min="15417" max="15417" width="17.625" style="3283" customWidth="1"/>
    <col min="15418" max="15418" width="9" style="3283" customWidth="1"/>
    <col min="15419" max="15421" width="9" style="3283"/>
    <col min="15422" max="15422" width="36.625" style="3283" customWidth="1"/>
    <col min="15423" max="15616" width="9" style="3283"/>
    <col min="15617" max="15617" width="5" style="3283" customWidth="1"/>
    <col min="15618" max="15618" width="20.5" style="3283" customWidth="1"/>
    <col min="15619" max="15619" width="9.625" style="3283" customWidth="1"/>
    <col min="15620" max="15620" width="21" style="3283" customWidth="1"/>
    <col min="15621" max="15621" width="11" style="3283" customWidth="1"/>
    <col min="15622" max="15622" width="12.625" style="3283" customWidth="1"/>
    <col min="15623" max="15624" width="10.625" style="3283" customWidth="1"/>
    <col min="15625" max="15625" width="13.875" style="3283" customWidth="1"/>
    <col min="15626" max="15626" width="12.375" style="3283" customWidth="1"/>
    <col min="15627" max="15627" width="9.25" style="3283" customWidth="1"/>
    <col min="15628" max="15629" width="13.125" style="3283" customWidth="1"/>
    <col min="15630" max="15630" width="13" style="3283" customWidth="1"/>
    <col min="15631" max="15631" width="14.125" style="3283" customWidth="1"/>
    <col min="15632" max="15632" width="12.25" style="3283" customWidth="1"/>
    <col min="15633" max="15633" width="11.375" style="3283" customWidth="1"/>
    <col min="15634" max="15634" width="14.5" style="3283" customWidth="1"/>
    <col min="15635" max="15637" width="12.375" style="3283" customWidth="1"/>
    <col min="15638" max="15638" width="12.5" style="3283" customWidth="1"/>
    <col min="15639" max="15639" width="10.625" style="3283" customWidth="1"/>
    <col min="15640" max="15640" width="12.625" style="3283" customWidth="1"/>
    <col min="15641" max="15641" width="12.875" style="3283" customWidth="1"/>
    <col min="15642" max="15642" width="10.875" style="3283" customWidth="1"/>
    <col min="15643" max="15643" width="9.25" style="3283" customWidth="1"/>
    <col min="15644" max="15644" width="9" style="3283" customWidth="1"/>
    <col min="15645" max="15645" width="12.5" style="3283" customWidth="1"/>
    <col min="15646" max="15646" width="9.375" style="3283" customWidth="1"/>
    <col min="15647" max="15647" width="25.875" style="3283" customWidth="1"/>
    <col min="15648" max="15648" width="19.25" style="3283" customWidth="1"/>
    <col min="15649" max="15649" width="11.75" style="3283" customWidth="1"/>
    <col min="15650" max="15650" width="11.375" style="3283" customWidth="1"/>
    <col min="15651" max="15651" width="10.75" style="3283" customWidth="1"/>
    <col min="15652" max="15652" width="11" style="3283" customWidth="1"/>
    <col min="15653" max="15653" width="8.25" style="3283" customWidth="1"/>
    <col min="15654" max="15654" width="8.625" style="3283" customWidth="1"/>
    <col min="15655" max="15655" width="22.875" style="3283" customWidth="1"/>
    <col min="15656" max="15657" width="13.25" style="3283" customWidth="1"/>
    <col min="15658" max="15658" width="16.5" style="3283" customWidth="1"/>
    <col min="15659" max="15659" width="19.25" style="3283" customWidth="1"/>
    <col min="15660" max="15660" width="10.75" style="3283" customWidth="1"/>
    <col min="15661" max="15661" width="11.625" style="3283" customWidth="1"/>
    <col min="15662" max="15663" width="9.625" style="3283" customWidth="1"/>
    <col min="15664" max="15664" width="8.375" style="3283" customWidth="1"/>
    <col min="15665" max="15665" width="13" style="3283" customWidth="1"/>
    <col min="15666" max="15666" width="13.875" style="3283" customWidth="1"/>
    <col min="15667" max="15667" width="13.375" style="3283" customWidth="1"/>
    <col min="15668" max="15668" width="10.875" style="3283" customWidth="1"/>
    <col min="15669" max="15671" width="9" style="3283" customWidth="1"/>
    <col min="15672" max="15672" width="11.625" style="3283" customWidth="1"/>
    <col min="15673" max="15673" width="17.625" style="3283" customWidth="1"/>
    <col min="15674" max="15674" width="9" style="3283" customWidth="1"/>
    <col min="15675" max="15677" width="9" style="3283"/>
    <col min="15678" max="15678" width="36.625" style="3283" customWidth="1"/>
    <col min="15679" max="15872" width="9" style="3283"/>
    <col min="15873" max="15873" width="5" style="3283" customWidth="1"/>
    <col min="15874" max="15874" width="20.5" style="3283" customWidth="1"/>
    <col min="15875" max="15875" width="9.625" style="3283" customWidth="1"/>
    <col min="15876" max="15876" width="21" style="3283" customWidth="1"/>
    <col min="15877" max="15877" width="11" style="3283" customWidth="1"/>
    <col min="15878" max="15878" width="12.625" style="3283" customWidth="1"/>
    <col min="15879" max="15880" width="10.625" style="3283" customWidth="1"/>
    <col min="15881" max="15881" width="13.875" style="3283" customWidth="1"/>
    <col min="15882" max="15882" width="12.375" style="3283" customWidth="1"/>
    <col min="15883" max="15883" width="9.25" style="3283" customWidth="1"/>
    <col min="15884" max="15885" width="13.125" style="3283" customWidth="1"/>
    <col min="15886" max="15886" width="13" style="3283" customWidth="1"/>
    <col min="15887" max="15887" width="14.125" style="3283" customWidth="1"/>
    <col min="15888" max="15888" width="12.25" style="3283" customWidth="1"/>
    <col min="15889" max="15889" width="11.375" style="3283" customWidth="1"/>
    <col min="15890" max="15890" width="14.5" style="3283" customWidth="1"/>
    <col min="15891" max="15893" width="12.375" style="3283" customWidth="1"/>
    <col min="15894" max="15894" width="12.5" style="3283" customWidth="1"/>
    <col min="15895" max="15895" width="10.625" style="3283" customWidth="1"/>
    <col min="15896" max="15896" width="12.625" style="3283" customWidth="1"/>
    <col min="15897" max="15897" width="12.875" style="3283" customWidth="1"/>
    <col min="15898" max="15898" width="10.875" style="3283" customWidth="1"/>
    <col min="15899" max="15899" width="9.25" style="3283" customWidth="1"/>
    <col min="15900" max="15900" width="9" style="3283" customWidth="1"/>
    <col min="15901" max="15901" width="12.5" style="3283" customWidth="1"/>
    <col min="15902" max="15902" width="9.375" style="3283" customWidth="1"/>
    <col min="15903" max="15903" width="25.875" style="3283" customWidth="1"/>
    <col min="15904" max="15904" width="19.25" style="3283" customWidth="1"/>
    <col min="15905" max="15905" width="11.75" style="3283" customWidth="1"/>
    <col min="15906" max="15906" width="11.375" style="3283" customWidth="1"/>
    <col min="15907" max="15907" width="10.75" style="3283" customWidth="1"/>
    <col min="15908" max="15908" width="11" style="3283" customWidth="1"/>
    <col min="15909" max="15909" width="8.25" style="3283" customWidth="1"/>
    <col min="15910" max="15910" width="8.625" style="3283" customWidth="1"/>
    <col min="15911" max="15911" width="22.875" style="3283" customWidth="1"/>
    <col min="15912" max="15913" width="13.25" style="3283" customWidth="1"/>
    <col min="15914" max="15914" width="16.5" style="3283" customWidth="1"/>
    <col min="15915" max="15915" width="19.25" style="3283" customWidth="1"/>
    <col min="15916" max="15916" width="10.75" style="3283" customWidth="1"/>
    <col min="15917" max="15917" width="11.625" style="3283" customWidth="1"/>
    <col min="15918" max="15919" width="9.625" style="3283" customWidth="1"/>
    <col min="15920" max="15920" width="8.375" style="3283" customWidth="1"/>
    <col min="15921" max="15921" width="13" style="3283" customWidth="1"/>
    <col min="15922" max="15922" width="13.875" style="3283" customWidth="1"/>
    <col min="15923" max="15923" width="13.375" style="3283" customWidth="1"/>
    <col min="15924" max="15924" width="10.875" style="3283" customWidth="1"/>
    <col min="15925" max="15927" width="9" style="3283" customWidth="1"/>
    <col min="15928" max="15928" width="11.625" style="3283" customWidth="1"/>
    <col min="15929" max="15929" width="17.625" style="3283" customWidth="1"/>
    <col min="15930" max="15930" width="9" style="3283" customWidth="1"/>
    <col min="15931" max="15933" width="9" style="3283"/>
    <col min="15934" max="15934" width="36.625" style="3283" customWidth="1"/>
    <col min="15935" max="16128" width="9" style="3283"/>
    <col min="16129" max="16129" width="5" style="3283" customWidth="1"/>
    <col min="16130" max="16130" width="20.5" style="3283" customWidth="1"/>
    <col min="16131" max="16131" width="9.625" style="3283" customWidth="1"/>
    <col min="16132" max="16132" width="21" style="3283" customWidth="1"/>
    <col min="16133" max="16133" width="11" style="3283" customWidth="1"/>
    <col min="16134" max="16134" width="12.625" style="3283" customWidth="1"/>
    <col min="16135" max="16136" width="10.625" style="3283" customWidth="1"/>
    <col min="16137" max="16137" width="13.875" style="3283" customWidth="1"/>
    <col min="16138" max="16138" width="12.375" style="3283" customWidth="1"/>
    <col min="16139" max="16139" width="9.25" style="3283" customWidth="1"/>
    <col min="16140" max="16141" width="13.125" style="3283" customWidth="1"/>
    <col min="16142" max="16142" width="13" style="3283" customWidth="1"/>
    <col min="16143" max="16143" width="14.125" style="3283" customWidth="1"/>
    <col min="16144" max="16144" width="12.25" style="3283" customWidth="1"/>
    <col min="16145" max="16145" width="11.375" style="3283" customWidth="1"/>
    <col min="16146" max="16146" width="14.5" style="3283" customWidth="1"/>
    <col min="16147" max="16149" width="12.375" style="3283" customWidth="1"/>
    <col min="16150" max="16150" width="12.5" style="3283" customWidth="1"/>
    <col min="16151" max="16151" width="10.625" style="3283" customWidth="1"/>
    <col min="16152" max="16152" width="12.625" style="3283" customWidth="1"/>
    <col min="16153" max="16153" width="12.875" style="3283" customWidth="1"/>
    <col min="16154" max="16154" width="10.875" style="3283" customWidth="1"/>
    <col min="16155" max="16155" width="9.25" style="3283" customWidth="1"/>
    <col min="16156" max="16156" width="9" style="3283" customWidth="1"/>
    <col min="16157" max="16157" width="12.5" style="3283" customWidth="1"/>
    <col min="16158" max="16158" width="9.375" style="3283" customWidth="1"/>
    <col min="16159" max="16159" width="25.875" style="3283" customWidth="1"/>
    <col min="16160" max="16160" width="19.25" style="3283" customWidth="1"/>
    <col min="16161" max="16161" width="11.75" style="3283" customWidth="1"/>
    <col min="16162" max="16162" width="11.375" style="3283" customWidth="1"/>
    <col min="16163" max="16163" width="10.75" style="3283" customWidth="1"/>
    <col min="16164" max="16164" width="11" style="3283" customWidth="1"/>
    <col min="16165" max="16165" width="8.25" style="3283" customWidth="1"/>
    <col min="16166" max="16166" width="8.625" style="3283" customWidth="1"/>
    <col min="16167" max="16167" width="22.875" style="3283" customWidth="1"/>
    <col min="16168" max="16169" width="13.25" style="3283" customWidth="1"/>
    <col min="16170" max="16170" width="16.5" style="3283" customWidth="1"/>
    <col min="16171" max="16171" width="19.25" style="3283" customWidth="1"/>
    <col min="16172" max="16172" width="10.75" style="3283" customWidth="1"/>
    <col min="16173" max="16173" width="11.625" style="3283" customWidth="1"/>
    <col min="16174" max="16175" width="9.625" style="3283" customWidth="1"/>
    <col min="16176" max="16176" width="8.375" style="3283" customWidth="1"/>
    <col min="16177" max="16177" width="13" style="3283" customWidth="1"/>
    <col min="16178" max="16178" width="13.875" style="3283" customWidth="1"/>
    <col min="16179" max="16179" width="13.375" style="3283" customWidth="1"/>
    <col min="16180" max="16180" width="10.875" style="3283" customWidth="1"/>
    <col min="16181" max="16183" width="9" style="3283" customWidth="1"/>
    <col min="16184" max="16184" width="11.625" style="3283" customWidth="1"/>
    <col min="16185" max="16185" width="17.625" style="3283" customWidth="1"/>
    <col min="16186" max="16186" width="9" style="3283" customWidth="1"/>
    <col min="16187" max="16189" width="9" style="3283"/>
    <col min="16190" max="16190" width="36.625" style="3283" customWidth="1"/>
    <col min="16191" max="16384" width="9" style="3283"/>
  </cols>
  <sheetData>
    <row r="1" spans="1:62" s="3268" customFormat="1" ht="26.25" customHeight="1">
      <c r="A1" s="3657" t="s">
        <v>4355</v>
      </c>
      <c r="B1" s="3657"/>
      <c r="C1" s="3658"/>
      <c r="D1" s="3659"/>
      <c r="E1" s="3660" t="s">
        <v>4356</v>
      </c>
      <c r="F1" s="3661"/>
      <c r="G1" s="3662"/>
      <c r="H1" s="3662"/>
      <c r="I1" s="3661"/>
      <c r="J1" s="3663" t="s">
        <v>4357</v>
      </c>
      <c r="K1" s="3664"/>
      <c r="L1" s="3665"/>
      <c r="M1" s="3665"/>
      <c r="N1" s="3665"/>
      <c r="O1" s="3666" t="s">
        <v>4358</v>
      </c>
      <c r="P1" s="3667"/>
      <c r="Q1" s="3668"/>
      <c r="R1" s="3669" t="s">
        <v>4359</v>
      </c>
      <c r="S1" s="3669"/>
      <c r="T1" s="3669"/>
      <c r="U1" s="3669"/>
      <c r="V1" s="3669"/>
      <c r="W1" s="3669"/>
      <c r="X1" s="3669"/>
      <c r="Y1" s="3667"/>
      <c r="Z1" s="3670"/>
      <c r="AA1" s="3648" t="s">
        <v>4360</v>
      </c>
      <c r="AB1" s="3649"/>
      <c r="AC1" s="3649"/>
      <c r="AD1" s="3650" t="s">
        <v>4361</v>
      </c>
      <c r="AE1" s="3651"/>
      <c r="AF1" s="3651"/>
      <c r="AG1" s="3651"/>
      <c r="AH1" s="3651"/>
      <c r="AI1" s="3651"/>
      <c r="AJ1" s="3651"/>
      <c r="AK1" s="3651"/>
      <c r="AL1" s="3651"/>
      <c r="AM1" s="3651"/>
      <c r="AN1" s="3652"/>
      <c r="AO1" s="3653" t="s">
        <v>4362</v>
      </c>
      <c r="AP1" s="3653"/>
      <c r="AQ1" s="3653"/>
      <c r="AR1" s="3654"/>
      <c r="AS1" s="3654"/>
      <c r="AT1" s="3654"/>
      <c r="AU1" s="3654"/>
      <c r="AV1" s="3654"/>
      <c r="AW1" s="3654"/>
      <c r="AX1" s="3654"/>
      <c r="AY1" s="3655" t="s">
        <v>4363</v>
      </c>
      <c r="AZ1" s="3644" t="s">
        <v>4364</v>
      </c>
      <c r="BA1" s="3644" t="s">
        <v>4365</v>
      </c>
      <c r="BB1" s="3644" t="s">
        <v>4366</v>
      </c>
      <c r="BC1" s="3646" t="s">
        <v>4367</v>
      </c>
      <c r="BD1" s="3646" t="s">
        <v>4368</v>
      </c>
      <c r="BE1" s="3646" t="s">
        <v>4369</v>
      </c>
    </row>
    <row r="2" spans="1:62" ht="27.75" customHeight="1">
      <c r="A2" s="3216" t="s">
        <v>4370</v>
      </c>
      <c r="B2" s="3216" t="s">
        <v>4371</v>
      </c>
      <c r="C2" s="3217" t="s">
        <v>3321</v>
      </c>
      <c r="D2" s="3218" t="s">
        <v>4372</v>
      </c>
      <c r="E2" s="3219" t="s">
        <v>4373</v>
      </c>
      <c r="F2" s="3220" t="s">
        <v>4374</v>
      </c>
      <c r="G2" s="3221" t="s">
        <v>4375</v>
      </c>
      <c r="H2" s="3221" t="s">
        <v>4376</v>
      </c>
      <c r="I2" s="3220" t="s">
        <v>4377</v>
      </c>
      <c r="J2" s="3222" t="s">
        <v>4378</v>
      </c>
      <c r="K2" s="3269" t="s">
        <v>4379</v>
      </c>
      <c r="L2" s="3224" t="s">
        <v>4380</v>
      </c>
      <c r="M2" s="3224" t="s">
        <v>4381</v>
      </c>
      <c r="N2" s="3225" t="s">
        <v>4382</v>
      </c>
      <c r="O2" s="3224" t="s">
        <v>4383</v>
      </c>
      <c r="P2" s="3224" t="s">
        <v>4384</v>
      </c>
      <c r="Q2" s="3224" t="s">
        <v>4385</v>
      </c>
      <c r="R2" s="3224" t="s">
        <v>4359</v>
      </c>
      <c r="S2" s="3270" t="s">
        <v>4386</v>
      </c>
      <c r="T2" s="3270" t="s">
        <v>4387</v>
      </c>
      <c r="U2" s="3270" t="s">
        <v>4388</v>
      </c>
      <c r="V2" s="3224" t="s">
        <v>4389</v>
      </c>
      <c r="W2" s="3224" t="s">
        <v>4390</v>
      </c>
      <c r="X2" s="3224" t="s">
        <v>4391</v>
      </c>
      <c r="Y2" s="3224" t="s">
        <v>4392</v>
      </c>
      <c r="Z2" s="3271" t="s">
        <v>4393</v>
      </c>
      <c r="AA2" s="3272" t="s">
        <v>4360</v>
      </c>
      <c r="AB2" s="3272" t="s">
        <v>4394</v>
      </c>
      <c r="AC2" s="3273" t="s">
        <v>4395</v>
      </c>
      <c r="AD2" s="3274" t="s">
        <v>4396</v>
      </c>
      <c r="AE2" s="3274" t="s">
        <v>4397</v>
      </c>
      <c r="AF2" s="3274" t="s">
        <v>4398</v>
      </c>
      <c r="AG2" s="3275" t="s">
        <v>4399</v>
      </c>
      <c r="AH2" s="3276" t="s">
        <v>4400</v>
      </c>
      <c r="AI2" s="3276" t="s">
        <v>4401</v>
      </c>
      <c r="AJ2" s="3276" t="s">
        <v>4402</v>
      </c>
      <c r="AK2" s="3277" t="s">
        <v>4403</v>
      </c>
      <c r="AL2" s="3277" t="s">
        <v>4404</v>
      </c>
      <c r="AM2" s="3274" t="s">
        <v>4405</v>
      </c>
      <c r="AN2" s="3278" t="s">
        <v>4406</v>
      </c>
      <c r="AO2" s="3279" t="s">
        <v>4396</v>
      </c>
      <c r="AP2" s="3279" t="s">
        <v>4397</v>
      </c>
      <c r="AQ2" s="3279" t="s">
        <v>4398</v>
      </c>
      <c r="AR2" s="3280" t="s">
        <v>4407</v>
      </c>
      <c r="AS2" s="3281" t="s">
        <v>4408</v>
      </c>
      <c r="AT2" s="3280" t="s">
        <v>4409</v>
      </c>
      <c r="AU2" s="3280" t="s">
        <v>4410</v>
      </c>
      <c r="AV2" s="3280" t="s">
        <v>4411</v>
      </c>
      <c r="AW2" s="3280" t="s">
        <v>4412</v>
      </c>
      <c r="AX2" s="3282" t="s">
        <v>4413</v>
      </c>
      <c r="AY2" s="3656"/>
      <c r="AZ2" s="3645"/>
      <c r="BA2" s="3645"/>
      <c r="BB2" s="3645"/>
      <c r="BC2" s="3647"/>
      <c r="BD2" s="3647"/>
      <c r="BE2" s="3647"/>
    </row>
    <row r="3" spans="1:62" s="3297" customFormat="1" ht="20.25" customHeight="1">
      <c r="A3" s="3226">
        <v>1</v>
      </c>
      <c r="B3" s="3226" t="s">
        <v>4414</v>
      </c>
      <c r="C3" s="3227" t="s">
        <v>3333</v>
      </c>
      <c r="D3" s="3228" t="s">
        <v>4415</v>
      </c>
      <c r="E3" s="3229">
        <v>43735</v>
      </c>
      <c r="F3" s="3230">
        <v>20000</v>
      </c>
      <c r="G3" s="3231">
        <v>130.79</v>
      </c>
      <c r="H3" s="3231" t="str">
        <f>IF(G3&lt;144,"普通住宅","非普通住宅")</f>
        <v>普通住宅</v>
      </c>
      <c r="I3" s="3232">
        <v>1948301</v>
      </c>
      <c r="J3" s="3233">
        <v>43736</v>
      </c>
      <c r="K3" s="3284">
        <f>IF(ISBLANK(J3),"",MONTH(J3))</f>
        <v>9</v>
      </c>
      <c r="L3" s="3232">
        <v>1913301</v>
      </c>
      <c r="M3" s="3235">
        <f>L3/G3</f>
        <v>14628.801896169432</v>
      </c>
      <c r="N3" s="3236">
        <v>1193301</v>
      </c>
      <c r="O3" s="3244">
        <f>L3-P3-Q3</f>
        <v>1913301</v>
      </c>
      <c r="P3" s="3244"/>
      <c r="Q3" s="3244"/>
      <c r="R3" s="3244">
        <f>F3+N3</f>
        <v>1213301</v>
      </c>
      <c r="S3" s="3244">
        <f>R3-T3-U3</f>
        <v>1213301</v>
      </c>
      <c r="T3" s="3236"/>
      <c r="U3" s="3236"/>
      <c r="V3" s="3236">
        <v>700000</v>
      </c>
      <c r="W3" s="3215"/>
      <c r="X3" s="3244">
        <f>R3+V3+W3</f>
        <v>1913301</v>
      </c>
      <c r="Y3" s="3244">
        <f>L3-X3</f>
        <v>0</v>
      </c>
      <c r="Z3" s="3285">
        <f>X3/L3</f>
        <v>1</v>
      </c>
      <c r="AA3" s="3226" t="s">
        <v>4416</v>
      </c>
      <c r="AB3" s="3255" t="s">
        <v>4417</v>
      </c>
      <c r="AC3" s="3226" t="s">
        <v>4418</v>
      </c>
      <c r="AD3" s="3286" t="s">
        <v>4419</v>
      </c>
      <c r="AE3" s="3286" t="s">
        <v>4420</v>
      </c>
      <c r="AF3" s="3286"/>
      <c r="AG3" s="3286"/>
      <c r="AH3" s="3255">
        <v>43736</v>
      </c>
      <c r="AI3" s="3255">
        <v>43748</v>
      </c>
      <c r="AJ3" s="3255">
        <v>43769</v>
      </c>
      <c r="AK3" s="3287">
        <f>IF(ISBLANK(AJ3),"",YEAR(AJ3))</f>
        <v>2019</v>
      </c>
      <c r="AL3" s="3288">
        <f>IF(ISBLANK(AJ3),"",MONTH(AJ3))</f>
        <v>10</v>
      </c>
      <c r="AM3" s="3226" t="s">
        <v>4421</v>
      </c>
      <c r="AN3" s="3289">
        <v>700000</v>
      </c>
      <c r="AO3" s="3290"/>
      <c r="AP3" s="3290"/>
      <c r="AQ3" s="3290"/>
      <c r="AR3" s="3291"/>
      <c r="AS3" s="3292"/>
      <c r="AT3" s="3292"/>
      <c r="AU3" s="3293"/>
      <c r="AV3" s="3293"/>
      <c r="AW3" s="3294"/>
      <c r="AX3" s="3236"/>
      <c r="AY3" s="3244"/>
      <c r="AZ3" s="3295" t="s">
        <v>4422</v>
      </c>
      <c r="BA3" s="3296" t="str">
        <f>IF(E3=0,"未售",IF(J3&gt;0,"签约","认购"))</f>
        <v>签约</v>
      </c>
      <c r="BB3" s="3226" t="s">
        <v>4423</v>
      </c>
      <c r="BC3" s="3226"/>
      <c r="BD3" s="3292">
        <f>VLOOKUP(B3,[3]Sheet1!A$1:B$65536,2,0)</f>
        <v>43749</v>
      </c>
      <c r="BE3" s="3297" t="s">
        <v>4424</v>
      </c>
      <c r="BG3" s="3297">
        <f>IFERROR(VLOOKUP(B3,[3]Sheet2!A$1:B$65536,2,FALSE),0)</f>
        <v>0</v>
      </c>
      <c r="BI3" s="3297">
        <f>IFERROR(VLOOKUP(B3,[3]Sheet2!A$1:C$65536,2,FALSE),0)</f>
        <v>0</v>
      </c>
      <c r="BJ3" s="3297">
        <f>IFERROR(VLOOKUP(B3,[3]Sheet2!A$1:C$65536,3,FALSE),0)</f>
        <v>0</v>
      </c>
    </row>
    <row r="4" spans="1:62" s="3297" customFormat="1" ht="20.25" customHeight="1">
      <c r="A4" s="3226">
        <v>2</v>
      </c>
      <c r="B4" s="3226" t="s">
        <v>4425</v>
      </c>
      <c r="C4" s="3227" t="s">
        <v>3333</v>
      </c>
      <c r="D4" s="3237" t="s">
        <v>4426</v>
      </c>
      <c r="E4" s="3229">
        <v>43735</v>
      </c>
      <c r="F4" s="3230">
        <v>20000</v>
      </c>
      <c r="G4" s="3231">
        <v>130.71</v>
      </c>
      <c r="H4" s="3231" t="str">
        <f t="shared" ref="H4:H67" si="0">IF(G4&lt;144,"普通住宅","非普通住宅")</f>
        <v>普通住宅</v>
      </c>
      <c r="I4" s="3230">
        <v>1994285</v>
      </c>
      <c r="J4" s="3229">
        <v>43738</v>
      </c>
      <c r="K4" s="3284">
        <f t="shared" ref="K4:K67" si="1">IF(ISBLANK(J4),"",MONTH(J4))</f>
        <v>9</v>
      </c>
      <c r="L4" s="3230">
        <v>1959285</v>
      </c>
      <c r="M4" s="3235">
        <f t="shared" ref="M4:M67" si="2">L4/G4</f>
        <v>14989.557034656873</v>
      </c>
      <c r="N4" s="3236">
        <v>1039285</v>
      </c>
      <c r="O4" s="3244">
        <f t="shared" ref="O4:O67" si="3">L4-P4-Q4</f>
        <v>1959285</v>
      </c>
      <c r="P4" s="3244"/>
      <c r="Q4" s="3244"/>
      <c r="R4" s="3244">
        <f t="shared" ref="R4:R67" si="4">F4+N4</f>
        <v>1059285</v>
      </c>
      <c r="S4" s="3244">
        <f t="shared" ref="S4:S67" si="5">R4-T4-U4</f>
        <v>1059285</v>
      </c>
      <c r="T4" s="3236"/>
      <c r="U4" s="3236"/>
      <c r="V4" s="3236">
        <v>900000</v>
      </c>
      <c r="W4" s="3236"/>
      <c r="X4" s="3244">
        <f t="shared" ref="X4:X67" si="6">R4+V4+W4</f>
        <v>1959285</v>
      </c>
      <c r="Y4" s="3244">
        <f t="shared" ref="Y4:Y67" si="7">L4-X4</f>
        <v>0</v>
      </c>
      <c r="Z4" s="3285">
        <f t="shared" ref="Z4:Z67" si="8">X4/L4</f>
        <v>1</v>
      </c>
      <c r="AA4" s="3226" t="s">
        <v>4416</v>
      </c>
      <c r="AB4" s="3255" t="s">
        <v>4417</v>
      </c>
      <c r="AC4" s="3226" t="s">
        <v>4418</v>
      </c>
      <c r="AD4" s="3286" t="s">
        <v>4419</v>
      </c>
      <c r="AE4" s="3286" t="s">
        <v>4427</v>
      </c>
      <c r="AF4" s="3286"/>
      <c r="AG4" s="3286"/>
      <c r="AH4" s="3255">
        <v>43738</v>
      </c>
      <c r="AI4" s="3255">
        <v>43755</v>
      </c>
      <c r="AJ4" s="3255">
        <v>43784</v>
      </c>
      <c r="AK4" s="3287">
        <f t="shared" ref="AK4:AK67" si="9">IF(ISBLANK(AJ4),"",YEAR(AJ4))</f>
        <v>2019</v>
      </c>
      <c r="AL4" s="3288">
        <f t="shared" ref="AL4:AL67" si="10">IF(ISBLANK(AJ4),"",MONTH(AJ4))</f>
        <v>11</v>
      </c>
      <c r="AM4" s="3226" t="s">
        <v>4428</v>
      </c>
      <c r="AN4" s="3298">
        <v>900000</v>
      </c>
      <c r="AO4" s="3299"/>
      <c r="AP4" s="3299"/>
      <c r="AQ4" s="3299"/>
      <c r="AR4" s="3292"/>
      <c r="AS4" s="3292"/>
      <c r="AT4" s="3292"/>
      <c r="AU4" s="3293"/>
      <c r="AV4" s="3293"/>
      <c r="AW4" s="3294"/>
      <c r="AX4" s="3236"/>
      <c r="AY4" s="3244"/>
      <c r="AZ4" s="3295" t="s">
        <v>4429</v>
      </c>
      <c r="BA4" s="3296" t="str">
        <f t="shared" ref="BA4:BA67" si="11">IF(E4=0,"未售",IF(J4&gt;0,"签约","认购"))</f>
        <v>签约</v>
      </c>
      <c r="BB4" s="3226" t="s">
        <v>4423</v>
      </c>
      <c r="BC4" s="3226" t="s">
        <v>4430</v>
      </c>
      <c r="BD4" s="3292">
        <f>VLOOKUP(B4,[3]Sheet1!A$1:B$65536,2,0)</f>
        <v>43749</v>
      </c>
      <c r="BE4" s="3297" t="s">
        <v>4367</v>
      </c>
      <c r="BG4" s="3297">
        <f>IFERROR(VLOOKUP(B4,[3]Sheet2!A$1:B$65536,2,FALSE),0)</f>
        <v>0</v>
      </c>
      <c r="BI4" s="3297">
        <f>IFERROR(VLOOKUP(B4,[3]Sheet2!A$1:C$65536,2,FALSE),0)</f>
        <v>0</v>
      </c>
      <c r="BJ4" s="3297">
        <f>IFERROR(VLOOKUP(B4,[3]Sheet2!A$1:C$65536,3,FALSE),0)</f>
        <v>0</v>
      </c>
    </row>
    <row r="5" spans="1:62" s="3297" customFormat="1" ht="20.25" customHeight="1">
      <c r="A5" s="3226">
        <v>3</v>
      </c>
      <c r="B5" s="3226" t="s">
        <v>4431</v>
      </c>
      <c r="C5" s="3227" t="s">
        <v>3333</v>
      </c>
      <c r="D5" s="3228" t="s">
        <v>4432</v>
      </c>
      <c r="E5" s="3229">
        <v>43735</v>
      </c>
      <c r="F5" s="3230">
        <v>20000</v>
      </c>
      <c r="G5" s="3231">
        <v>130.71</v>
      </c>
      <c r="H5" s="3231" t="str">
        <f t="shared" si="0"/>
        <v>普通住宅</v>
      </c>
      <c r="I5" s="3230">
        <v>1987548</v>
      </c>
      <c r="J5" s="3229">
        <v>43738</v>
      </c>
      <c r="K5" s="3284">
        <f t="shared" si="1"/>
        <v>9</v>
      </c>
      <c r="L5" s="3230">
        <v>1893972</v>
      </c>
      <c r="M5" s="3235">
        <f t="shared" si="2"/>
        <v>14489.87835666743</v>
      </c>
      <c r="N5" s="3236">
        <v>553972</v>
      </c>
      <c r="O5" s="3244">
        <f t="shared" si="3"/>
        <v>1893972</v>
      </c>
      <c r="P5" s="3244"/>
      <c r="Q5" s="3244"/>
      <c r="R5" s="3244">
        <f t="shared" si="4"/>
        <v>573972</v>
      </c>
      <c r="S5" s="3244">
        <f t="shared" si="5"/>
        <v>0</v>
      </c>
      <c r="T5" s="3236">
        <v>573972</v>
      </c>
      <c r="U5" s="3236"/>
      <c r="V5" s="3236">
        <v>1320000</v>
      </c>
      <c r="W5" s="3236"/>
      <c r="X5" s="3244">
        <f t="shared" si="6"/>
        <v>1893972</v>
      </c>
      <c r="Y5" s="3244">
        <f t="shared" si="7"/>
        <v>0</v>
      </c>
      <c r="Z5" s="3285">
        <f t="shared" si="8"/>
        <v>1</v>
      </c>
      <c r="AA5" s="3226" t="s">
        <v>4416</v>
      </c>
      <c r="AB5" s="3255" t="s">
        <v>4417</v>
      </c>
      <c r="AC5" s="3226" t="s">
        <v>4418</v>
      </c>
      <c r="AD5" s="3286" t="s">
        <v>4419</v>
      </c>
      <c r="AE5" s="3286" t="s">
        <v>4427</v>
      </c>
      <c r="AF5" s="3286"/>
      <c r="AG5" s="3286"/>
      <c r="AH5" s="3255">
        <v>43785</v>
      </c>
      <c r="AI5" s="3255">
        <v>43815</v>
      </c>
      <c r="AJ5" s="3255">
        <v>43843</v>
      </c>
      <c r="AK5" s="3287">
        <f t="shared" si="9"/>
        <v>2020</v>
      </c>
      <c r="AL5" s="3288">
        <f t="shared" si="10"/>
        <v>1</v>
      </c>
      <c r="AM5" s="3226" t="s">
        <v>4433</v>
      </c>
      <c r="AN5" s="3298">
        <v>1320000</v>
      </c>
      <c r="AO5" s="3299"/>
      <c r="AP5" s="3299"/>
      <c r="AQ5" s="3299"/>
      <c r="AR5" s="3292"/>
      <c r="AS5" s="3292"/>
      <c r="AT5" s="3292"/>
      <c r="AU5" s="3293"/>
      <c r="AV5" s="3293"/>
      <c r="AW5" s="3294"/>
      <c r="AX5" s="3236"/>
      <c r="AY5" s="3244"/>
      <c r="AZ5" s="3295" t="s">
        <v>4429</v>
      </c>
      <c r="BA5" s="3296" t="str">
        <f t="shared" si="11"/>
        <v>签约</v>
      </c>
      <c r="BB5" s="3226" t="s">
        <v>4423</v>
      </c>
      <c r="BC5" s="3226"/>
      <c r="BD5" s="3292">
        <f>VLOOKUP(B5,[3]Sheet1!A$1:B$65536,2,0)</f>
        <v>43749</v>
      </c>
      <c r="BE5" s="3297" t="s">
        <v>4434</v>
      </c>
      <c r="BG5" s="3297">
        <f>IFERROR(VLOOKUP(B5,[3]Sheet2!A$1:B$65536,2,FALSE),0)</f>
        <v>0</v>
      </c>
      <c r="BI5" s="3297">
        <f>IFERROR(VLOOKUP(B5,[3]Sheet2!A$1:C$65536,2,FALSE),0)</f>
        <v>0</v>
      </c>
      <c r="BJ5" s="3297">
        <f>IFERROR(VLOOKUP(B5,[3]Sheet2!A$1:C$65536,3,FALSE),0)</f>
        <v>0</v>
      </c>
    </row>
    <row r="6" spans="1:62" s="3297" customFormat="1" ht="20.25" customHeight="1">
      <c r="A6" s="3226">
        <v>4</v>
      </c>
      <c r="B6" s="3226" t="s">
        <v>4435</v>
      </c>
      <c r="C6" s="3227" t="s">
        <v>3333</v>
      </c>
      <c r="D6" s="3228" t="s">
        <v>4436</v>
      </c>
      <c r="E6" s="3229">
        <v>43735</v>
      </c>
      <c r="F6" s="3230">
        <v>20000</v>
      </c>
      <c r="G6" s="3231">
        <v>130.71</v>
      </c>
      <c r="H6" s="3231" t="str">
        <f t="shared" si="0"/>
        <v>普通住宅</v>
      </c>
      <c r="I6" s="3232">
        <v>1980810</v>
      </c>
      <c r="J6" s="3233">
        <v>43737</v>
      </c>
      <c r="K6" s="3284">
        <f t="shared" si="1"/>
        <v>9</v>
      </c>
      <c r="L6" s="3232">
        <v>1945810</v>
      </c>
      <c r="M6" s="3235">
        <f t="shared" si="2"/>
        <v>14886.466222936269</v>
      </c>
      <c r="N6" s="3236">
        <v>565810</v>
      </c>
      <c r="O6" s="3244">
        <f t="shared" si="3"/>
        <v>1945810</v>
      </c>
      <c r="P6" s="3244"/>
      <c r="Q6" s="3244"/>
      <c r="R6" s="3244">
        <f t="shared" si="4"/>
        <v>585810</v>
      </c>
      <c r="S6" s="3244">
        <f t="shared" si="5"/>
        <v>585810</v>
      </c>
      <c r="T6" s="3236"/>
      <c r="U6" s="3236"/>
      <c r="V6" s="3236">
        <v>1360000</v>
      </c>
      <c r="W6" s="3236"/>
      <c r="X6" s="3244">
        <f t="shared" si="6"/>
        <v>1945810</v>
      </c>
      <c r="Y6" s="3244">
        <f t="shared" si="7"/>
        <v>0</v>
      </c>
      <c r="Z6" s="3285">
        <f t="shared" si="8"/>
        <v>1</v>
      </c>
      <c r="AA6" s="3226" t="s">
        <v>4416</v>
      </c>
      <c r="AB6" s="3255" t="s">
        <v>4417</v>
      </c>
      <c r="AC6" s="3226" t="s">
        <v>4418</v>
      </c>
      <c r="AD6" s="3286" t="s">
        <v>4419</v>
      </c>
      <c r="AE6" s="3286" t="s">
        <v>4427</v>
      </c>
      <c r="AF6" s="3286"/>
      <c r="AG6" s="3286"/>
      <c r="AH6" s="3255">
        <v>43738</v>
      </c>
      <c r="AI6" s="3255">
        <v>43759</v>
      </c>
      <c r="AJ6" s="3255">
        <v>43804</v>
      </c>
      <c r="AK6" s="3287">
        <f t="shared" si="9"/>
        <v>2019</v>
      </c>
      <c r="AL6" s="3288">
        <f t="shared" si="10"/>
        <v>12</v>
      </c>
      <c r="AM6" s="3226" t="s">
        <v>4428</v>
      </c>
      <c r="AN6" s="3298">
        <v>1360000</v>
      </c>
      <c r="AO6" s="3299"/>
      <c r="AP6" s="3299"/>
      <c r="AQ6" s="3299"/>
      <c r="AR6" s="3292"/>
      <c r="AS6" s="3292"/>
      <c r="AT6" s="3292"/>
      <c r="AU6" s="3293"/>
      <c r="AV6" s="3293"/>
      <c r="AW6" s="3294"/>
      <c r="AX6" s="3236"/>
      <c r="AY6" s="3244"/>
      <c r="AZ6" s="3295" t="s">
        <v>4437</v>
      </c>
      <c r="BA6" s="3296" t="str">
        <f t="shared" si="11"/>
        <v>签约</v>
      </c>
      <c r="BB6" s="3226" t="s">
        <v>4423</v>
      </c>
      <c r="BC6" s="3226"/>
      <c r="BD6" s="3292">
        <f>VLOOKUP(B6,[3]Sheet1!A$1:B$65536,2,0)</f>
        <v>43748</v>
      </c>
      <c r="BE6" s="3297" t="s">
        <v>4424</v>
      </c>
      <c r="BG6" s="3297">
        <f>IFERROR(VLOOKUP(B6,[3]Sheet2!A$1:B$65536,2,FALSE),0)</f>
        <v>0</v>
      </c>
      <c r="BI6" s="3297">
        <f>IFERROR(VLOOKUP(B6,[3]Sheet2!A$1:C$65536,2,FALSE),0)</f>
        <v>0</v>
      </c>
      <c r="BJ6" s="3297">
        <f>IFERROR(VLOOKUP(B6,[3]Sheet2!A$1:C$65536,3,FALSE),0)</f>
        <v>0</v>
      </c>
    </row>
    <row r="7" spans="1:62" s="3297" customFormat="1" ht="20.25" customHeight="1">
      <c r="A7" s="3226">
        <v>5</v>
      </c>
      <c r="B7" s="3226" t="s">
        <v>4438</v>
      </c>
      <c r="C7" s="3227" t="s">
        <v>3333</v>
      </c>
      <c r="D7" s="3228" t="s">
        <v>4439</v>
      </c>
      <c r="E7" s="3229">
        <v>43735</v>
      </c>
      <c r="F7" s="3230">
        <v>20000</v>
      </c>
      <c r="G7" s="3231">
        <v>130.71</v>
      </c>
      <c r="H7" s="3231" t="str">
        <f t="shared" si="0"/>
        <v>普通住宅</v>
      </c>
      <c r="I7" s="3230">
        <v>1974072</v>
      </c>
      <c r="J7" s="3229">
        <v>43737</v>
      </c>
      <c r="K7" s="3284">
        <f t="shared" si="1"/>
        <v>9</v>
      </c>
      <c r="L7" s="3230">
        <v>1880900</v>
      </c>
      <c r="M7" s="3235">
        <f t="shared" si="2"/>
        <v>14389.870706143371</v>
      </c>
      <c r="N7" s="3236">
        <f>800900+200000</f>
        <v>1000900</v>
      </c>
      <c r="O7" s="3244">
        <f t="shared" si="3"/>
        <v>1880900</v>
      </c>
      <c r="P7" s="3244"/>
      <c r="Q7" s="3244"/>
      <c r="R7" s="3244">
        <f t="shared" si="4"/>
        <v>1020900</v>
      </c>
      <c r="S7" s="3244">
        <f t="shared" si="5"/>
        <v>200000</v>
      </c>
      <c r="T7" s="3236">
        <v>820900</v>
      </c>
      <c r="U7" s="3236"/>
      <c r="V7" s="3236">
        <v>860000</v>
      </c>
      <c r="W7" s="3236"/>
      <c r="X7" s="3244">
        <f t="shared" si="6"/>
        <v>1880900</v>
      </c>
      <c r="Y7" s="3244">
        <f t="shared" si="7"/>
        <v>0</v>
      </c>
      <c r="Z7" s="3285">
        <f t="shared" si="8"/>
        <v>1</v>
      </c>
      <c r="AA7" s="3226" t="s">
        <v>4416</v>
      </c>
      <c r="AB7" s="3255" t="s">
        <v>4417</v>
      </c>
      <c r="AC7" s="3226" t="s">
        <v>4418</v>
      </c>
      <c r="AD7" s="3286" t="s">
        <v>4419</v>
      </c>
      <c r="AE7" s="3286" t="s">
        <v>4427</v>
      </c>
      <c r="AF7" s="3286"/>
      <c r="AG7" s="3286"/>
      <c r="AH7" s="3255">
        <v>43785</v>
      </c>
      <c r="AI7" s="3255">
        <v>43785</v>
      </c>
      <c r="AJ7" s="3255">
        <v>43817</v>
      </c>
      <c r="AK7" s="3287">
        <f t="shared" si="9"/>
        <v>2019</v>
      </c>
      <c r="AL7" s="3288">
        <f t="shared" si="10"/>
        <v>12</v>
      </c>
      <c r="AM7" s="3226" t="s">
        <v>4440</v>
      </c>
      <c r="AN7" s="3298">
        <v>860000</v>
      </c>
      <c r="AO7" s="3299"/>
      <c r="AP7" s="3299"/>
      <c r="AQ7" s="3299"/>
      <c r="AR7" s="3292"/>
      <c r="AS7" s="3292"/>
      <c r="AT7" s="3292"/>
      <c r="AU7" s="3293"/>
      <c r="AV7" s="3293"/>
      <c r="AW7" s="3294"/>
      <c r="AX7" s="3236"/>
      <c r="AY7" s="3244"/>
      <c r="AZ7" s="3295" t="s">
        <v>4441</v>
      </c>
      <c r="BA7" s="3296" t="str">
        <f t="shared" si="11"/>
        <v>签约</v>
      </c>
      <c r="BB7" s="3226" t="s">
        <v>4423</v>
      </c>
      <c r="BC7" s="3226"/>
      <c r="BD7" s="3292">
        <f>VLOOKUP(B7,[3]Sheet1!A$1:B$65536,2,0)</f>
        <v>43750</v>
      </c>
      <c r="BE7" s="3297" t="s">
        <v>4434</v>
      </c>
      <c r="BG7" s="3297">
        <f>IFERROR(VLOOKUP(B7,[3]Sheet2!A$1:B$65536,2,FALSE),0)</f>
        <v>0</v>
      </c>
      <c r="BI7" s="3297">
        <f>IFERROR(VLOOKUP(B7,[3]Sheet2!A$1:C$65536,2,FALSE),0)</f>
        <v>0</v>
      </c>
      <c r="BJ7" s="3297">
        <f>IFERROR(VLOOKUP(B7,[3]Sheet2!A$1:C$65536,3,FALSE),0)</f>
        <v>0</v>
      </c>
    </row>
    <row r="8" spans="1:62" s="3297" customFormat="1" ht="20.25" customHeight="1">
      <c r="A8" s="3226">
        <v>6</v>
      </c>
      <c r="B8" s="3226" t="s">
        <v>4442</v>
      </c>
      <c r="C8" s="3227" t="s">
        <v>3333</v>
      </c>
      <c r="D8" s="3228" t="s">
        <v>4443</v>
      </c>
      <c r="E8" s="3229">
        <v>43735</v>
      </c>
      <c r="F8" s="3230">
        <v>20000</v>
      </c>
      <c r="G8" s="3231">
        <v>130.71</v>
      </c>
      <c r="H8" s="3231" t="str">
        <f t="shared" si="0"/>
        <v>普通住宅</v>
      </c>
      <c r="I8" s="3230">
        <v>1967335</v>
      </c>
      <c r="J8" s="3229">
        <v>43738</v>
      </c>
      <c r="K8" s="3284">
        <f t="shared" si="1"/>
        <v>9</v>
      </c>
      <c r="L8" s="3230">
        <v>1922335</v>
      </c>
      <c r="M8" s="3235">
        <f t="shared" si="2"/>
        <v>14706.870170606686</v>
      </c>
      <c r="N8" s="3236">
        <v>1902335</v>
      </c>
      <c r="O8" s="3244">
        <f t="shared" si="3"/>
        <v>1922335</v>
      </c>
      <c r="P8" s="3244"/>
      <c r="Q8" s="3244"/>
      <c r="R8" s="3244">
        <f t="shared" si="4"/>
        <v>1922335</v>
      </c>
      <c r="S8" s="3244">
        <f t="shared" si="5"/>
        <v>1922335</v>
      </c>
      <c r="T8" s="3236"/>
      <c r="U8" s="3236"/>
      <c r="V8" s="3236"/>
      <c r="W8" s="3236"/>
      <c r="X8" s="3244">
        <f t="shared" si="6"/>
        <v>1922335</v>
      </c>
      <c r="Y8" s="3244">
        <f t="shared" si="7"/>
        <v>0</v>
      </c>
      <c r="Z8" s="3285">
        <f t="shared" si="8"/>
        <v>1</v>
      </c>
      <c r="AA8" s="3226" t="s">
        <v>4416</v>
      </c>
      <c r="AB8" s="3255" t="s">
        <v>4444</v>
      </c>
      <c r="AC8" s="3226"/>
      <c r="AD8" s="3286"/>
      <c r="AE8" s="3286"/>
      <c r="AF8" s="3286"/>
      <c r="AG8" s="3286"/>
      <c r="AH8" s="3255"/>
      <c r="AI8" s="3255"/>
      <c r="AJ8" s="3255"/>
      <c r="AK8" s="3287" t="str">
        <f t="shared" si="9"/>
        <v/>
      </c>
      <c r="AL8" s="3288" t="str">
        <f t="shared" si="10"/>
        <v/>
      </c>
      <c r="AM8" s="3226"/>
      <c r="AN8" s="3298"/>
      <c r="AO8" s="3299"/>
      <c r="AP8" s="3299"/>
      <c r="AQ8" s="3299"/>
      <c r="AR8" s="3292"/>
      <c r="AS8" s="3292"/>
      <c r="AT8" s="3292"/>
      <c r="AU8" s="3293"/>
      <c r="AV8" s="3293"/>
      <c r="AW8" s="3294"/>
      <c r="AX8" s="3236"/>
      <c r="AY8" s="3244"/>
      <c r="AZ8" s="3295" t="s">
        <v>4445</v>
      </c>
      <c r="BA8" s="3296" t="str">
        <f t="shared" si="11"/>
        <v>签约</v>
      </c>
      <c r="BB8" s="3226" t="s">
        <v>4423</v>
      </c>
      <c r="BC8" s="3226" t="s">
        <v>4430</v>
      </c>
      <c r="BD8" s="3292">
        <f>VLOOKUP(B8,[3]Sheet1!A$1:B$65536,2,0)</f>
        <v>43748</v>
      </c>
      <c r="BE8" s="3297" t="s">
        <v>4367</v>
      </c>
      <c r="BG8" s="3297">
        <f>IFERROR(VLOOKUP(B8,[3]Sheet2!A$1:B$65536,2,FALSE),0)</f>
        <v>0</v>
      </c>
      <c r="BI8" s="3297">
        <f>IFERROR(VLOOKUP(B8,[3]Sheet2!A$1:C$65536,2,FALSE),0)</f>
        <v>0</v>
      </c>
      <c r="BJ8" s="3297">
        <f>IFERROR(VLOOKUP(B8,[3]Sheet2!A$1:C$65536,3,FALSE),0)</f>
        <v>0</v>
      </c>
    </row>
    <row r="9" spans="1:62" s="3297" customFormat="1" ht="20.25" customHeight="1">
      <c r="A9" s="3226">
        <v>7</v>
      </c>
      <c r="B9" s="3226" t="s">
        <v>4446</v>
      </c>
      <c r="C9" s="3227" t="s">
        <v>3333</v>
      </c>
      <c r="D9" s="3228" t="s">
        <v>4447</v>
      </c>
      <c r="E9" s="3229">
        <v>43735</v>
      </c>
      <c r="F9" s="3230">
        <v>20000</v>
      </c>
      <c r="G9" s="3231">
        <v>130.71</v>
      </c>
      <c r="H9" s="3231" t="str">
        <f t="shared" si="0"/>
        <v>普通住宅</v>
      </c>
      <c r="I9" s="3238">
        <v>1960597</v>
      </c>
      <c r="J9" s="3239">
        <v>43738</v>
      </c>
      <c r="K9" s="3284">
        <f t="shared" si="1"/>
        <v>9</v>
      </c>
      <c r="L9" s="3238">
        <v>1925597</v>
      </c>
      <c r="M9" s="3235">
        <f t="shared" si="2"/>
        <v>14731.826180093336</v>
      </c>
      <c r="N9" s="3236">
        <v>1005597</v>
      </c>
      <c r="O9" s="3244">
        <f t="shared" si="3"/>
        <v>1925597</v>
      </c>
      <c r="P9" s="3244"/>
      <c r="Q9" s="3244"/>
      <c r="R9" s="3244">
        <f t="shared" si="4"/>
        <v>1025597</v>
      </c>
      <c r="S9" s="3244">
        <f t="shared" si="5"/>
        <v>1025597</v>
      </c>
      <c r="T9" s="3236"/>
      <c r="U9" s="3236"/>
      <c r="V9" s="3236">
        <v>900000</v>
      </c>
      <c r="W9" s="3236"/>
      <c r="X9" s="3244">
        <f t="shared" si="6"/>
        <v>1925597</v>
      </c>
      <c r="Y9" s="3244">
        <f t="shared" si="7"/>
        <v>0</v>
      </c>
      <c r="Z9" s="3285">
        <f t="shared" si="8"/>
        <v>1</v>
      </c>
      <c r="AA9" s="3226" t="s">
        <v>4416</v>
      </c>
      <c r="AB9" s="3255" t="s">
        <v>4417</v>
      </c>
      <c r="AC9" s="3226" t="s">
        <v>4418</v>
      </c>
      <c r="AD9" s="3286" t="s">
        <v>4419</v>
      </c>
      <c r="AE9" s="3286" t="s">
        <v>4420</v>
      </c>
      <c r="AF9" s="3286"/>
      <c r="AG9" s="3286"/>
      <c r="AH9" s="3255">
        <v>43738</v>
      </c>
      <c r="AI9" s="3255">
        <v>43755</v>
      </c>
      <c r="AJ9" s="3255">
        <v>43774</v>
      </c>
      <c r="AK9" s="3287">
        <f t="shared" si="9"/>
        <v>2019</v>
      </c>
      <c r="AL9" s="3288">
        <f t="shared" si="10"/>
        <v>11</v>
      </c>
      <c r="AM9" s="3226" t="s">
        <v>4421</v>
      </c>
      <c r="AN9" s="3298">
        <v>900000</v>
      </c>
      <c r="AO9" s="3299"/>
      <c r="AP9" s="3299"/>
      <c r="AQ9" s="3299"/>
      <c r="AR9" s="3292"/>
      <c r="AS9" s="3292"/>
      <c r="AT9" s="3292"/>
      <c r="AU9" s="3293"/>
      <c r="AV9" s="3293"/>
      <c r="AW9" s="3294"/>
      <c r="AX9" s="3236"/>
      <c r="AY9" s="3244"/>
      <c r="AZ9" s="3295" t="s">
        <v>4448</v>
      </c>
      <c r="BA9" s="3296" t="str">
        <f t="shared" si="11"/>
        <v>签约</v>
      </c>
      <c r="BB9" s="3226" t="s">
        <v>4423</v>
      </c>
      <c r="BC9" s="3226"/>
      <c r="BD9" s="3292">
        <f>VLOOKUP(B9,[3]Sheet1!A$1:B$65536,2,0)</f>
        <v>43748</v>
      </c>
      <c r="BE9" s="3297" t="s">
        <v>4449</v>
      </c>
      <c r="BG9" s="3297">
        <f>IFERROR(VLOOKUP(B9,[3]Sheet2!A$1:B$65536,2,FALSE),0)</f>
        <v>0</v>
      </c>
      <c r="BI9" s="3297">
        <f>IFERROR(VLOOKUP(B9,[3]Sheet2!A$1:C$65536,2,FALSE),0)</f>
        <v>0</v>
      </c>
      <c r="BJ9" s="3297">
        <f>IFERROR(VLOOKUP(B9,[3]Sheet2!A$1:C$65536,3,FALSE),0)</f>
        <v>0</v>
      </c>
    </row>
    <row r="10" spans="1:62" s="3297" customFormat="1" ht="20.25" customHeight="1">
      <c r="A10" s="3226">
        <v>8</v>
      </c>
      <c r="B10" s="3226" t="s">
        <v>4450</v>
      </c>
      <c r="C10" s="3227" t="s">
        <v>3333</v>
      </c>
      <c r="D10" s="3228" t="s">
        <v>4451</v>
      </c>
      <c r="E10" s="3229">
        <v>43735</v>
      </c>
      <c r="F10" s="3230">
        <v>20000</v>
      </c>
      <c r="G10" s="3231">
        <v>130.71</v>
      </c>
      <c r="H10" s="3231" t="str">
        <f t="shared" si="0"/>
        <v>普通住宅</v>
      </c>
      <c r="I10" s="3230">
        <v>1920171</v>
      </c>
      <c r="J10" s="3229">
        <v>43737</v>
      </c>
      <c r="K10" s="3284">
        <f t="shared" si="1"/>
        <v>9</v>
      </c>
      <c r="L10" s="3230">
        <v>1900171</v>
      </c>
      <c r="M10" s="3235">
        <f t="shared" si="2"/>
        <v>14537.303955320938</v>
      </c>
      <c r="N10" s="3238">
        <v>550171</v>
      </c>
      <c r="O10" s="3244">
        <f t="shared" si="3"/>
        <v>1900171</v>
      </c>
      <c r="P10" s="3244"/>
      <c r="Q10" s="3244"/>
      <c r="R10" s="3244">
        <f t="shared" si="4"/>
        <v>570171</v>
      </c>
      <c r="S10" s="3244">
        <f t="shared" si="5"/>
        <v>570171</v>
      </c>
      <c r="T10" s="3236"/>
      <c r="U10" s="3236"/>
      <c r="V10" s="3236">
        <v>730000</v>
      </c>
      <c r="W10" s="3236">
        <v>600000</v>
      </c>
      <c r="X10" s="3244">
        <f t="shared" si="6"/>
        <v>1900171</v>
      </c>
      <c r="Y10" s="3244">
        <f t="shared" si="7"/>
        <v>0</v>
      </c>
      <c r="Z10" s="3285">
        <f t="shared" si="8"/>
        <v>1</v>
      </c>
      <c r="AA10" s="3226" t="s">
        <v>4416</v>
      </c>
      <c r="AB10" s="3255" t="s">
        <v>4417</v>
      </c>
      <c r="AC10" s="3226" t="s">
        <v>4452</v>
      </c>
      <c r="AD10" s="3286" t="s">
        <v>4419</v>
      </c>
      <c r="AE10" s="3286" t="s">
        <v>4427</v>
      </c>
      <c r="AF10" s="3286"/>
      <c r="AG10" s="3286"/>
      <c r="AH10" s="3255">
        <v>43738</v>
      </c>
      <c r="AI10" s="3255">
        <v>43759</v>
      </c>
      <c r="AJ10" s="3255">
        <v>43833</v>
      </c>
      <c r="AK10" s="3287">
        <f t="shared" si="9"/>
        <v>2020</v>
      </c>
      <c r="AL10" s="3288">
        <f t="shared" si="10"/>
        <v>1</v>
      </c>
      <c r="AM10" s="3226" t="s">
        <v>4421</v>
      </c>
      <c r="AN10" s="3298">
        <v>730000</v>
      </c>
      <c r="AO10" s="3300" t="s">
        <v>4419</v>
      </c>
      <c r="AP10" s="3300" t="s">
        <v>4427</v>
      </c>
      <c r="AQ10" s="3299"/>
      <c r="AR10" s="3292">
        <v>43771</v>
      </c>
      <c r="AS10" s="3292">
        <v>43771</v>
      </c>
      <c r="AT10" s="3292">
        <v>43853</v>
      </c>
      <c r="AU10" s="3293">
        <f>IF(ISBLANK(AT10),"",YEAR(AT10))</f>
        <v>2020</v>
      </c>
      <c r="AV10" s="3293">
        <f>IF(ISBLANK(AT10),"",MONTH(AT10))</f>
        <v>1</v>
      </c>
      <c r="AW10" s="3294" t="s">
        <v>4453</v>
      </c>
      <c r="AX10" s="3236">
        <v>600000</v>
      </c>
      <c r="AY10" s="3244"/>
      <c r="AZ10" s="3295" t="s">
        <v>4454</v>
      </c>
      <c r="BA10" s="3296" t="str">
        <f t="shared" si="11"/>
        <v>签约</v>
      </c>
      <c r="BB10" s="3226" t="s">
        <v>4455</v>
      </c>
      <c r="BC10" s="3226"/>
      <c r="BD10" s="3292">
        <f>VLOOKUP(B10,[3]Sheet1!A$1:B$65536,2,0)</f>
        <v>43749</v>
      </c>
      <c r="BE10" s="3297" t="s">
        <v>4367</v>
      </c>
      <c r="BG10" s="3297">
        <f>IFERROR(VLOOKUP(B10,[3]Sheet2!A$1:B$65536,2,FALSE),0)</f>
        <v>0</v>
      </c>
      <c r="BI10" s="3297">
        <f>IFERROR(VLOOKUP(B10,[3]Sheet2!A$1:C$65536,2,FALSE),0)</f>
        <v>0</v>
      </c>
      <c r="BJ10" s="3297">
        <f>IFERROR(VLOOKUP(B10,[3]Sheet2!A$1:C$65536,3,FALSE),0)</f>
        <v>0</v>
      </c>
    </row>
    <row r="11" spans="1:62" s="3297" customFormat="1" ht="19.5" customHeight="1">
      <c r="A11" s="3226">
        <v>9</v>
      </c>
      <c r="B11" s="3226" t="s">
        <v>4456</v>
      </c>
      <c r="C11" s="3227" t="s">
        <v>3333</v>
      </c>
      <c r="D11" s="3228" t="s">
        <v>4457</v>
      </c>
      <c r="E11" s="3229">
        <v>43735</v>
      </c>
      <c r="F11" s="3230">
        <v>20000</v>
      </c>
      <c r="G11" s="3231">
        <v>130.71</v>
      </c>
      <c r="H11" s="3231" t="str">
        <f t="shared" si="0"/>
        <v>普通住宅</v>
      </c>
      <c r="I11" s="3230">
        <v>1873008</v>
      </c>
      <c r="J11" s="3229">
        <v>43738</v>
      </c>
      <c r="K11" s="3284">
        <f t="shared" si="1"/>
        <v>9</v>
      </c>
      <c r="L11" s="3230">
        <v>1838008</v>
      </c>
      <c r="M11" s="3235">
        <f t="shared" si="2"/>
        <v>14061.724428123325</v>
      </c>
      <c r="N11" s="3236">
        <v>818008</v>
      </c>
      <c r="O11" s="3244">
        <f t="shared" si="3"/>
        <v>1838008</v>
      </c>
      <c r="P11" s="3244"/>
      <c r="Q11" s="3244"/>
      <c r="R11" s="3244">
        <f t="shared" si="4"/>
        <v>838008</v>
      </c>
      <c r="S11" s="3244">
        <f t="shared" si="5"/>
        <v>838008</v>
      </c>
      <c r="T11" s="3236"/>
      <c r="U11" s="3236"/>
      <c r="V11" s="3236">
        <v>1000000</v>
      </c>
      <c r="W11" s="3236"/>
      <c r="X11" s="3244">
        <f t="shared" si="6"/>
        <v>1838008</v>
      </c>
      <c r="Y11" s="3244">
        <f t="shared" si="7"/>
        <v>0</v>
      </c>
      <c r="Z11" s="3285">
        <f t="shared" si="8"/>
        <v>1</v>
      </c>
      <c r="AA11" s="3226" t="s">
        <v>4416</v>
      </c>
      <c r="AB11" s="3255" t="s">
        <v>4417</v>
      </c>
      <c r="AC11" s="3226" t="s">
        <v>4418</v>
      </c>
      <c r="AD11" s="3286" t="s">
        <v>4419</v>
      </c>
      <c r="AE11" s="3286" t="s">
        <v>4420</v>
      </c>
      <c r="AF11" s="3286"/>
      <c r="AG11" s="3286"/>
      <c r="AH11" s="3255">
        <v>43738</v>
      </c>
      <c r="AI11" s="3255">
        <v>43746</v>
      </c>
      <c r="AJ11" s="3255">
        <v>43769</v>
      </c>
      <c r="AK11" s="3287">
        <f t="shared" si="9"/>
        <v>2019</v>
      </c>
      <c r="AL11" s="3288">
        <f t="shared" si="10"/>
        <v>10</v>
      </c>
      <c r="AM11" s="3226" t="s">
        <v>4421</v>
      </c>
      <c r="AN11" s="3298">
        <v>1000000</v>
      </c>
      <c r="AO11" s="3299"/>
      <c r="AP11" s="3299"/>
      <c r="AQ11" s="3295"/>
      <c r="AR11" s="3292"/>
      <c r="AS11" s="3292"/>
      <c r="AT11" s="3292"/>
      <c r="AU11" s="3293" t="str">
        <f t="shared" ref="AU11:AU74" si="12">IF(ISBLANK(AT11),"",YEAR(AT11))</f>
        <v/>
      </c>
      <c r="AV11" s="3293" t="str">
        <f t="shared" ref="AV11:AV74" si="13">IF(ISBLANK(AT11),"",MONTH(AT11))</f>
        <v/>
      </c>
      <c r="AW11" s="3294"/>
      <c r="AX11" s="3236"/>
      <c r="AY11" s="3244"/>
      <c r="AZ11" s="3295" t="s">
        <v>4441</v>
      </c>
      <c r="BA11" s="3296" t="str">
        <f t="shared" si="11"/>
        <v>签约</v>
      </c>
      <c r="BB11" s="3226" t="s">
        <v>4423</v>
      </c>
      <c r="BC11" s="3226" t="s">
        <v>4430</v>
      </c>
      <c r="BD11" s="3292">
        <f>VLOOKUP(B11,[3]Sheet1!A$1:B$65536,2,0)</f>
        <v>43750</v>
      </c>
      <c r="BE11" s="3297" t="s">
        <v>4367</v>
      </c>
      <c r="BG11" s="3297">
        <f>IFERROR(VLOOKUP(B11,[3]Sheet2!A$1:B$65536,2,FALSE),0)</f>
        <v>0</v>
      </c>
      <c r="BI11" s="3297">
        <f>IFERROR(VLOOKUP(B11,[3]Sheet2!A$1:C$65536,2,FALSE),0)</f>
        <v>0</v>
      </c>
      <c r="BJ11" s="3297">
        <f>IFERROR(VLOOKUP(B11,[3]Sheet2!A$1:C$65536,3,FALSE),0)</f>
        <v>0</v>
      </c>
    </row>
    <row r="12" spans="1:62" s="3297" customFormat="1" ht="20.25" customHeight="1">
      <c r="A12" s="3226">
        <v>10</v>
      </c>
      <c r="B12" s="3226" t="s">
        <v>4458</v>
      </c>
      <c r="C12" s="3227" t="s">
        <v>3333</v>
      </c>
      <c r="D12" s="3228" t="s">
        <v>4459</v>
      </c>
      <c r="E12" s="3239">
        <v>43748</v>
      </c>
      <c r="F12" s="3238">
        <v>20000</v>
      </c>
      <c r="G12" s="3231">
        <v>129.54</v>
      </c>
      <c r="H12" s="3231" t="str">
        <f t="shared" si="0"/>
        <v>普通住宅</v>
      </c>
      <c r="I12" s="3238">
        <v>1841045</v>
      </c>
      <c r="J12" s="3239">
        <v>43749</v>
      </c>
      <c r="K12" s="3284">
        <f t="shared" si="1"/>
        <v>10</v>
      </c>
      <c r="L12" s="3238">
        <v>1821045</v>
      </c>
      <c r="M12" s="3235">
        <f t="shared" si="2"/>
        <v>14057.781380268643</v>
      </c>
      <c r="N12" s="3236">
        <v>801045</v>
      </c>
      <c r="O12" s="3244">
        <f t="shared" si="3"/>
        <v>1821045</v>
      </c>
      <c r="P12" s="3244"/>
      <c r="Q12" s="3244"/>
      <c r="R12" s="3244">
        <f t="shared" si="4"/>
        <v>821045</v>
      </c>
      <c r="S12" s="3244">
        <f t="shared" si="5"/>
        <v>821045</v>
      </c>
      <c r="T12" s="3236"/>
      <c r="U12" s="3236"/>
      <c r="V12" s="3236">
        <v>700000</v>
      </c>
      <c r="W12" s="3236">
        <v>300000</v>
      </c>
      <c r="X12" s="3244">
        <f t="shared" si="6"/>
        <v>1821045</v>
      </c>
      <c r="Y12" s="3244">
        <f t="shared" si="7"/>
        <v>0</v>
      </c>
      <c r="Z12" s="3285">
        <f t="shared" si="8"/>
        <v>1</v>
      </c>
      <c r="AA12" s="3226" t="s">
        <v>4416</v>
      </c>
      <c r="AB12" s="3255" t="s">
        <v>4417</v>
      </c>
      <c r="AC12" s="3226" t="s">
        <v>4460</v>
      </c>
      <c r="AD12" s="3286" t="s">
        <v>4419</v>
      </c>
      <c r="AE12" s="3286" t="s">
        <v>4427</v>
      </c>
      <c r="AF12" s="3286"/>
      <c r="AG12" s="3286"/>
      <c r="AH12" s="3255">
        <v>43755</v>
      </c>
      <c r="AI12" s="3255">
        <v>43755</v>
      </c>
      <c r="AJ12" s="3255">
        <v>43787</v>
      </c>
      <c r="AK12" s="3287">
        <f t="shared" si="9"/>
        <v>2019</v>
      </c>
      <c r="AL12" s="3288">
        <f t="shared" si="10"/>
        <v>11</v>
      </c>
      <c r="AM12" s="3226" t="s">
        <v>4461</v>
      </c>
      <c r="AN12" s="3298">
        <v>700000</v>
      </c>
      <c r="AO12" s="3299" t="s">
        <v>4419</v>
      </c>
      <c r="AP12" s="3300" t="s">
        <v>4427</v>
      </c>
      <c r="AQ12" s="3299"/>
      <c r="AR12" s="3292">
        <v>43755</v>
      </c>
      <c r="AS12" s="3292">
        <v>43755</v>
      </c>
      <c r="AT12" s="3292">
        <v>43853</v>
      </c>
      <c r="AU12" s="3293">
        <f t="shared" si="12"/>
        <v>2020</v>
      </c>
      <c r="AV12" s="3293">
        <f t="shared" si="13"/>
        <v>1</v>
      </c>
      <c r="AW12" s="3294" t="s">
        <v>4453</v>
      </c>
      <c r="AX12" s="3236">
        <v>300000</v>
      </c>
      <c r="AY12" s="3244"/>
      <c r="AZ12" s="3295" t="s">
        <v>4437</v>
      </c>
      <c r="BA12" s="3296" t="str">
        <f t="shared" si="11"/>
        <v>签约</v>
      </c>
      <c r="BB12" s="3226" t="s">
        <v>4423</v>
      </c>
      <c r="BC12" s="3226"/>
      <c r="BD12" s="3292">
        <f>VLOOKUP(B12,[3]Sheet1!A$1:B$65536,2,0)</f>
        <v>43754</v>
      </c>
      <c r="BE12" s="3297" t="s">
        <v>4367</v>
      </c>
      <c r="BG12" s="3297">
        <f>IFERROR(VLOOKUP(B12,[3]Sheet2!A$1:B$65536,2,FALSE),0)</f>
        <v>0</v>
      </c>
      <c r="BI12" s="3297">
        <f>IFERROR(VLOOKUP(B12,[3]Sheet2!A$1:C$65536,2,FALSE),0)</f>
        <v>0</v>
      </c>
      <c r="BJ12" s="3297">
        <f>IFERROR(VLOOKUP(B12,[3]Sheet2!A$1:C$65536,3,FALSE),0)</f>
        <v>0</v>
      </c>
    </row>
    <row r="13" spans="1:62" s="3297" customFormat="1" ht="20.25" customHeight="1">
      <c r="A13" s="3226">
        <v>11</v>
      </c>
      <c r="B13" s="3226" t="s">
        <v>4462</v>
      </c>
      <c r="C13" s="3227" t="s">
        <v>3333</v>
      </c>
      <c r="D13" s="3228" t="s">
        <v>4463</v>
      </c>
      <c r="E13" s="3229">
        <v>43735</v>
      </c>
      <c r="F13" s="3230">
        <v>20000</v>
      </c>
      <c r="G13" s="3231">
        <v>129.5</v>
      </c>
      <c r="H13" s="3231" t="str">
        <f t="shared" si="0"/>
        <v>普通住宅</v>
      </c>
      <c r="I13" s="3232">
        <v>1915081</v>
      </c>
      <c r="J13" s="3233">
        <v>43737</v>
      </c>
      <c r="K13" s="3284">
        <f t="shared" si="1"/>
        <v>9</v>
      </c>
      <c r="L13" s="3232">
        <v>1870081</v>
      </c>
      <c r="M13" s="3235">
        <f t="shared" si="2"/>
        <v>14440.779922779922</v>
      </c>
      <c r="N13" s="3236">
        <v>1850081</v>
      </c>
      <c r="O13" s="3244">
        <f t="shared" si="3"/>
        <v>1870081</v>
      </c>
      <c r="P13" s="3244"/>
      <c r="Q13" s="3244"/>
      <c r="R13" s="3244">
        <f t="shared" si="4"/>
        <v>1870081</v>
      </c>
      <c r="S13" s="3244">
        <f t="shared" si="5"/>
        <v>1870081</v>
      </c>
      <c r="T13" s="3236"/>
      <c r="U13" s="3236"/>
      <c r="V13" s="3236"/>
      <c r="W13" s="3236"/>
      <c r="X13" s="3244">
        <f t="shared" si="6"/>
        <v>1870081</v>
      </c>
      <c r="Y13" s="3244">
        <f t="shared" si="7"/>
        <v>0</v>
      </c>
      <c r="Z13" s="3285">
        <f t="shared" si="8"/>
        <v>1</v>
      </c>
      <c r="AA13" s="3226" t="s">
        <v>4416</v>
      </c>
      <c r="AB13" s="3255" t="s">
        <v>4444</v>
      </c>
      <c r="AC13" s="3226"/>
      <c r="AD13" s="3286"/>
      <c r="AE13" s="3286"/>
      <c r="AF13" s="3286"/>
      <c r="AG13" s="3286"/>
      <c r="AH13" s="3255"/>
      <c r="AI13" s="3255"/>
      <c r="AJ13" s="3255"/>
      <c r="AK13" s="3287" t="str">
        <f t="shared" si="9"/>
        <v/>
      </c>
      <c r="AL13" s="3288" t="str">
        <f t="shared" si="10"/>
        <v/>
      </c>
      <c r="AM13" s="3226"/>
      <c r="AN13" s="3298"/>
      <c r="AO13" s="3299"/>
      <c r="AP13" s="3299"/>
      <c r="AQ13" s="3299"/>
      <c r="AR13" s="3292"/>
      <c r="AS13" s="3292"/>
      <c r="AT13" s="3292"/>
      <c r="AU13" s="3293" t="str">
        <f t="shared" si="12"/>
        <v/>
      </c>
      <c r="AV13" s="3293" t="str">
        <f t="shared" si="13"/>
        <v/>
      </c>
      <c r="AW13" s="3294"/>
      <c r="AX13" s="3236"/>
      <c r="AY13" s="3244"/>
      <c r="AZ13" s="3295" t="s">
        <v>4464</v>
      </c>
      <c r="BA13" s="3296" t="str">
        <f t="shared" si="11"/>
        <v>签约</v>
      </c>
      <c r="BB13" s="3226" t="s">
        <v>4455</v>
      </c>
      <c r="BC13" s="3226"/>
      <c r="BD13" s="3292">
        <f>VLOOKUP(B13,[3]Sheet1!A$1:B$65536,2,0)</f>
        <v>43750</v>
      </c>
      <c r="BE13" s="3297" t="s">
        <v>4465</v>
      </c>
      <c r="BG13" s="3297">
        <f>IFERROR(VLOOKUP(B13,[3]Sheet2!A$1:B$65536,2,FALSE),0)</f>
        <v>0</v>
      </c>
      <c r="BI13" s="3297">
        <f>IFERROR(VLOOKUP(B13,[3]Sheet2!A$1:C$65536,2,FALSE),0)</f>
        <v>0</v>
      </c>
      <c r="BJ13" s="3297">
        <f>IFERROR(VLOOKUP(B13,[3]Sheet2!A$1:C$65536,3,FALSE),0)</f>
        <v>0</v>
      </c>
    </row>
    <row r="14" spans="1:62" s="3297" customFormat="1" ht="20.25" customHeight="1">
      <c r="A14" s="3226">
        <v>12</v>
      </c>
      <c r="B14" s="3226" t="s">
        <v>4466</v>
      </c>
      <c r="C14" s="3227" t="s">
        <v>3333</v>
      </c>
      <c r="D14" s="3228" t="s">
        <v>4467</v>
      </c>
      <c r="E14" s="3229">
        <v>43735</v>
      </c>
      <c r="F14" s="3230">
        <v>20000</v>
      </c>
      <c r="G14" s="3231">
        <v>129.58000000000001</v>
      </c>
      <c r="H14" s="3231" t="str">
        <f t="shared" si="0"/>
        <v>普通住宅</v>
      </c>
      <c r="I14" s="3238">
        <v>1908401</v>
      </c>
      <c r="J14" s="3239">
        <v>43736</v>
      </c>
      <c r="K14" s="3284">
        <f t="shared" si="1"/>
        <v>9</v>
      </c>
      <c r="L14" s="3238">
        <v>1863401</v>
      </c>
      <c r="M14" s="3235">
        <f t="shared" si="2"/>
        <v>14380.313319956782</v>
      </c>
      <c r="N14" s="3236">
        <v>1843401</v>
      </c>
      <c r="O14" s="3244">
        <f t="shared" si="3"/>
        <v>1863401</v>
      </c>
      <c r="P14" s="3244"/>
      <c r="Q14" s="3244"/>
      <c r="R14" s="3244">
        <f t="shared" si="4"/>
        <v>1863401</v>
      </c>
      <c r="S14" s="3244">
        <f t="shared" si="5"/>
        <v>1863401</v>
      </c>
      <c r="T14" s="3236"/>
      <c r="U14" s="3236"/>
      <c r="V14" s="3236"/>
      <c r="W14" s="3236"/>
      <c r="X14" s="3244">
        <f t="shared" si="6"/>
        <v>1863401</v>
      </c>
      <c r="Y14" s="3244">
        <f t="shared" si="7"/>
        <v>0</v>
      </c>
      <c r="Z14" s="3285">
        <f t="shared" si="8"/>
        <v>1</v>
      </c>
      <c r="AA14" s="3226" t="s">
        <v>4416</v>
      </c>
      <c r="AB14" s="3255" t="s">
        <v>4444</v>
      </c>
      <c r="AC14" s="3226"/>
      <c r="AD14" s="3226"/>
      <c r="AE14" s="3226"/>
      <c r="AF14" s="3286"/>
      <c r="AG14" s="3286"/>
      <c r="AH14" s="3255"/>
      <c r="AI14" s="3255"/>
      <c r="AJ14" s="3255"/>
      <c r="AK14" s="3287" t="str">
        <f t="shared" si="9"/>
        <v/>
      </c>
      <c r="AL14" s="3288" t="str">
        <f t="shared" si="10"/>
        <v/>
      </c>
      <c r="AM14" s="3226"/>
      <c r="AN14" s="3298"/>
      <c r="AO14" s="3299"/>
      <c r="AP14" s="3299"/>
      <c r="AQ14" s="3299"/>
      <c r="AR14" s="3292"/>
      <c r="AS14" s="3292"/>
      <c r="AT14" s="3292"/>
      <c r="AU14" s="3293" t="str">
        <f t="shared" si="12"/>
        <v/>
      </c>
      <c r="AV14" s="3293" t="str">
        <f t="shared" si="13"/>
        <v/>
      </c>
      <c r="AW14" s="3294"/>
      <c r="AX14" s="3236"/>
      <c r="AY14" s="3244"/>
      <c r="AZ14" s="3295" t="s">
        <v>4468</v>
      </c>
      <c r="BA14" s="3296" t="str">
        <f t="shared" si="11"/>
        <v>签约</v>
      </c>
      <c r="BB14" s="3226" t="s">
        <v>4455</v>
      </c>
      <c r="BC14" s="3226"/>
      <c r="BD14" s="3292">
        <f>VLOOKUP(B14,[3]Sheet1!A$1:B$65536,2,0)</f>
        <v>43750</v>
      </c>
      <c r="BE14" s="3297" t="s">
        <v>4449</v>
      </c>
      <c r="BG14" s="3297">
        <f>IFERROR(VLOOKUP(B14,[3]Sheet2!A$1:B$65536,2,FALSE),0)</f>
        <v>0</v>
      </c>
      <c r="BI14" s="3297">
        <f>IFERROR(VLOOKUP(B14,[3]Sheet2!A$1:C$65536,2,FALSE),0)</f>
        <v>0</v>
      </c>
      <c r="BJ14" s="3297">
        <f>IFERROR(VLOOKUP(B14,[3]Sheet2!A$1:C$65536,3,FALSE),0)</f>
        <v>0</v>
      </c>
    </row>
    <row r="15" spans="1:62" s="3297" customFormat="1" ht="20.25" customHeight="1">
      <c r="A15" s="3226">
        <v>13</v>
      </c>
      <c r="B15" s="3226" t="s">
        <v>4469</v>
      </c>
      <c r="C15" s="3227" t="s">
        <v>3333</v>
      </c>
      <c r="D15" s="3228" t="s">
        <v>4470</v>
      </c>
      <c r="E15" s="3229">
        <v>43738</v>
      </c>
      <c r="F15" s="3230">
        <v>20000</v>
      </c>
      <c r="G15" s="3231">
        <v>129.58000000000001</v>
      </c>
      <c r="H15" s="3231" t="str">
        <f t="shared" si="0"/>
        <v>普通住宅</v>
      </c>
      <c r="I15" s="3230">
        <v>1901722</v>
      </c>
      <c r="J15" s="3229">
        <v>43766</v>
      </c>
      <c r="K15" s="3284">
        <f t="shared" si="1"/>
        <v>10</v>
      </c>
      <c r="L15" s="3230">
        <v>1810720</v>
      </c>
      <c r="M15" s="3235">
        <f t="shared" si="2"/>
        <v>13973.761382929462</v>
      </c>
      <c r="N15" s="3236">
        <v>530720</v>
      </c>
      <c r="O15" s="3244">
        <f t="shared" si="3"/>
        <v>1810720</v>
      </c>
      <c r="P15" s="3244"/>
      <c r="Q15" s="3244"/>
      <c r="R15" s="3244">
        <f t="shared" si="4"/>
        <v>550720</v>
      </c>
      <c r="S15" s="3244">
        <f t="shared" si="5"/>
        <v>550720</v>
      </c>
      <c r="T15" s="3236"/>
      <c r="U15" s="3236"/>
      <c r="V15" s="3236">
        <v>1260000</v>
      </c>
      <c r="W15" s="3236"/>
      <c r="X15" s="3244">
        <f t="shared" si="6"/>
        <v>1810720</v>
      </c>
      <c r="Y15" s="3244">
        <f t="shared" si="7"/>
        <v>0</v>
      </c>
      <c r="Z15" s="3285">
        <f t="shared" si="8"/>
        <v>1</v>
      </c>
      <c r="AA15" s="3226" t="s">
        <v>4416</v>
      </c>
      <c r="AB15" s="3255" t="s">
        <v>4417</v>
      </c>
      <c r="AC15" s="3226" t="s">
        <v>4418</v>
      </c>
      <c r="AD15" s="3286" t="s">
        <v>4419</v>
      </c>
      <c r="AE15" s="3286" t="s">
        <v>4427</v>
      </c>
      <c r="AF15" s="3286"/>
      <c r="AG15" s="3286"/>
      <c r="AH15" s="3255">
        <v>43766</v>
      </c>
      <c r="AI15" s="3255">
        <v>43797</v>
      </c>
      <c r="AJ15" s="3255">
        <v>43833</v>
      </c>
      <c r="AK15" s="3287">
        <f t="shared" si="9"/>
        <v>2020</v>
      </c>
      <c r="AL15" s="3288">
        <f t="shared" si="10"/>
        <v>1</v>
      </c>
      <c r="AM15" s="3226" t="s">
        <v>4471</v>
      </c>
      <c r="AN15" s="3298">
        <v>1260000</v>
      </c>
      <c r="AO15" s="3299"/>
      <c r="AP15" s="3299"/>
      <c r="AQ15" s="3299"/>
      <c r="AR15" s="3292"/>
      <c r="AS15" s="3292"/>
      <c r="AT15" s="3292"/>
      <c r="AU15" s="3293" t="str">
        <f t="shared" si="12"/>
        <v/>
      </c>
      <c r="AV15" s="3293" t="str">
        <f t="shared" si="13"/>
        <v/>
      </c>
      <c r="AW15" s="3294"/>
      <c r="AX15" s="3236"/>
      <c r="AY15" s="3244"/>
      <c r="AZ15" s="3295" t="s">
        <v>4422</v>
      </c>
      <c r="BA15" s="3296" t="str">
        <f t="shared" si="11"/>
        <v>签约</v>
      </c>
      <c r="BB15" s="3226" t="s">
        <v>4423</v>
      </c>
      <c r="BC15" s="3226"/>
      <c r="BD15" s="3292">
        <f>VLOOKUP(B15,[3]Sheet1!A$1:B$65536,2,0)</f>
        <v>43767</v>
      </c>
      <c r="BE15" s="3297" t="s">
        <v>4434</v>
      </c>
      <c r="BG15" s="3297">
        <f>IFERROR(VLOOKUP(B15,[3]Sheet2!A$1:B$65536,2,FALSE),0)</f>
        <v>0</v>
      </c>
      <c r="BI15" s="3297">
        <f>IFERROR(VLOOKUP(B15,[3]Sheet2!A$1:C$65536,2,FALSE),0)</f>
        <v>0</v>
      </c>
      <c r="BJ15" s="3297">
        <f>IFERROR(VLOOKUP(B15,[3]Sheet2!A$1:C$65536,3,FALSE),0)</f>
        <v>0</v>
      </c>
    </row>
    <row r="16" spans="1:62" s="3297" customFormat="1" ht="20.25" customHeight="1">
      <c r="A16" s="3226">
        <v>14</v>
      </c>
      <c r="B16" s="3226" t="s">
        <v>4472</v>
      </c>
      <c r="C16" s="3227" t="s">
        <v>3333</v>
      </c>
      <c r="D16" s="3228" t="s">
        <v>4473</v>
      </c>
      <c r="E16" s="3229">
        <v>43735</v>
      </c>
      <c r="F16" s="3230">
        <v>20000</v>
      </c>
      <c r="G16" s="3231">
        <v>129.58000000000001</v>
      </c>
      <c r="H16" s="3231" t="str">
        <f t="shared" si="0"/>
        <v>普通住宅</v>
      </c>
      <c r="I16" s="3230">
        <v>1895042</v>
      </c>
      <c r="J16" s="3229">
        <v>43736</v>
      </c>
      <c r="K16" s="3284">
        <f t="shared" si="1"/>
        <v>9</v>
      </c>
      <c r="L16" s="3230">
        <v>1860042</v>
      </c>
      <c r="M16" s="3235">
        <f t="shared" si="2"/>
        <v>14354.391109739156</v>
      </c>
      <c r="N16" s="3236">
        <v>1100042</v>
      </c>
      <c r="O16" s="3244">
        <f t="shared" si="3"/>
        <v>1860042</v>
      </c>
      <c r="P16" s="3244"/>
      <c r="Q16" s="3244"/>
      <c r="R16" s="3244">
        <f t="shared" si="4"/>
        <v>1120042</v>
      </c>
      <c r="S16" s="3244">
        <f t="shared" si="5"/>
        <v>1120042</v>
      </c>
      <c r="T16" s="3236"/>
      <c r="U16" s="3236"/>
      <c r="V16" s="3236">
        <v>740000</v>
      </c>
      <c r="W16" s="3236"/>
      <c r="X16" s="3244">
        <f t="shared" si="6"/>
        <v>1860042</v>
      </c>
      <c r="Y16" s="3244">
        <f t="shared" si="7"/>
        <v>0</v>
      </c>
      <c r="Z16" s="3285">
        <f t="shared" si="8"/>
        <v>1</v>
      </c>
      <c r="AA16" s="3226" t="s">
        <v>4416</v>
      </c>
      <c r="AB16" s="3255" t="s">
        <v>4417</v>
      </c>
      <c r="AC16" s="3226" t="s">
        <v>4418</v>
      </c>
      <c r="AD16" s="3286" t="s">
        <v>4419</v>
      </c>
      <c r="AE16" s="3286" t="s">
        <v>4420</v>
      </c>
      <c r="AF16" s="3286"/>
      <c r="AG16" s="3286"/>
      <c r="AH16" s="3255">
        <v>43736</v>
      </c>
      <c r="AI16" s="3255">
        <v>43748</v>
      </c>
      <c r="AJ16" s="3255">
        <v>43776</v>
      </c>
      <c r="AK16" s="3287">
        <f t="shared" si="9"/>
        <v>2019</v>
      </c>
      <c r="AL16" s="3288">
        <f t="shared" si="10"/>
        <v>11</v>
      </c>
      <c r="AM16" s="3226" t="s">
        <v>4474</v>
      </c>
      <c r="AN16" s="3298">
        <v>740000</v>
      </c>
      <c r="AO16" s="3299"/>
      <c r="AP16" s="3299"/>
      <c r="AQ16" s="3299"/>
      <c r="AR16" s="3292"/>
      <c r="AS16" s="3292"/>
      <c r="AT16" s="3292"/>
      <c r="AU16" s="3293" t="str">
        <f t="shared" si="12"/>
        <v/>
      </c>
      <c r="AV16" s="3293" t="str">
        <f t="shared" si="13"/>
        <v/>
      </c>
      <c r="AW16" s="3294"/>
      <c r="AX16" s="3236"/>
      <c r="AY16" s="3244"/>
      <c r="AZ16" s="3295" t="s">
        <v>4441</v>
      </c>
      <c r="BA16" s="3296" t="str">
        <f t="shared" si="11"/>
        <v>签约</v>
      </c>
      <c r="BB16" s="3226" t="s">
        <v>4423</v>
      </c>
      <c r="BC16" s="3226"/>
      <c r="BD16" s="3292">
        <f>VLOOKUP(B16,[3]Sheet1!A$1:B$65536,2,0)</f>
        <v>43750</v>
      </c>
      <c r="BE16" s="3297" t="s">
        <v>4424</v>
      </c>
      <c r="BG16" s="3297">
        <f>IFERROR(VLOOKUP(B16,[3]Sheet2!A$1:B$65536,2,FALSE),0)</f>
        <v>0</v>
      </c>
      <c r="BI16" s="3297">
        <f>IFERROR(VLOOKUP(B16,[3]Sheet2!A$1:C$65536,2,FALSE),0)</f>
        <v>0</v>
      </c>
      <c r="BJ16" s="3297">
        <f>IFERROR(VLOOKUP(B16,[3]Sheet2!A$1:C$65536,3,FALSE),0)</f>
        <v>0</v>
      </c>
    </row>
    <row r="17" spans="1:62" s="3297" customFormat="1" ht="20.25" customHeight="1">
      <c r="A17" s="3226">
        <v>15</v>
      </c>
      <c r="B17" s="3226" t="s">
        <v>4475</v>
      </c>
      <c r="C17" s="3227" t="s">
        <v>3333</v>
      </c>
      <c r="D17" s="3228" t="s">
        <v>4476</v>
      </c>
      <c r="E17" s="3229">
        <v>43735</v>
      </c>
      <c r="F17" s="3230">
        <v>20000</v>
      </c>
      <c r="G17" s="3231">
        <v>129.58000000000001</v>
      </c>
      <c r="H17" s="3231" t="str">
        <f t="shared" si="0"/>
        <v>普通住宅</v>
      </c>
      <c r="I17" s="3230">
        <v>1888363</v>
      </c>
      <c r="J17" s="3229">
        <v>43737</v>
      </c>
      <c r="K17" s="3284">
        <f t="shared" si="1"/>
        <v>9</v>
      </c>
      <c r="L17" s="3230">
        <v>1853363</v>
      </c>
      <c r="M17" s="3235">
        <f t="shared" si="2"/>
        <v>14302.847661676184</v>
      </c>
      <c r="N17" s="3236">
        <v>1033363</v>
      </c>
      <c r="O17" s="3244">
        <f t="shared" si="3"/>
        <v>1853363</v>
      </c>
      <c r="P17" s="3244"/>
      <c r="Q17" s="3244"/>
      <c r="R17" s="3244">
        <f t="shared" si="4"/>
        <v>1053363</v>
      </c>
      <c r="S17" s="3244">
        <f t="shared" si="5"/>
        <v>1053363</v>
      </c>
      <c r="T17" s="3236"/>
      <c r="U17" s="3236"/>
      <c r="V17" s="3236">
        <v>800000</v>
      </c>
      <c r="W17" s="3236"/>
      <c r="X17" s="3244">
        <f t="shared" si="6"/>
        <v>1853363</v>
      </c>
      <c r="Y17" s="3244">
        <f t="shared" si="7"/>
        <v>0</v>
      </c>
      <c r="Z17" s="3285">
        <f t="shared" si="8"/>
        <v>1</v>
      </c>
      <c r="AA17" s="3226" t="s">
        <v>4416</v>
      </c>
      <c r="AB17" s="3255" t="s">
        <v>4417</v>
      </c>
      <c r="AC17" s="3226" t="s">
        <v>4418</v>
      </c>
      <c r="AD17" s="3286" t="s">
        <v>4419</v>
      </c>
      <c r="AE17" s="3286" t="s">
        <v>4420</v>
      </c>
      <c r="AF17" s="3286"/>
      <c r="AG17" s="3286"/>
      <c r="AH17" s="3255">
        <v>43842</v>
      </c>
      <c r="AI17" s="3255">
        <v>43842</v>
      </c>
      <c r="AJ17" s="3255">
        <v>43851</v>
      </c>
      <c r="AK17" s="3287">
        <f t="shared" si="9"/>
        <v>2020</v>
      </c>
      <c r="AL17" s="3288">
        <f t="shared" si="10"/>
        <v>1</v>
      </c>
      <c r="AM17" s="3226" t="s">
        <v>4477</v>
      </c>
      <c r="AN17" s="3298">
        <v>800000</v>
      </c>
      <c r="AO17" s="3299"/>
      <c r="AP17" s="3299"/>
      <c r="AQ17" s="3299"/>
      <c r="AR17" s="3292"/>
      <c r="AS17" s="3292"/>
      <c r="AT17" s="3292"/>
      <c r="AU17" s="3293" t="str">
        <f t="shared" si="12"/>
        <v/>
      </c>
      <c r="AV17" s="3293" t="str">
        <f t="shared" si="13"/>
        <v/>
      </c>
      <c r="AW17" s="3294"/>
      <c r="AX17" s="3236"/>
      <c r="AY17" s="3244"/>
      <c r="AZ17" s="3295" t="s">
        <v>4429</v>
      </c>
      <c r="BA17" s="3296" t="str">
        <f t="shared" si="11"/>
        <v>签约</v>
      </c>
      <c r="BB17" s="3226" t="s">
        <v>4423</v>
      </c>
      <c r="BC17" s="3226"/>
      <c r="BD17" s="3292">
        <f>VLOOKUP(B17,[3]Sheet1!A$1:B$65536,2,0)</f>
        <v>43749</v>
      </c>
      <c r="BE17" s="3297" t="s">
        <v>4367</v>
      </c>
      <c r="BG17" s="3297">
        <f>IFERROR(VLOOKUP(B17,[3]Sheet2!A$1:B$65536,2,FALSE),0)</f>
        <v>0</v>
      </c>
      <c r="BI17" s="3297">
        <f>IFERROR(VLOOKUP(B17,[3]Sheet2!A$1:C$65536,2,FALSE),0)</f>
        <v>0</v>
      </c>
      <c r="BJ17" s="3297">
        <f>IFERROR(VLOOKUP(B17,[3]Sheet2!A$1:C$65536,3,FALSE),0)</f>
        <v>0</v>
      </c>
    </row>
    <row r="18" spans="1:62" s="3297" customFormat="1" ht="20.25" customHeight="1">
      <c r="A18" s="3226">
        <v>16</v>
      </c>
      <c r="B18" s="3226" t="s">
        <v>4478</v>
      </c>
      <c r="C18" s="3227" t="s">
        <v>3333</v>
      </c>
      <c r="D18" s="3228" t="s">
        <v>4479</v>
      </c>
      <c r="E18" s="3229">
        <v>43735</v>
      </c>
      <c r="F18" s="3230">
        <v>20000</v>
      </c>
      <c r="G18" s="3231">
        <v>129.58000000000001</v>
      </c>
      <c r="H18" s="3231" t="str">
        <f t="shared" si="0"/>
        <v>普通住宅</v>
      </c>
      <c r="I18" s="3230">
        <v>1881684</v>
      </c>
      <c r="J18" s="3229">
        <v>43737</v>
      </c>
      <c r="K18" s="3284">
        <f t="shared" si="1"/>
        <v>9</v>
      </c>
      <c r="L18" s="3230">
        <v>1861684</v>
      </c>
      <c r="M18" s="3235">
        <f t="shared" si="2"/>
        <v>14367.062818336162</v>
      </c>
      <c r="N18" s="3236">
        <f>541684+500000</f>
        <v>1041684</v>
      </c>
      <c r="O18" s="3244">
        <f t="shared" si="3"/>
        <v>1861684</v>
      </c>
      <c r="P18" s="3244"/>
      <c r="Q18" s="3244"/>
      <c r="R18" s="3244">
        <f t="shared" si="4"/>
        <v>1061684</v>
      </c>
      <c r="S18" s="3244">
        <f t="shared" si="5"/>
        <v>1061684</v>
      </c>
      <c r="T18" s="3236"/>
      <c r="U18" s="3236"/>
      <c r="V18" s="3236">
        <v>800000</v>
      </c>
      <c r="W18" s="3236"/>
      <c r="X18" s="3244">
        <f t="shared" si="6"/>
        <v>1861684</v>
      </c>
      <c r="Y18" s="3244">
        <f t="shared" si="7"/>
        <v>0</v>
      </c>
      <c r="Z18" s="3285">
        <f t="shared" si="8"/>
        <v>1</v>
      </c>
      <c r="AA18" s="3226" t="s">
        <v>4416</v>
      </c>
      <c r="AB18" s="3255" t="s">
        <v>4417</v>
      </c>
      <c r="AC18" s="3226" t="s">
        <v>4418</v>
      </c>
      <c r="AD18" s="3286" t="s">
        <v>4419</v>
      </c>
      <c r="AE18" s="3286" t="s">
        <v>4427</v>
      </c>
      <c r="AF18" s="3286"/>
      <c r="AG18" s="3286"/>
      <c r="AH18" s="3255">
        <v>43757</v>
      </c>
      <c r="AI18" s="3255">
        <v>43757</v>
      </c>
      <c r="AJ18" s="3255">
        <v>43833</v>
      </c>
      <c r="AK18" s="3287">
        <f t="shared" si="9"/>
        <v>2020</v>
      </c>
      <c r="AL18" s="3288">
        <f t="shared" si="10"/>
        <v>1</v>
      </c>
      <c r="AM18" s="3226" t="s">
        <v>4421</v>
      </c>
      <c r="AN18" s="3298">
        <v>800000</v>
      </c>
      <c r="AO18" s="3299"/>
      <c r="AP18" s="3299"/>
      <c r="AQ18" s="3299"/>
      <c r="AR18" s="3292"/>
      <c r="AS18" s="3292"/>
      <c r="AT18" s="3292"/>
      <c r="AU18" s="3293" t="str">
        <f t="shared" si="12"/>
        <v/>
      </c>
      <c r="AV18" s="3293" t="str">
        <f t="shared" si="13"/>
        <v/>
      </c>
      <c r="AW18" s="3294"/>
      <c r="AX18" s="3236"/>
      <c r="AY18" s="3244"/>
      <c r="AZ18" s="3295" t="s">
        <v>4448</v>
      </c>
      <c r="BA18" s="3296" t="str">
        <f t="shared" si="11"/>
        <v>签约</v>
      </c>
      <c r="BB18" s="3226" t="s">
        <v>4423</v>
      </c>
      <c r="BC18" s="3226"/>
      <c r="BD18" s="3292">
        <f>VLOOKUP(B18,[3]Sheet1!A$1:B$65536,2,0)</f>
        <v>43748</v>
      </c>
      <c r="BE18" s="3297" t="s">
        <v>4367</v>
      </c>
      <c r="BG18" s="3297">
        <f>IFERROR(VLOOKUP(B18,[3]Sheet2!A$1:B$65536,2,FALSE),0)</f>
        <v>0</v>
      </c>
      <c r="BI18" s="3297">
        <f>IFERROR(VLOOKUP(B18,[3]Sheet2!A$1:C$65536,2,FALSE),0)</f>
        <v>0</v>
      </c>
      <c r="BJ18" s="3297">
        <f>IFERROR(VLOOKUP(B18,[3]Sheet2!A$1:C$65536,3,FALSE),0)</f>
        <v>0</v>
      </c>
    </row>
    <row r="19" spans="1:62" s="3297" customFormat="1" ht="27.95" customHeight="1">
      <c r="A19" s="3226">
        <v>17</v>
      </c>
      <c r="B19" s="3226" t="s">
        <v>4480</v>
      </c>
      <c r="C19" s="3227" t="s">
        <v>3333</v>
      </c>
      <c r="D19" s="3228" t="s">
        <v>4481</v>
      </c>
      <c r="E19" s="3229">
        <v>43735</v>
      </c>
      <c r="F19" s="3230">
        <v>20000</v>
      </c>
      <c r="G19" s="3231">
        <v>129.58000000000001</v>
      </c>
      <c r="H19" s="3231" t="str">
        <f t="shared" si="0"/>
        <v>普通住宅</v>
      </c>
      <c r="I19" s="3230">
        <v>1848287</v>
      </c>
      <c r="J19" s="3229">
        <v>43738</v>
      </c>
      <c r="K19" s="3284">
        <f t="shared" si="1"/>
        <v>9</v>
      </c>
      <c r="L19" s="3230">
        <v>1813287</v>
      </c>
      <c r="M19" s="3235">
        <f t="shared" si="2"/>
        <v>13993.571538817718</v>
      </c>
      <c r="N19" s="3236">
        <v>533287</v>
      </c>
      <c r="O19" s="3244">
        <f t="shared" si="3"/>
        <v>1813287</v>
      </c>
      <c r="P19" s="3244"/>
      <c r="Q19" s="3244"/>
      <c r="R19" s="3244">
        <f t="shared" si="4"/>
        <v>553287</v>
      </c>
      <c r="S19" s="3244">
        <f t="shared" si="5"/>
        <v>553287</v>
      </c>
      <c r="T19" s="3236"/>
      <c r="U19" s="3236"/>
      <c r="V19" s="3236">
        <v>1260000</v>
      </c>
      <c r="W19" s="3236"/>
      <c r="X19" s="3244">
        <f t="shared" si="6"/>
        <v>1813287</v>
      </c>
      <c r="Y19" s="3244">
        <f t="shared" si="7"/>
        <v>0</v>
      </c>
      <c r="Z19" s="3285">
        <f t="shared" si="8"/>
        <v>1</v>
      </c>
      <c r="AA19" s="3226" t="s">
        <v>4416</v>
      </c>
      <c r="AB19" s="3255" t="s">
        <v>4417</v>
      </c>
      <c r="AC19" s="3226" t="s">
        <v>4418</v>
      </c>
      <c r="AD19" s="3286" t="s">
        <v>4419</v>
      </c>
      <c r="AE19" s="3286" t="s">
        <v>4427</v>
      </c>
      <c r="AF19" s="3286"/>
      <c r="AG19" s="3286"/>
      <c r="AH19" s="3255">
        <v>43738</v>
      </c>
      <c r="AI19" s="3255">
        <v>43768</v>
      </c>
      <c r="AJ19" s="3255">
        <v>43833</v>
      </c>
      <c r="AK19" s="3287">
        <f t="shared" si="9"/>
        <v>2020</v>
      </c>
      <c r="AL19" s="3288">
        <f t="shared" si="10"/>
        <v>1</v>
      </c>
      <c r="AM19" s="3226" t="s">
        <v>4421</v>
      </c>
      <c r="AN19" s="3298">
        <v>1260000</v>
      </c>
      <c r="AO19" s="3299"/>
      <c r="AP19" s="3299"/>
      <c r="AQ19" s="3301"/>
      <c r="AR19" s="3292"/>
      <c r="AS19" s="3292"/>
      <c r="AT19" s="3292"/>
      <c r="AU19" s="3293" t="str">
        <f t="shared" si="12"/>
        <v/>
      </c>
      <c r="AV19" s="3293" t="str">
        <f t="shared" si="13"/>
        <v/>
      </c>
      <c r="AW19" s="3294"/>
      <c r="AX19" s="3236"/>
      <c r="AY19" s="3244"/>
      <c r="AZ19" s="3295" t="s">
        <v>4482</v>
      </c>
      <c r="BA19" s="3296" t="str">
        <f t="shared" si="11"/>
        <v>签约</v>
      </c>
      <c r="BB19" s="3226" t="s">
        <v>4455</v>
      </c>
      <c r="BC19" s="3226"/>
      <c r="BD19" s="3292">
        <f>VLOOKUP(B19,[3]Sheet1!A$1:B$65536,2,0)</f>
        <v>43748</v>
      </c>
      <c r="BE19" s="3297" t="s">
        <v>4367</v>
      </c>
      <c r="BG19" s="3297">
        <f>IFERROR(VLOOKUP(B19,[3]Sheet2!A$1:B$65536,2,FALSE),0)</f>
        <v>0</v>
      </c>
      <c r="BI19" s="3297">
        <f>IFERROR(VLOOKUP(B19,[3]Sheet2!A$1:C$65536,2,FALSE),0)</f>
        <v>0</v>
      </c>
      <c r="BJ19" s="3297">
        <f>IFERROR(VLOOKUP(B19,[3]Sheet2!A$1:C$65536,3,FALSE),0)</f>
        <v>0</v>
      </c>
    </row>
    <row r="20" spans="1:62" s="3297" customFormat="1" ht="20.25" customHeight="1">
      <c r="A20" s="3226">
        <v>18</v>
      </c>
      <c r="B20" s="3226" t="s">
        <v>4483</v>
      </c>
      <c r="C20" s="3227" t="s">
        <v>3333</v>
      </c>
      <c r="D20" s="3228" t="s">
        <v>4484</v>
      </c>
      <c r="E20" s="3229">
        <v>43735</v>
      </c>
      <c r="F20" s="3230">
        <v>20000</v>
      </c>
      <c r="G20" s="3231">
        <v>129.58000000000001</v>
      </c>
      <c r="H20" s="3231" t="str">
        <f t="shared" si="0"/>
        <v>普通住宅</v>
      </c>
      <c r="I20" s="3232">
        <v>1808210</v>
      </c>
      <c r="J20" s="3233">
        <v>43736</v>
      </c>
      <c r="K20" s="3284">
        <f t="shared" si="1"/>
        <v>9</v>
      </c>
      <c r="L20" s="3232">
        <v>1773210</v>
      </c>
      <c r="M20" s="3235">
        <f t="shared" si="2"/>
        <v>13684.287698718937</v>
      </c>
      <c r="N20" s="3236">
        <v>553210</v>
      </c>
      <c r="O20" s="3244">
        <f t="shared" si="3"/>
        <v>1773210</v>
      </c>
      <c r="P20" s="3244"/>
      <c r="Q20" s="3244"/>
      <c r="R20" s="3244">
        <f t="shared" si="4"/>
        <v>573210</v>
      </c>
      <c r="S20" s="3244">
        <f t="shared" si="5"/>
        <v>573210</v>
      </c>
      <c r="T20" s="3236"/>
      <c r="U20" s="3236"/>
      <c r="V20" s="3236">
        <v>1200000</v>
      </c>
      <c r="W20" s="3236"/>
      <c r="X20" s="3244">
        <f t="shared" si="6"/>
        <v>1773210</v>
      </c>
      <c r="Y20" s="3244">
        <f t="shared" si="7"/>
        <v>0</v>
      </c>
      <c r="Z20" s="3285">
        <f t="shared" si="8"/>
        <v>1</v>
      </c>
      <c r="AA20" s="3226" t="s">
        <v>4416</v>
      </c>
      <c r="AB20" s="3255" t="s">
        <v>4417</v>
      </c>
      <c r="AC20" s="3226" t="s">
        <v>4418</v>
      </c>
      <c r="AD20" s="3286" t="s">
        <v>4419</v>
      </c>
      <c r="AE20" s="3286" t="s">
        <v>4427</v>
      </c>
      <c r="AF20" s="3286"/>
      <c r="AG20" s="3286"/>
      <c r="AH20" s="3255">
        <v>43736</v>
      </c>
      <c r="AI20" s="3255">
        <v>43783</v>
      </c>
      <c r="AJ20" s="3255">
        <v>43808</v>
      </c>
      <c r="AK20" s="3287">
        <f t="shared" si="9"/>
        <v>2019</v>
      </c>
      <c r="AL20" s="3288">
        <f t="shared" si="10"/>
        <v>12</v>
      </c>
      <c r="AM20" s="3226" t="s">
        <v>4433</v>
      </c>
      <c r="AN20" s="3298">
        <v>1200000</v>
      </c>
      <c r="AO20" s="3299"/>
      <c r="AP20" s="3299"/>
      <c r="AQ20" s="3301"/>
      <c r="AR20" s="3292"/>
      <c r="AS20" s="3292"/>
      <c r="AT20" s="3292"/>
      <c r="AU20" s="3293" t="str">
        <f t="shared" si="12"/>
        <v/>
      </c>
      <c r="AV20" s="3293" t="str">
        <f t="shared" si="13"/>
        <v/>
      </c>
      <c r="AW20" s="3294"/>
      <c r="AX20" s="3236"/>
      <c r="AY20" s="3244"/>
      <c r="AZ20" s="3295" t="s">
        <v>4445</v>
      </c>
      <c r="BA20" s="3296" t="str">
        <f t="shared" si="11"/>
        <v>签约</v>
      </c>
      <c r="BB20" s="3226" t="s">
        <v>4423</v>
      </c>
      <c r="BC20" s="3226"/>
      <c r="BD20" s="3292">
        <f>VLOOKUP(B20,[3]Sheet1!A$1:B$65536,2,0)</f>
        <v>43749</v>
      </c>
      <c r="BE20" s="3297" t="s">
        <v>4367</v>
      </c>
      <c r="BG20" s="3297">
        <f>IFERROR(VLOOKUP(B20,[3]Sheet2!A$1:B$65536,2,FALSE),0)</f>
        <v>0</v>
      </c>
      <c r="BI20" s="3297">
        <f>IFERROR(VLOOKUP(B20,[3]Sheet2!A$1:C$65536,2,FALSE),0)</f>
        <v>0</v>
      </c>
      <c r="BJ20" s="3297">
        <f>IFERROR(VLOOKUP(B20,[3]Sheet2!A$1:C$65536,3,FALSE),0)</f>
        <v>0</v>
      </c>
    </row>
    <row r="21" spans="1:62" s="3297" customFormat="1" ht="20.25" customHeight="1">
      <c r="A21" s="3226">
        <v>19</v>
      </c>
      <c r="B21" s="3226" t="s">
        <v>4485</v>
      </c>
      <c r="C21" s="3227" t="s">
        <v>3333</v>
      </c>
      <c r="D21" s="3228" t="s">
        <v>3371</v>
      </c>
      <c r="E21" s="3229">
        <v>43735</v>
      </c>
      <c r="F21" s="3230">
        <v>20000</v>
      </c>
      <c r="G21" s="3231">
        <v>129.58000000000001</v>
      </c>
      <c r="H21" s="3231" t="str">
        <f t="shared" si="0"/>
        <v>普通住宅</v>
      </c>
      <c r="I21" s="3230">
        <v>1753705</v>
      </c>
      <c r="J21" s="3229">
        <v>43738</v>
      </c>
      <c r="K21" s="3284">
        <f t="shared" si="1"/>
        <v>9</v>
      </c>
      <c r="L21" s="3230">
        <v>1718705</v>
      </c>
      <c r="M21" s="3235">
        <f t="shared" si="2"/>
        <v>13263.659515357307</v>
      </c>
      <c r="N21" s="3236">
        <v>498705</v>
      </c>
      <c r="O21" s="3244">
        <f t="shared" si="3"/>
        <v>1718705</v>
      </c>
      <c r="P21" s="3244"/>
      <c r="Q21" s="3244"/>
      <c r="R21" s="3244">
        <f t="shared" si="4"/>
        <v>518705</v>
      </c>
      <c r="S21" s="3244">
        <f t="shared" si="5"/>
        <v>518705</v>
      </c>
      <c r="T21" s="3236"/>
      <c r="U21" s="3236"/>
      <c r="V21" s="3236">
        <v>1200000</v>
      </c>
      <c r="W21" s="3236"/>
      <c r="X21" s="3244">
        <f t="shared" si="6"/>
        <v>1718705</v>
      </c>
      <c r="Y21" s="3244">
        <f t="shared" si="7"/>
        <v>0</v>
      </c>
      <c r="Z21" s="3285">
        <f t="shared" si="8"/>
        <v>1</v>
      </c>
      <c r="AA21" s="3226" t="s">
        <v>4416</v>
      </c>
      <c r="AB21" s="3255" t="s">
        <v>4417</v>
      </c>
      <c r="AC21" s="3226" t="s">
        <v>4418</v>
      </c>
      <c r="AD21" s="3286" t="s">
        <v>4419</v>
      </c>
      <c r="AE21" s="3286" t="s">
        <v>4427</v>
      </c>
      <c r="AF21" s="3286"/>
      <c r="AG21" s="3286"/>
      <c r="AH21" s="3255">
        <v>43783</v>
      </c>
      <c r="AI21" s="3255">
        <v>43783</v>
      </c>
      <c r="AJ21" s="3255">
        <v>43836</v>
      </c>
      <c r="AK21" s="3287">
        <f t="shared" si="9"/>
        <v>2020</v>
      </c>
      <c r="AL21" s="3288">
        <f t="shared" si="10"/>
        <v>1</v>
      </c>
      <c r="AM21" s="3302" t="s">
        <v>4433</v>
      </c>
      <c r="AN21" s="3298">
        <v>1200000</v>
      </c>
      <c r="AO21" s="3299"/>
      <c r="AP21" s="3299"/>
      <c r="AQ21" s="3300"/>
      <c r="AR21" s="3292"/>
      <c r="AS21" s="3292"/>
      <c r="AT21" s="3292"/>
      <c r="AU21" s="3293" t="str">
        <f t="shared" si="12"/>
        <v/>
      </c>
      <c r="AV21" s="3293" t="str">
        <f t="shared" si="13"/>
        <v/>
      </c>
      <c r="AW21" s="3294"/>
      <c r="AX21" s="3236"/>
      <c r="AY21" s="3244"/>
      <c r="AZ21" s="3295" t="s">
        <v>4486</v>
      </c>
      <c r="BA21" s="3296" t="str">
        <f t="shared" si="11"/>
        <v>签约</v>
      </c>
      <c r="BB21" s="3226" t="s">
        <v>4423</v>
      </c>
      <c r="BC21" s="3226"/>
      <c r="BD21" s="3292">
        <f>VLOOKUP(B21,[3]Sheet1!A$1:B$65536,2,0)</f>
        <v>43749</v>
      </c>
      <c r="BE21" s="3297" t="s">
        <v>4367</v>
      </c>
      <c r="BG21" s="3297">
        <f>IFERROR(VLOOKUP(B21,[3]Sheet2!A$1:B$65536,2,FALSE),0)</f>
        <v>0</v>
      </c>
      <c r="BI21" s="3297">
        <f>IFERROR(VLOOKUP(B21,[3]Sheet2!A$1:C$65536,2,FALSE),0)</f>
        <v>0</v>
      </c>
      <c r="BJ21" s="3297">
        <f>IFERROR(VLOOKUP(B21,[3]Sheet2!A$1:C$65536,3,FALSE),0)</f>
        <v>0</v>
      </c>
    </row>
    <row r="22" spans="1:62" s="3297" customFormat="1" ht="20.25" customHeight="1">
      <c r="A22" s="3226">
        <v>20</v>
      </c>
      <c r="B22" s="3226" t="s">
        <v>4487</v>
      </c>
      <c r="C22" s="3227" t="s">
        <v>3333</v>
      </c>
      <c r="D22" s="3228" t="s">
        <v>4488</v>
      </c>
      <c r="E22" s="3229">
        <v>43736</v>
      </c>
      <c r="F22" s="3230">
        <v>20000</v>
      </c>
      <c r="G22" s="3231">
        <v>127.06</v>
      </c>
      <c r="H22" s="3231" t="str">
        <f t="shared" si="0"/>
        <v>普通住宅</v>
      </c>
      <c r="I22" s="3230">
        <v>1616259</v>
      </c>
      <c r="J22" s="3229">
        <v>43738</v>
      </c>
      <c r="K22" s="3284">
        <f t="shared" si="1"/>
        <v>9</v>
      </c>
      <c r="L22" s="3230">
        <v>1581259</v>
      </c>
      <c r="M22" s="3235">
        <f t="shared" si="2"/>
        <v>12444.978750196757</v>
      </c>
      <c r="N22" s="3236">
        <v>461259</v>
      </c>
      <c r="O22" s="3244">
        <f t="shared" si="3"/>
        <v>1581259</v>
      </c>
      <c r="P22" s="3244"/>
      <c r="Q22" s="3244"/>
      <c r="R22" s="3244">
        <f t="shared" si="4"/>
        <v>481259</v>
      </c>
      <c r="S22" s="3244">
        <f t="shared" si="5"/>
        <v>481259</v>
      </c>
      <c r="T22" s="3236"/>
      <c r="U22" s="3236"/>
      <c r="V22" s="3236">
        <v>1100000</v>
      </c>
      <c r="W22" s="3236"/>
      <c r="X22" s="3244">
        <f t="shared" si="6"/>
        <v>1581259</v>
      </c>
      <c r="Y22" s="3244">
        <f t="shared" si="7"/>
        <v>0</v>
      </c>
      <c r="Z22" s="3285">
        <f t="shared" si="8"/>
        <v>1</v>
      </c>
      <c r="AA22" s="3226" t="s">
        <v>4416</v>
      </c>
      <c r="AB22" s="3255" t="s">
        <v>4417</v>
      </c>
      <c r="AC22" s="3226" t="s">
        <v>4418</v>
      </c>
      <c r="AD22" s="3286" t="s">
        <v>4419</v>
      </c>
      <c r="AE22" s="3286" t="s">
        <v>4427</v>
      </c>
      <c r="AF22" s="3286"/>
      <c r="AG22" s="3286"/>
      <c r="AH22" s="3255">
        <v>43738</v>
      </c>
      <c r="AI22" s="3255">
        <v>43768</v>
      </c>
      <c r="AJ22" s="3255">
        <v>43789</v>
      </c>
      <c r="AK22" s="3287">
        <f t="shared" si="9"/>
        <v>2019</v>
      </c>
      <c r="AL22" s="3288">
        <f t="shared" si="10"/>
        <v>11</v>
      </c>
      <c r="AM22" s="3302" t="s">
        <v>4474</v>
      </c>
      <c r="AN22" s="3298">
        <v>1100000</v>
      </c>
      <c r="AO22" s="3299"/>
      <c r="AP22" s="3299"/>
      <c r="AQ22" s="3299"/>
      <c r="AR22" s="3292"/>
      <c r="AS22" s="3292"/>
      <c r="AT22" s="3292"/>
      <c r="AU22" s="3293" t="str">
        <f t="shared" si="12"/>
        <v/>
      </c>
      <c r="AV22" s="3293" t="str">
        <f t="shared" si="13"/>
        <v/>
      </c>
      <c r="AW22" s="3294"/>
      <c r="AX22" s="3294"/>
      <c r="AY22" s="3244"/>
      <c r="AZ22" s="3295" t="s">
        <v>4454</v>
      </c>
      <c r="BA22" s="3296" t="str">
        <f t="shared" si="11"/>
        <v>签约</v>
      </c>
      <c r="BB22" s="3226" t="s">
        <v>4455</v>
      </c>
      <c r="BC22" s="3226" t="s">
        <v>4430</v>
      </c>
      <c r="BD22" s="3292">
        <f>VLOOKUP(B22,[3]Sheet1!A$1:B$65536,2,0)</f>
        <v>43749</v>
      </c>
      <c r="BE22" s="3297" t="s">
        <v>4367</v>
      </c>
      <c r="BG22" s="3297">
        <f>IFERROR(VLOOKUP(B22,[3]Sheet2!A$1:B$65536,2,FALSE),0)</f>
        <v>0</v>
      </c>
      <c r="BI22" s="3297">
        <f>IFERROR(VLOOKUP(B22,[3]Sheet2!A$1:C$65536,2,FALSE),0)</f>
        <v>0</v>
      </c>
      <c r="BJ22" s="3297">
        <f>IFERROR(VLOOKUP(B22,[3]Sheet2!A$1:C$65536,3,FALSE),0)</f>
        <v>0</v>
      </c>
    </row>
    <row r="23" spans="1:62" s="3297" customFormat="1" ht="20.25" customHeight="1">
      <c r="A23" s="3226">
        <v>21</v>
      </c>
      <c r="B23" s="3226" t="s">
        <v>4489</v>
      </c>
      <c r="C23" s="3227" t="s">
        <v>3333</v>
      </c>
      <c r="D23" s="3248" t="s">
        <v>4490</v>
      </c>
      <c r="E23" s="3229">
        <v>43830</v>
      </c>
      <c r="F23" s="3230">
        <v>20000</v>
      </c>
      <c r="G23" s="3231">
        <v>129.58000000000001</v>
      </c>
      <c r="H23" s="3231" t="str">
        <f t="shared" si="0"/>
        <v>普通住宅</v>
      </c>
      <c r="I23" s="3230">
        <v>1846210</v>
      </c>
      <c r="J23" s="3229"/>
      <c r="K23" s="3284" t="str">
        <f t="shared" si="1"/>
        <v/>
      </c>
      <c r="L23" s="3230"/>
      <c r="M23" s="3235">
        <f t="shared" si="2"/>
        <v>0</v>
      </c>
      <c r="N23" s="3236"/>
      <c r="O23" s="3244">
        <f t="shared" si="3"/>
        <v>0</v>
      </c>
      <c r="P23" s="3244"/>
      <c r="Q23" s="3244"/>
      <c r="R23" s="3244">
        <f t="shared" si="4"/>
        <v>20000</v>
      </c>
      <c r="S23" s="3244">
        <f t="shared" si="5"/>
        <v>20000</v>
      </c>
      <c r="T23" s="3236"/>
      <c r="U23" s="3236"/>
      <c r="V23" s="3236"/>
      <c r="W23" s="3236"/>
      <c r="X23" s="3244">
        <f t="shared" si="6"/>
        <v>20000</v>
      </c>
      <c r="Y23" s="3244">
        <f t="shared" si="7"/>
        <v>-20000</v>
      </c>
      <c r="Z23" s="3285" t="e">
        <f t="shared" si="8"/>
        <v>#DIV/0!</v>
      </c>
      <c r="AA23" s="3226" t="s">
        <v>3318</v>
      </c>
      <c r="AB23" s="3255"/>
      <c r="AC23" s="3226"/>
      <c r="AD23" s="3286"/>
      <c r="AE23" s="3286"/>
      <c r="AF23" s="3286"/>
      <c r="AG23" s="3286"/>
      <c r="AH23" s="3255"/>
      <c r="AI23" s="3255"/>
      <c r="AJ23" s="3255"/>
      <c r="AK23" s="3287" t="str">
        <f t="shared" si="9"/>
        <v/>
      </c>
      <c r="AL23" s="3288" t="str">
        <f t="shared" si="10"/>
        <v/>
      </c>
      <c r="AM23" s="3226"/>
      <c r="AN23" s="3298"/>
      <c r="AO23" s="3299"/>
      <c r="AP23" s="3299"/>
      <c r="AQ23" s="3299"/>
      <c r="AR23" s="3292"/>
      <c r="AS23" s="3292"/>
      <c r="AT23" s="3292"/>
      <c r="AU23" s="3293" t="str">
        <f t="shared" si="12"/>
        <v/>
      </c>
      <c r="AV23" s="3293" t="str">
        <f t="shared" si="13"/>
        <v/>
      </c>
      <c r="AW23" s="3294"/>
      <c r="AX23" s="3294"/>
      <c r="AY23" s="3244"/>
      <c r="AZ23" s="3295">
        <v>0</v>
      </c>
      <c r="BA23" s="3296" t="str">
        <f t="shared" si="11"/>
        <v>认购</v>
      </c>
      <c r="BB23" s="3226"/>
      <c r="BC23" s="3226"/>
      <c r="BD23" s="3292"/>
      <c r="BE23" s="3297" t="s">
        <v>4434</v>
      </c>
      <c r="BG23" s="3297">
        <f>IFERROR(VLOOKUP(B23,[3]Sheet2!A$1:B$65536,2,FALSE),0)</f>
        <v>0</v>
      </c>
      <c r="BI23" s="3297">
        <f>IFERROR(VLOOKUP(B23,[3]Sheet2!A$1:C$65536,2,FALSE),0)</f>
        <v>0</v>
      </c>
      <c r="BJ23" s="3297">
        <f>IFERROR(VLOOKUP(B23,[3]Sheet2!A$1:C$65536,3,FALSE),0)</f>
        <v>0</v>
      </c>
    </row>
    <row r="24" spans="1:62" s="3297" customFormat="1" ht="20.25" customHeight="1">
      <c r="A24" s="3226">
        <v>22</v>
      </c>
      <c r="B24" s="3226" t="s">
        <v>4491</v>
      </c>
      <c r="C24" s="3227" t="s">
        <v>3333</v>
      </c>
      <c r="D24" s="3228" t="s">
        <v>4492</v>
      </c>
      <c r="E24" s="3229">
        <v>43735</v>
      </c>
      <c r="F24" s="3230">
        <v>20000</v>
      </c>
      <c r="G24" s="3231">
        <v>129.58000000000001</v>
      </c>
      <c r="H24" s="3231" t="str">
        <f t="shared" si="0"/>
        <v>普通住宅</v>
      </c>
      <c r="I24" s="3230">
        <v>1919684</v>
      </c>
      <c r="J24" s="3229">
        <v>43738</v>
      </c>
      <c r="K24" s="3284">
        <f t="shared" si="1"/>
        <v>9</v>
      </c>
      <c r="L24" s="3230">
        <v>1884684</v>
      </c>
      <c r="M24" s="3235">
        <f t="shared" si="2"/>
        <v>14544.55934557802</v>
      </c>
      <c r="N24" s="3236">
        <f>564684+500000</f>
        <v>1064684</v>
      </c>
      <c r="O24" s="3244">
        <f t="shared" si="3"/>
        <v>1884684</v>
      </c>
      <c r="P24" s="3244"/>
      <c r="Q24" s="3244"/>
      <c r="R24" s="3244">
        <f t="shared" si="4"/>
        <v>1084684</v>
      </c>
      <c r="S24" s="3244">
        <f t="shared" si="5"/>
        <v>1084684</v>
      </c>
      <c r="T24" s="3236"/>
      <c r="U24" s="3236"/>
      <c r="V24" s="3236">
        <v>800000</v>
      </c>
      <c r="W24" s="3236"/>
      <c r="X24" s="3244">
        <f t="shared" si="6"/>
        <v>1884684</v>
      </c>
      <c r="Y24" s="3244">
        <f t="shared" si="7"/>
        <v>0</v>
      </c>
      <c r="Z24" s="3285">
        <f t="shared" si="8"/>
        <v>1</v>
      </c>
      <c r="AA24" s="3226" t="s">
        <v>4416</v>
      </c>
      <c r="AB24" s="3255" t="s">
        <v>4417</v>
      </c>
      <c r="AC24" s="3226" t="s">
        <v>4418</v>
      </c>
      <c r="AD24" s="3286" t="s">
        <v>4419</v>
      </c>
      <c r="AE24" s="3286" t="s">
        <v>4427</v>
      </c>
      <c r="AF24" s="3286"/>
      <c r="AG24" s="3286"/>
      <c r="AH24" s="3255">
        <v>43738</v>
      </c>
      <c r="AI24" s="3255">
        <v>43748</v>
      </c>
      <c r="AJ24" s="3255">
        <v>43833</v>
      </c>
      <c r="AK24" s="3287">
        <f t="shared" si="9"/>
        <v>2020</v>
      </c>
      <c r="AL24" s="3288">
        <f t="shared" si="10"/>
        <v>1</v>
      </c>
      <c r="AM24" s="3226" t="s">
        <v>4421</v>
      </c>
      <c r="AN24" s="3298">
        <v>800000</v>
      </c>
      <c r="AO24" s="3299"/>
      <c r="AP24" s="3299"/>
      <c r="AQ24" s="3299"/>
      <c r="AR24" s="3292"/>
      <c r="AS24" s="3292"/>
      <c r="AT24" s="3292"/>
      <c r="AU24" s="3293" t="str">
        <f t="shared" si="12"/>
        <v/>
      </c>
      <c r="AV24" s="3293" t="str">
        <f t="shared" si="13"/>
        <v/>
      </c>
      <c r="AW24" s="3294"/>
      <c r="AX24" s="3294"/>
      <c r="AY24" s="3244"/>
      <c r="AZ24" s="3295" t="s">
        <v>4422</v>
      </c>
      <c r="BA24" s="3296" t="str">
        <f t="shared" si="11"/>
        <v>签约</v>
      </c>
      <c r="BB24" s="3226" t="s">
        <v>4423</v>
      </c>
      <c r="BC24" s="3226"/>
      <c r="BD24" s="3292">
        <f>VLOOKUP(B24,[3]Sheet1!A$1:B$65536,2,0)</f>
        <v>43749</v>
      </c>
      <c r="BE24" s="3297" t="s">
        <v>4465</v>
      </c>
      <c r="BG24" s="3297">
        <f>IFERROR(VLOOKUP(B24,[3]Sheet2!A$1:B$65536,2,FALSE),0)</f>
        <v>0</v>
      </c>
      <c r="BI24" s="3297">
        <f>IFERROR(VLOOKUP(B24,[3]Sheet2!A$1:C$65536,2,FALSE),0)</f>
        <v>0</v>
      </c>
      <c r="BJ24" s="3297">
        <f>IFERROR(VLOOKUP(B24,[3]Sheet2!A$1:C$65536,3,FALSE),0)</f>
        <v>0</v>
      </c>
    </row>
    <row r="25" spans="1:62" s="3297" customFormat="1" ht="20.25" customHeight="1">
      <c r="A25" s="3226">
        <v>23</v>
      </c>
      <c r="B25" s="3226" t="s">
        <v>4493</v>
      </c>
      <c r="C25" s="3227" t="s">
        <v>3333</v>
      </c>
      <c r="D25" s="3228" t="s">
        <v>4494</v>
      </c>
      <c r="E25" s="3229">
        <v>43735</v>
      </c>
      <c r="F25" s="3230">
        <v>20000</v>
      </c>
      <c r="G25" s="3231">
        <v>129.58000000000001</v>
      </c>
      <c r="H25" s="3231" t="str">
        <f t="shared" si="0"/>
        <v>普通住宅</v>
      </c>
      <c r="I25" s="3230">
        <v>1913004</v>
      </c>
      <c r="J25" s="3229">
        <v>43738</v>
      </c>
      <c r="K25" s="3284">
        <f t="shared" si="1"/>
        <v>9</v>
      </c>
      <c r="L25" s="3230">
        <v>1878004</v>
      </c>
      <c r="M25" s="3235">
        <f t="shared" si="2"/>
        <v>14493.008180274732</v>
      </c>
      <c r="N25" s="3236">
        <v>758004</v>
      </c>
      <c r="O25" s="3244">
        <f t="shared" si="3"/>
        <v>1878004</v>
      </c>
      <c r="P25" s="3244"/>
      <c r="Q25" s="3244"/>
      <c r="R25" s="3244">
        <f t="shared" si="4"/>
        <v>778004</v>
      </c>
      <c r="S25" s="3244">
        <f t="shared" si="5"/>
        <v>778004</v>
      </c>
      <c r="T25" s="3236"/>
      <c r="U25" s="3236"/>
      <c r="V25" s="3236">
        <v>1100000</v>
      </c>
      <c r="W25" s="3236"/>
      <c r="X25" s="3244">
        <f t="shared" si="6"/>
        <v>1878004</v>
      </c>
      <c r="Y25" s="3244">
        <f t="shared" si="7"/>
        <v>0</v>
      </c>
      <c r="Z25" s="3285">
        <f t="shared" si="8"/>
        <v>1</v>
      </c>
      <c r="AA25" s="3226" t="s">
        <v>4416</v>
      </c>
      <c r="AB25" s="3255" t="s">
        <v>4417</v>
      </c>
      <c r="AC25" s="3226" t="s">
        <v>4418</v>
      </c>
      <c r="AD25" s="3286" t="s">
        <v>4419</v>
      </c>
      <c r="AE25" s="3286" t="s">
        <v>4420</v>
      </c>
      <c r="AF25" s="3286"/>
      <c r="AG25" s="3286"/>
      <c r="AH25" s="3255">
        <v>43738</v>
      </c>
      <c r="AI25" s="3255">
        <v>43747</v>
      </c>
      <c r="AJ25" s="3255">
        <v>43775</v>
      </c>
      <c r="AK25" s="3287">
        <f t="shared" si="9"/>
        <v>2019</v>
      </c>
      <c r="AL25" s="3288">
        <f t="shared" si="10"/>
        <v>11</v>
      </c>
      <c r="AM25" s="3226" t="s">
        <v>4474</v>
      </c>
      <c r="AN25" s="3298">
        <v>1100000</v>
      </c>
      <c r="AO25" s="3299"/>
      <c r="AP25" s="3299"/>
      <c r="AQ25" s="3299"/>
      <c r="AR25" s="3292"/>
      <c r="AS25" s="3292"/>
      <c r="AT25" s="3292"/>
      <c r="AU25" s="3293" t="str">
        <f t="shared" si="12"/>
        <v/>
      </c>
      <c r="AV25" s="3293" t="str">
        <f t="shared" si="13"/>
        <v/>
      </c>
      <c r="AW25" s="3294"/>
      <c r="AX25" s="3294"/>
      <c r="AY25" s="3244"/>
      <c r="AZ25" s="3295" t="s">
        <v>4445</v>
      </c>
      <c r="BA25" s="3296" t="str">
        <f t="shared" si="11"/>
        <v>签约</v>
      </c>
      <c r="BB25" s="3226" t="s">
        <v>4423</v>
      </c>
      <c r="BC25" s="3226"/>
      <c r="BD25" s="3292">
        <f>VLOOKUP(B25,[3]Sheet1!A$1:B$65536,2,0)</f>
        <v>43748</v>
      </c>
      <c r="BE25" s="3297" t="s">
        <v>4465</v>
      </c>
      <c r="BG25" s="3297">
        <f>IFERROR(VLOOKUP(B25,[3]Sheet2!A$1:B$65536,2,FALSE),0)</f>
        <v>0</v>
      </c>
      <c r="BI25" s="3297">
        <f>IFERROR(VLOOKUP(B25,[3]Sheet2!A$1:C$65536,2,FALSE),0)</f>
        <v>0</v>
      </c>
      <c r="BJ25" s="3297">
        <f>IFERROR(VLOOKUP(B25,[3]Sheet2!A$1:C$65536,3,FALSE),0)</f>
        <v>0</v>
      </c>
    </row>
    <row r="26" spans="1:62" s="3297" customFormat="1" ht="20.25" customHeight="1">
      <c r="A26" s="3226">
        <v>24</v>
      </c>
      <c r="B26" s="3226" t="s">
        <v>4495</v>
      </c>
      <c r="C26" s="3227" t="s">
        <v>3333</v>
      </c>
      <c r="D26" s="3228" t="s">
        <v>4496</v>
      </c>
      <c r="E26" s="3229">
        <v>43735</v>
      </c>
      <c r="F26" s="3230">
        <v>20000</v>
      </c>
      <c r="G26" s="3231">
        <v>129.58000000000001</v>
      </c>
      <c r="H26" s="3231" t="str">
        <f t="shared" si="0"/>
        <v>普通住宅</v>
      </c>
      <c r="I26" s="3238">
        <v>1906325</v>
      </c>
      <c r="J26" s="3239">
        <v>43737</v>
      </c>
      <c r="K26" s="3284">
        <f t="shared" si="1"/>
        <v>9</v>
      </c>
      <c r="L26" s="3238">
        <v>1861325</v>
      </c>
      <c r="M26" s="3235">
        <f t="shared" si="2"/>
        <v>14364.292329063126</v>
      </c>
      <c r="N26" s="3236">
        <v>1841325</v>
      </c>
      <c r="O26" s="3244">
        <f t="shared" si="3"/>
        <v>1861325</v>
      </c>
      <c r="P26" s="3244"/>
      <c r="Q26" s="3244"/>
      <c r="R26" s="3244">
        <f t="shared" si="4"/>
        <v>1861325</v>
      </c>
      <c r="S26" s="3244">
        <f t="shared" si="5"/>
        <v>1861325</v>
      </c>
      <c r="T26" s="3236"/>
      <c r="U26" s="3236"/>
      <c r="V26" s="3236"/>
      <c r="W26" s="3236"/>
      <c r="X26" s="3244">
        <f t="shared" si="6"/>
        <v>1861325</v>
      </c>
      <c r="Y26" s="3244">
        <f t="shared" si="7"/>
        <v>0</v>
      </c>
      <c r="Z26" s="3285">
        <f t="shared" si="8"/>
        <v>1</v>
      </c>
      <c r="AA26" s="3226" t="s">
        <v>4416</v>
      </c>
      <c r="AB26" s="3255" t="s">
        <v>4444</v>
      </c>
      <c r="AC26" s="3226"/>
      <c r="AD26" s="3226"/>
      <c r="AE26" s="3286"/>
      <c r="AF26" s="3286"/>
      <c r="AG26" s="3286"/>
      <c r="AH26" s="3255"/>
      <c r="AI26" s="3255"/>
      <c r="AJ26" s="3255"/>
      <c r="AK26" s="3287" t="str">
        <f t="shared" si="9"/>
        <v/>
      </c>
      <c r="AL26" s="3288" t="str">
        <f t="shared" si="10"/>
        <v/>
      </c>
      <c r="AM26" s="3302"/>
      <c r="AN26" s="3298"/>
      <c r="AO26" s="3299"/>
      <c r="AP26" s="3299"/>
      <c r="AQ26" s="3299"/>
      <c r="AR26" s="3292"/>
      <c r="AS26" s="3292"/>
      <c r="AT26" s="3292"/>
      <c r="AU26" s="3293" t="str">
        <f t="shared" si="12"/>
        <v/>
      </c>
      <c r="AV26" s="3293" t="str">
        <f t="shared" si="13"/>
        <v/>
      </c>
      <c r="AW26" s="3294"/>
      <c r="AX26" s="3294"/>
      <c r="AY26" s="3244"/>
      <c r="AZ26" s="3295" t="s">
        <v>4429</v>
      </c>
      <c r="BA26" s="3296" t="str">
        <f t="shared" si="11"/>
        <v>签约</v>
      </c>
      <c r="BB26" s="3226" t="s">
        <v>4423</v>
      </c>
      <c r="BC26" s="3226" t="s">
        <v>4430</v>
      </c>
      <c r="BD26" s="3292">
        <f>VLOOKUP(B26,[3]Sheet1!A$1:B$65536,2,0)</f>
        <v>43748</v>
      </c>
      <c r="BE26" s="3297" t="s">
        <v>4367</v>
      </c>
      <c r="BG26" s="3297">
        <f>IFERROR(VLOOKUP(B26,[3]Sheet2!A$1:B$65536,2,FALSE),0)</f>
        <v>0</v>
      </c>
      <c r="BI26" s="3297">
        <f>IFERROR(VLOOKUP(B26,[3]Sheet2!A$1:C$65536,2,FALSE),0)</f>
        <v>0</v>
      </c>
      <c r="BJ26" s="3297">
        <f>IFERROR(VLOOKUP(B26,[3]Sheet2!A$1:C$65536,3,FALSE),0)</f>
        <v>0</v>
      </c>
    </row>
    <row r="27" spans="1:62" s="3297" customFormat="1" ht="20.25" customHeight="1">
      <c r="A27" s="3226">
        <v>25</v>
      </c>
      <c r="B27" s="3226" t="s">
        <v>4497</v>
      </c>
      <c r="C27" s="3227" t="s">
        <v>3333</v>
      </c>
      <c r="D27" s="3228" t="s">
        <v>4498</v>
      </c>
      <c r="E27" s="3229">
        <v>43735</v>
      </c>
      <c r="F27" s="3230">
        <v>20000</v>
      </c>
      <c r="G27" s="3231">
        <v>129.58000000000001</v>
      </c>
      <c r="H27" s="3231" t="str">
        <f t="shared" si="0"/>
        <v>普通住宅</v>
      </c>
      <c r="I27" s="3230">
        <v>1899645</v>
      </c>
      <c r="J27" s="3229">
        <v>43738</v>
      </c>
      <c r="K27" s="3284">
        <f t="shared" si="1"/>
        <v>9</v>
      </c>
      <c r="L27" s="3230">
        <v>1799006</v>
      </c>
      <c r="M27" s="3235">
        <f t="shared" si="2"/>
        <v>13883.361629881154</v>
      </c>
      <c r="N27" s="3236">
        <f>529006+1250000</f>
        <v>1779006</v>
      </c>
      <c r="O27" s="3244">
        <f t="shared" si="3"/>
        <v>1799006</v>
      </c>
      <c r="P27" s="3244"/>
      <c r="Q27" s="3244"/>
      <c r="R27" s="3244">
        <f t="shared" si="4"/>
        <v>1799006</v>
      </c>
      <c r="S27" s="3244">
        <f t="shared" si="5"/>
        <v>0</v>
      </c>
      <c r="T27" s="3236">
        <f>549006+1250000</f>
        <v>1799006</v>
      </c>
      <c r="U27" s="3236"/>
      <c r="V27" s="3236"/>
      <c r="W27" s="3236"/>
      <c r="X27" s="3244">
        <f t="shared" si="6"/>
        <v>1799006</v>
      </c>
      <c r="Y27" s="3244">
        <f t="shared" si="7"/>
        <v>0</v>
      </c>
      <c r="Z27" s="3285">
        <f t="shared" si="8"/>
        <v>1</v>
      </c>
      <c r="AA27" s="3226" t="s">
        <v>4416</v>
      </c>
      <c r="AB27" s="3255" t="s">
        <v>4444</v>
      </c>
      <c r="AC27" s="3226"/>
      <c r="AD27" s="3226"/>
      <c r="AE27" s="3226"/>
      <c r="AF27" s="3286"/>
      <c r="AG27" s="3286"/>
      <c r="AH27" s="3255"/>
      <c r="AI27" s="3255"/>
      <c r="AJ27" s="3255"/>
      <c r="AK27" s="3287" t="str">
        <f t="shared" si="9"/>
        <v/>
      </c>
      <c r="AL27" s="3288" t="str">
        <f t="shared" si="10"/>
        <v/>
      </c>
      <c r="AM27" s="3302"/>
      <c r="AN27" s="3298"/>
      <c r="AO27" s="3299"/>
      <c r="AP27" s="3299"/>
      <c r="AQ27" s="3299"/>
      <c r="AR27" s="3292"/>
      <c r="AS27" s="3292"/>
      <c r="AT27" s="3292"/>
      <c r="AU27" s="3293" t="str">
        <f t="shared" si="12"/>
        <v/>
      </c>
      <c r="AV27" s="3293" t="str">
        <f t="shared" si="13"/>
        <v/>
      </c>
      <c r="AW27" s="3294"/>
      <c r="AX27" s="3236"/>
      <c r="AY27" s="3244"/>
      <c r="AZ27" s="3295" t="s">
        <v>4437</v>
      </c>
      <c r="BA27" s="3296" t="str">
        <f t="shared" si="11"/>
        <v>签约</v>
      </c>
      <c r="BB27" s="3226" t="s">
        <v>4423</v>
      </c>
      <c r="BC27" s="3226"/>
      <c r="BD27" s="3292"/>
      <c r="BE27" s="3297" t="s">
        <v>4434</v>
      </c>
      <c r="BG27" s="3297">
        <f>IFERROR(VLOOKUP(B27,[3]Sheet2!A$1:B$65536,2,FALSE),0)</f>
        <v>0</v>
      </c>
      <c r="BI27" s="3297">
        <f>IFERROR(VLOOKUP(B27,[3]Sheet2!A$1:C$65536,2,FALSE),0)</f>
        <v>0</v>
      </c>
      <c r="BJ27" s="3297">
        <f>IFERROR(VLOOKUP(B27,[3]Sheet2!A$1:C$65536,3,FALSE),0)</f>
        <v>0</v>
      </c>
    </row>
    <row r="28" spans="1:62" s="3297" customFormat="1" ht="20.25" customHeight="1">
      <c r="A28" s="3226">
        <v>26</v>
      </c>
      <c r="B28" s="3226" t="s">
        <v>4499</v>
      </c>
      <c r="C28" s="3227" t="s">
        <v>3333</v>
      </c>
      <c r="D28" s="3228" t="s">
        <v>4500</v>
      </c>
      <c r="E28" s="3229">
        <v>43735</v>
      </c>
      <c r="F28" s="3230">
        <v>20000</v>
      </c>
      <c r="G28" s="3231">
        <v>129.58000000000001</v>
      </c>
      <c r="H28" s="3231" t="str">
        <f t="shared" si="0"/>
        <v>普通住宅</v>
      </c>
      <c r="I28" s="3238">
        <v>1892966</v>
      </c>
      <c r="J28" s="3239">
        <v>43736</v>
      </c>
      <c r="K28" s="3284">
        <f t="shared" si="1"/>
        <v>9</v>
      </c>
      <c r="L28" s="3238">
        <v>1857966</v>
      </c>
      <c r="M28" s="3235">
        <f t="shared" si="2"/>
        <v>14338.3701188455</v>
      </c>
      <c r="N28" s="3236">
        <v>537966</v>
      </c>
      <c r="O28" s="3244">
        <f t="shared" si="3"/>
        <v>1857966</v>
      </c>
      <c r="P28" s="3244"/>
      <c r="Q28" s="3244"/>
      <c r="R28" s="3244">
        <f t="shared" si="4"/>
        <v>557966</v>
      </c>
      <c r="S28" s="3244">
        <f t="shared" si="5"/>
        <v>557966</v>
      </c>
      <c r="T28" s="3236"/>
      <c r="U28" s="3236"/>
      <c r="V28" s="3236">
        <v>1300000</v>
      </c>
      <c r="W28" s="3236"/>
      <c r="X28" s="3244">
        <f t="shared" si="6"/>
        <v>1857966</v>
      </c>
      <c r="Y28" s="3244">
        <f t="shared" si="7"/>
        <v>0</v>
      </c>
      <c r="Z28" s="3285">
        <f t="shared" si="8"/>
        <v>1</v>
      </c>
      <c r="AA28" s="3226" t="s">
        <v>4416</v>
      </c>
      <c r="AB28" s="3255" t="s">
        <v>4417</v>
      </c>
      <c r="AC28" s="3226" t="s">
        <v>4418</v>
      </c>
      <c r="AD28" s="3286" t="s">
        <v>4419</v>
      </c>
      <c r="AE28" s="3286" t="s">
        <v>4420</v>
      </c>
      <c r="AF28" s="3286"/>
      <c r="AG28" s="3286"/>
      <c r="AH28" s="3255">
        <v>43736</v>
      </c>
      <c r="AI28" s="3255">
        <v>43748</v>
      </c>
      <c r="AJ28" s="3255">
        <v>43769</v>
      </c>
      <c r="AK28" s="3287">
        <f t="shared" si="9"/>
        <v>2019</v>
      </c>
      <c r="AL28" s="3288">
        <f t="shared" si="10"/>
        <v>10</v>
      </c>
      <c r="AM28" s="3302" t="s">
        <v>4428</v>
      </c>
      <c r="AN28" s="3298">
        <v>1300000</v>
      </c>
      <c r="AO28" s="3300"/>
      <c r="AP28" s="3300"/>
      <c r="AQ28" s="3300"/>
      <c r="AR28" s="3292"/>
      <c r="AS28" s="3292"/>
      <c r="AT28" s="3292"/>
      <c r="AU28" s="3293" t="str">
        <f t="shared" si="12"/>
        <v/>
      </c>
      <c r="AV28" s="3293" t="str">
        <f t="shared" si="13"/>
        <v/>
      </c>
      <c r="AW28" s="3294"/>
      <c r="AX28" s="3294"/>
      <c r="AY28" s="3244"/>
      <c r="AZ28" s="3295" t="s">
        <v>4441</v>
      </c>
      <c r="BA28" s="3296" t="str">
        <f t="shared" si="11"/>
        <v>签约</v>
      </c>
      <c r="BB28" s="3226" t="s">
        <v>4423</v>
      </c>
      <c r="BC28" s="3226"/>
      <c r="BD28" s="3292">
        <f>VLOOKUP(B28,[3]Sheet1!A$1:B$65536,2,0)</f>
        <v>43750</v>
      </c>
      <c r="BE28" s="3297" t="s">
        <v>4424</v>
      </c>
      <c r="BG28" s="3297">
        <f>IFERROR(VLOOKUP(B28,[3]Sheet2!A$1:B$65536,2,FALSE),0)</f>
        <v>0</v>
      </c>
      <c r="BI28" s="3297">
        <f>IFERROR(VLOOKUP(B28,[3]Sheet2!A$1:C$65536,2,FALSE),0)</f>
        <v>0</v>
      </c>
      <c r="BJ28" s="3297">
        <f>IFERROR(VLOOKUP(B28,[3]Sheet2!A$1:C$65536,3,FALSE),0)</f>
        <v>0</v>
      </c>
    </row>
    <row r="29" spans="1:62" s="3297" customFormat="1" ht="19.5" customHeight="1">
      <c r="A29" s="3226">
        <v>27</v>
      </c>
      <c r="B29" s="3226" t="s">
        <v>4501</v>
      </c>
      <c r="C29" s="3227" t="s">
        <v>3333</v>
      </c>
      <c r="D29" s="3228" t="s">
        <v>4502</v>
      </c>
      <c r="E29" s="3229">
        <v>43735</v>
      </c>
      <c r="F29" s="3230">
        <v>20000</v>
      </c>
      <c r="G29" s="3231">
        <v>129.58000000000001</v>
      </c>
      <c r="H29" s="3231" t="str">
        <f t="shared" si="0"/>
        <v>普通住宅</v>
      </c>
      <c r="I29" s="3230">
        <v>1886287</v>
      </c>
      <c r="J29" s="3229">
        <v>43737</v>
      </c>
      <c r="K29" s="3284">
        <f t="shared" si="1"/>
        <v>9</v>
      </c>
      <c r="L29" s="3230">
        <v>1851287</v>
      </c>
      <c r="M29" s="3235">
        <f t="shared" si="2"/>
        <v>14286.826670782526</v>
      </c>
      <c r="N29" s="3236">
        <v>541287</v>
      </c>
      <c r="O29" s="3244">
        <f t="shared" si="3"/>
        <v>1851287</v>
      </c>
      <c r="P29" s="3244"/>
      <c r="Q29" s="3244"/>
      <c r="R29" s="3244">
        <f t="shared" si="4"/>
        <v>561287</v>
      </c>
      <c r="S29" s="3244">
        <f t="shared" si="5"/>
        <v>561287</v>
      </c>
      <c r="T29" s="3236"/>
      <c r="U29" s="3236"/>
      <c r="V29" s="3236">
        <v>1290000</v>
      </c>
      <c r="W29" s="3236"/>
      <c r="X29" s="3244">
        <f t="shared" si="6"/>
        <v>1851287</v>
      </c>
      <c r="Y29" s="3244">
        <f t="shared" si="7"/>
        <v>0</v>
      </c>
      <c r="Z29" s="3285">
        <f t="shared" si="8"/>
        <v>1</v>
      </c>
      <c r="AA29" s="3226" t="s">
        <v>4416</v>
      </c>
      <c r="AB29" s="3255" t="s">
        <v>4417</v>
      </c>
      <c r="AC29" s="3226" t="s">
        <v>4418</v>
      </c>
      <c r="AD29" s="3286" t="s">
        <v>4419</v>
      </c>
      <c r="AE29" s="3286" t="s">
        <v>4427</v>
      </c>
      <c r="AF29" s="3286"/>
      <c r="AG29" s="3286"/>
      <c r="AH29" s="3255">
        <v>43737</v>
      </c>
      <c r="AI29" s="3255">
        <v>43768</v>
      </c>
      <c r="AJ29" s="3255">
        <v>43789</v>
      </c>
      <c r="AK29" s="3287">
        <f t="shared" si="9"/>
        <v>2019</v>
      </c>
      <c r="AL29" s="3288">
        <f t="shared" si="10"/>
        <v>11</v>
      </c>
      <c r="AM29" s="3302" t="s">
        <v>4421</v>
      </c>
      <c r="AN29" s="3298">
        <v>1290000</v>
      </c>
      <c r="AO29" s="3299"/>
      <c r="AP29" s="3299"/>
      <c r="AQ29" s="3300"/>
      <c r="AR29" s="3292"/>
      <c r="AS29" s="3292"/>
      <c r="AT29" s="3292"/>
      <c r="AU29" s="3293" t="str">
        <f t="shared" si="12"/>
        <v/>
      </c>
      <c r="AV29" s="3293" t="str">
        <f t="shared" si="13"/>
        <v/>
      </c>
      <c r="AW29" s="3294"/>
      <c r="AX29" s="3294"/>
      <c r="AY29" s="3244"/>
      <c r="AZ29" s="3295" t="s">
        <v>4441</v>
      </c>
      <c r="BA29" s="3296" t="str">
        <f t="shared" si="11"/>
        <v>签约</v>
      </c>
      <c r="BB29" s="3226" t="s">
        <v>4423</v>
      </c>
      <c r="BC29" s="3226" t="s">
        <v>4430</v>
      </c>
      <c r="BD29" s="3292">
        <f>VLOOKUP(B29,[3]Sheet1!A$1:B$65536,2,0)</f>
        <v>43750</v>
      </c>
      <c r="BE29" s="3297" t="s">
        <v>4367</v>
      </c>
      <c r="BG29" s="3297">
        <f>IFERROR(VLOOKUP(B29,[3]Sheet2!A$1:B$65536,2,FALSE),0)</f>
        <v>0</v>
      </c>
      <c r="BI29" s="3297">
        <f>IFERROR(VLOOKUP(B29,[3]Sheet2!A$1:C$65536,2,FALSE),0)</f>
        <v>0</v>
      </c>
      <c r="BJ29" s="3297">
        <f>IFERROR(VLOOKUP(B29,[3]Sheet2!A$1:C$65536,3,FALSE),0)</f>
        <v>0</v>
      </c>
    </row>
    <row r="30" spans="1:62" s="3309" customFormat="1" ht="20.25" customHeight="1">
      <c r="A30" s="3226">
        <v>28</v>
      </c>
      <c r="B30" s="3226" t="s">
        <v>4503</v>
      </c>
      <c r="C30" s="3227" t="s">
        <v>3333</v>
      </c>
      <c r="D30" s="3228" t="s">
        <v>4504</v>
      </c>
      <c r="E30" s="3229">
        <v>43735</v>
      </c>
      <c r="F30" s="3230">
        <v>20000</v>
      </c>
      <c r="G30" s="3240">
        <v>129.58000000000001</v>
      </c>
      <c r="H30" s="3231" t="str">
        <f t="shared" si="0"/>
        <v>普通住宅</v>
      </c>
      <c r="I30" s="3241">
        <v>1852890</v>
      </c>
      <c r="J30" s="3242">
        <v>43736</v>
      </c>
      <c r="K30" s="3284">
        <f t="shared" si="1"/>
        <v>9</v>
      </c>
      <c r="L30" s="3241">
        <v>1807890</v>
      </c>
      <c r="M30" s="3235">
        <f t="shared" si="2"/>
        <v>13951.9215928384</v>
      </c>
      <c r="N30" s="3243">
        <v>1787890</v>
      </c>
      <c r="O30" s="3244">
        <f t="shared" si="3"/>
        <v>1807890</v>
      </c>
      <c r="P30" s="3247"/>
      <c r="Q30" s="3244"/>
      <c r="R30" s="3244">
        <f t="shared" si="4"/>
        <v>1807890</v>
      </c>
      <c r="S30" s="3244">
        <f t="shared" si="5"/>
        <v>1807890</v>
      </c>
      <c r="T30" s="3243"/>
      <c r="U30" s="3243"/>
      <c r="V30" s="3243"/>
      <c r="W30" s="3243"/>
      <c r="X30" s="3244">
        <f t="shared" si="6"/>
        <v>1807890</v>
      </c>
      <c r="Y30" s="3244">
        <f t="shared" si="7"/>
        <v>0</v>
      </c>
      <c r="Z30" s="3285">
        <f t="shared" si="8"/>
        <v>1</v>
      </c>
      <c r="AA30" s="3226" t="s">
        <v>4416</v>
      </c>
      <c r="AB30" s="3255" t="s">
        <v>4444</v>
      </c>
      <c r="AC30" s="3240"/>
      <c r="AD30" s="3303"/>
      <c r="AE30" s="3303"/>
      <c r="AF30" s="3286"/>
      <c r="AG30" s="3303"/>
      <c r="AH30" s="3304"/>
      <c r="AI30" s="3255"/>
      <c r="AJ30" s="3304"/>
      <c r="AK30" s="3287" t="str">
        <f t="shared" si="9"/>
        <v/>
      </c>
      <c r="AL30" s="3288" t="str">
        <f t="shared" si="10"/>
        <v/>
      </c>
      <c r="AM30" s="3240"/>
      <c r="AN30" s="3305"/>
      <c r="AO30" s="3306"/>
      <c r="AP30" s="3306"/>
      <c r="AQ30" s="3306"/>
      <c r="AR30" s="3307"/>
      <c r="AS30" s="3307"/>
      <c r="AT30" s="3292"/>
      <c r="AU30" s="3293" t="str">
        <f t="shared" si="12"/>
        <v/>
      </c>
      <c r="AV30" s="3293" t="str">
        <f t="shared" si="13"/>
        <v/>
      </c>
      <c r="AW30" s="3308"/>
      <c r="AX30" s="3308"/>
      <c r="AY30" s="3247"/>
      <c r="AZ30" s="3295" t="s">
        <v>4429</v>
      </c>
      <c r="BA30" s="3296" t="str">
        <f t="shared" si="11"/>
        <v>签约</v>
      </c>
      <c r="BB30" s="3226" t="s">
        <v>4423</v>
      </c>
      <c r="BC30" s="3226" t="s">
        <v>4430</v>
      </c>
      <c r="BD30" s="3292">
        <f>VLOOKUP(B30,[3]Sheet1!A$1:B$65536,2,0)</f>
        <v>43748</v>
      </c>
      <c r="BE30" s="3297" t="s">
        <v>4367</v>
      </c>
      <c r="BG30" s="3297">
        <f>IFERROR(VLOOKUP(B30,[3]Sheet2!A$1:B$65536,2,FALSE),0)</f>
        <v>0</v>
      </c>
      <c r="BI30" s="3297">
        <f>IFERROR(VLOOKUP(B30,[3]Sheet2!A$1:C$65536,2,FALSE),0)</f>
        <v>0</v>
      </c>
      <c r="BJ30" s="3297">
        <f>IFERROR(VLOOKUP(B30,[3]Sheet2!A$1:C$65536,3,FALSE),0)</f>
        <v>0</v>
      </c>
    </row>
    <row r="31" spans="1:62" s="3297" customFormat="1" ht="20.25" customHeight="1">
      <c r="A31" s="3226">
        <v>29</v>
      </c>
      <c r="B31" s="3226" t="s">
        <v>4505</v>
      </c>
      <c r="C31" s="3227" t="s">
        <v>3333</v>
      </c>
      <c r="D31" s="3228" t="s">
        <v>4506</v>
      </c>
      <c r="E31" s="3229">
        <v>43735</v>
      </c>
      <c r="F31" s="3230">
        <v>20000</v>
      </c>
      <c r="G31" s="3231">
        <v>129.58000000000001</v>
      </c>
      <c r="H31" s="3231" t="str">
        <f t="shared" si="0"/>
        <v>普通住宅</v>
      </c>
      <c r="I31" s="3230">
        <v>1812814</v>
      </c>
      <c r="J31" s="3229">
        <v>43737</v>
      </c>
      <c r="K31" s="3284">
        <f t="shared" si="1"/>
        <v>9</v>
      </c>
      <c r="L31" s="3230">
        <v>1777814</v>
      </c>
      <c r="M31" s="3235">
        <f t="shared" si="2"/>
        <v>13719.817873128568</v>
      </c>
      <c r="N31" s="3236">
        <v>517814</v>
      </c>
      <c r="O31" s="3244">
        <f t="shared" si="3"/>
        <v>1777814</v>
      </c>
      <c r="P31" s="3244"/>
      <c r="Q31" s="3244"/>
      <c r="R31" s="3244">
        <f t="shared" si="4"/>
        <v>537814</v>
      </c>
      <c r="S31" s="3244">
        <f t="shared" si="5"/>
        <v>537814</v>
      </c>
      <c r="T31" s="3236"/>
      <c r="U31" s="3236"/>
      <c r="V31" s="3236">
        <v>1240000</v>
      </c>
      <c r="W31" s="3236"/>
      <c r="X31" s="3244">
        <f t="shared" si="6"/>
        <v>1777814</v>
      </c>
      <c r="Y31" s="3244">
        <f t="shared" si="7"/>
        <v>0</v>
      </c>
      <c r="Z31" s="3285">
        <f t="shared" si="8"/>
        <v>1</v>
      </c>
      <c r="AA31" s="3226" t="s">
        <v>4416</v>
      </c>
      <c r="AB31" s="3255" t="s">
        <v>4417</v>
      </c>
      <c r="AC31" s="3226" t="s">
        <v>4418</v>
      </c>
      <c r="AD31" s="3286" t="s">
        <v>4419</v>
      </c>
      <c r="AE31" s="3286" t="s">
        <v>4420</v>
      </c>
      <c r="AF31" s="3286"/>
      <c r="AG31" s="3286"/>
      <c r="AH31" s="3255">
        <v>43737</v>
      </c>
      <c r="AI31" s="3255">
        <v>43768</v>
      </c>
      <c r="AJ31" s="3255">
        <v>43777</v>
      </c>
      <c r="AK31" s="3287">
        <f t="shared" si="9"/>
        <v>2019</v>
      </c>
      <c r="AL31" s="3288">
        <f t="shared" si="10"/>
        <v>11</v>
      </c>
      <c r="AM31" s="3226" t="s">
        <v>4421</v>
      </c>
      <c r="AN31" s="3298">
        <v>1240000</v>
      </c>
      <c r="AO31" s="3299"/>
      <c r="AP31" s="3299"/>
      <c r="AQ31" s="3299"/>
      <c r="AR31" s="3292"/>
      <c r="AS31" s="3292"/>
      <c r="AT31" s="3292"/>
      <c r="AU31" s="3293" t="str">
        <f t="shared" si="12"/>
        <v/>
      </c>
      <c r="AV31" s="3293" t="str">
        <f t="shared" si="13"/>
        <v/>
      </c>
      <c r="AW31" s="3294"/>
      <c r="AX31" s="3236"/>
      <c r="AY31" s="3244"/>
      <c r="AZ31" s="3295" t="s">
        <v>4507</v>
      </c>
      <c r="BA31" s="3296" t="str">
        <f t="shared" si="11"/>
        <v>签约</v>
      </c>
      <c r="BB31" s="3226" t="s">
        <v>4423</v>
      </c>
      <c r="BC31" s="3226"/>
      <c r="BD31" s="3292">
        <f>VLOOKUP(B31,[3]Sheet1!A$1:B$65536,2,0)</f>
        <v>43749</v>
      </c>
      <c r="BE31" s="3297" t="s">
        <v>4424</v>
      </c>
      <c r="BG31" s="3297">
        <f>IFERROR(VLOOKUP(B31,[3]Sheet2!A$1:B$65536,2,FALSE),0)</f>
        <v>0</v>
      </c>
      <c r="BI31" s="3297">
        <f>IFERROR(VLOOKUP(B31,[3]Sheet2!A$1:C$65536,2,FALSE),0)</f>
        <v>0</v>
      </c>
      <c r="BJ31" s="3297">
        <f>IFERROR(VLOOKUP(B31,[3]Sheet2!A$1:C$65536,3,FALSE),0)</f>
        <v>0</v>
      </c>
    </row>
    <row r="32" spans="1:62" s="3297" customFormat="1" ht="20.25" customHeight="1">
      <c r="A32" s="3226">
        <v>30</v>
      </c>
      <c r="B32" s="3226" t="s">
        <v>4508</v>
      </c>
      <c r="C32" s="3227" t="s">
        <v>3333</v>
      </c>
      <c r="D32" s="3228" t="s">
        <v>4509</v>
      </c>
      <c r="E32" s="3239">
        <v>43736</v>
      </c>
      <c r="F32" s="3238">
        <v>0</v>
      </c>
      <c r="G32" s="3231">
        <v>129.58000000000001</v>
      </c>
      <c r="H32" s="3231" t="str">
        <f t="shared" si="0"/>
        <v>普通住宅</v>
      </c>
      <c r="I32" s="3238">
        <v>1759378</v>
      </c>
      <c r="J32" s="3239">
        <v>43736</v>
      </c>
      <c r="K32" s="3284">
        <f t="shared" si="1"/>
        <v>9</v>
      </c>
      <c r="L32" s="3238">
        <v>1714378</v>
      </c>
      <c r="M32" s="3235">
        <f t="shared" si="2"/>
        <v>13230.267016514894</v>
      </c>
      <c r="N32" s="3236">
        <f>514378+1200000</f>
        <v>1714378</v>
      </c>
      <c r="O32" s="3244">
        <f t="shared" si="3"/>
        <v>1714378</v>
      </c>
      <c r="P32" s="3244"/>
      <c r="Q32" s="3244"/>
      <c r="R32" s="3244">
        <f t="shared" si="4"/>
        <v>1714378</v>
      </c>
      <c r="S32" s="3244">
        <f t="shared" si="5"/>
        <v>1714378</v>
      </c>
      <c r="T32" s="3236"/>
      <c r="U32" s="3236"/>
      <c r="V32" s="3236"/>
      <c r="W32" s="3236"/>
      <c r="X32" s="3244">
        <f t="shared" si="6"/>
        <v>1714378</v>
      </c>
      <c r="Y32" s="3244">
        <f t="shared" si="7"/>
        <v>0</v>
      </c>
      <c r="Z32" s="3285">
        <f t="shared" si="8"/>
        <v>1</v>
      </c>
      <c r="AA32" s="3226" t="s">
        <v>4416</v>
      </c>
      <c r="AB32" s="3255" t="s">
        <v>4444</v>
      </c>
      <c r="AC32" s="3226"/>
      <c r="AD32" s="3226"/>
      <c r="AE32" s="3226"/>
      <c r="AF32" s="3286"/>
      <c r="AG32" s="3286"/>
      <c r="AH32" s="3226"/>
      <c r="AI32" s="3255"/>
      <c r="AJ32" s="3255"/>
      <c r="AK32" s="3287" t="str">
        <f t="shared" si="9"/>
        <v/>
      </c>
      <c r="AL32" s="3288" t="str">
        <f t="shared" si="10"/>
        <v/>
      </c>
      <c r="AM32" s="3226"/>
      <c r="AN32" s="3289"/>
      <c r="AO32" s="3300"/>
      <c r="AP32" s="3299"/>
      <c r="AQ32" s="3300"/>
      <c r="AR32" s="3292"/>
      <c r="AS32" s="3292"/>
      <c r="AT32" s="3292"/>
      <c r="AU32" s="3293" t="str">
        <f t="shared" si="12"/>
        <v/>
      </c>
      <c r="AV32" s="3293" t="str">
        <f t="shared" si="13"/>
        <v/>
      </c>
      <c r="AW32" s="3294"/>
      <c r="AX32" s="3236"/>
      <c r="AY32" s="3244"/>
      <c r="AZ32" s="3295" t="s">
        <v>4429</v>
      </c>
      <c r="BA32" s="3296" t="str">
        <f t="shared" si="11"/>
        <v>签约</v>
      </c>
      <c r="BB32" s="3226" t="s">
        <v>4423</v>
      </c>
      <c r="BC32" s="3226" t="s">
        <v>4430</v>
      </c>
      <c r="BD32" s="3292">
        <f>VLOOKUP(B32,[3]Sheet1!A$1:B$65536,2,0)</f>
        <v>43748</v>
      </c>
      <c r="BE32" s="3297" t="s">
        <v>4367</v>
      </c>
      <c r="BG32" s="3297">
        <f>IFERROR(VLOOKUP(B32,[3]Sheet2!A$1:B$65536,2,FALSE),0)</f>
        <v>0</v>
      </c>
      <c r="BI32" s="3297">
        <f>IFERROR(VLOOKUP(B32,[3]Sheet2!A$1:C$65536,2,FALSE),0)</f>
        <v>0</v>
      </c>
      <c r="BJ32" s="3297">
        <f>IFERROR(VLOOKUP(B32,[3]Sheet2!A$1:C$65536,3,FALSE),0)</f>
        <v>0</v>
      </c>
    </row>
    <row r="33" spans="1:62" s="3297" customFormat="1" ht="20.25" customHeight="1">
      <c r="A33" s="3226">
        <v>31</v>
      </c>
      <c r="B33" s="3226" t="s">
        <v>4510</v>
      </c>
      <c r="C33" s="3227" t="s">
        <v>3333</v>
      </c>
      <c r="D33" s="3228" t="s">
        <v>4511</v>
      </c>
      <c r="E33" s="3229">
        <v>43735</v>
      </c>
      <c r="F33" s="3230">
        <v>20000</v>
      </c>
      <c r="G33" s="3231">
        <v>127.06</v>
      </c>
      <c r="H33" s="3231" t="str">
        <f t="shared" si="0"/>
        <v>普通住宅</v>
      </c>
      <c r="I33" s="3230">
        <v>1620772</v>
      </c>
      <c r="J33" s="3229">
        <v>43738</v>
      </c>
      <c r="K33" s="3284">
        <f t="shared" si="1"/>
        <v>9</v>
      </c>
      <c r="L33" s="3230">
        <v>1585772</v>
      </c>
      <c r="M33" s="3235">
        <f t="shared" si="2"/>
        <v>12480.497402801826</v>
      </c>
      <c r="N33" s="3236">
        <v>465772</v>
      </c>
      <c r="O33" s="3244">
        <f t="shared" si="3"/>
        <v>1585772</v>
      </c>
      <c r="P33" s="3244"/>
      <c r="Q33" s="3244"/>
      <c r="R33" s="3244">
        <f t="shared" si="4"/>
        <v>485772</v>
      </c>
      <c r="S33" s="3244">
        <f t="shared" si="5"/>
        <v>485772</v>
      </c>
      <c r="T33" s="3236"/>
      <c r="U33" s="3236"/>
      <c r="V33" s="3236">
        <v>1100000</v>
      </c>
      <c r="W33" s="3236"/>
      <c r="X33" s="3244">
        <f t="shared" si="6"/>
        <v>1585772</v>
      </c>
      <c r="Y33" s="3244">
        <f t="shared" si="7"/>
        <v>0</v>
      </c>
      <c r="Z33" s="3285">
        <f t="shared" si="8"/>
        <v>1</v>
      </c>
      <c r="AA33" s="3226" t="s">
        <v>4416</v>
      </c>
      <c r="AB33" s="3255" t="s">
        <v>4417</v>
      </c>
      <c r="AC33" s="3226" t="s">
        <v>4418</v>
      </c>
      <c r="AD33" s="3286" t="s">
        <v>4419</v>
      </c>
      <c r="AE33" s="3286" t="s">
        <v>4420</v>
      </c>
      <c r="AF33" s="3286"/>
      <c r="AG33" s="3286"/>
      <c r="AH33" s="3255">
        <v>43738</v>
      </c>
      <c r="AI33" s="3255">
        <v>43748</v>
      </c>
      <c r="AJ33" s="3255">
        <v>43776</v>
      </c>
      <c r="AK33" s="3287">
        <f t="shared" si="9"/>
        <v>2019</v>
      </c>
      <c r="AL33" s="3288">
        <f t="shared" si="10"/>
        <v>11</v>
      </c>
      <c r="AM33" s="3302" t="s">
        <v>4474</v>
      </c>
      <c r="AN33" s="3289">
        <v>1100000</v>
      </c>
      <c r="AO33" s="3299"/>
      <c r="AP33" s="3299"/>
      <c r="AQ33" s="3300"/>
      <c r="AR33" s="3292"/>
      <c r="AS33" s="3292"/>
      <c r="AT33" s="3292"/>
      <c r="AU33" s="3293" t="str">
        <f t="shared" si="12"/>
        <v/>
      </c>
      <c r="AV33" s="3293" t="str">
        <f t="shared" si="13"/>
        <v/>
      </c>
      <c r="AW33" s="3294"/>
      <c r="AX33" s="3236"/>
      <c r="AY33" s="3244"/>
      <c r="AZ33" s="3295" t="s">
        <v>4422</v>
      </c>
      <c r="BA33" s="3296" t="str">
        <f t="shared" si="11"/>
        <v>签约</v>
      </c>
      <c r="BB33" s="3226" t="s">
        <v>4423</v>
      </c>
      <c r="BC33" s="3226"/>
      <c r="BD33" s="3292">
        <f>VLOOKUP(B33,[3]Sheet1!A$1:B$65536,2,0)</f>
        <v>43749</v>
      </c>
      <c r="BE33" s="3297" t="s">
        <v>4512</v>
      </c>
      <c r="BG33" s="3297">
        <f>IFERROR(VLOOKUP(B33,[3]Sheet2!A$1:B$65536,2,FALSE),0)</f>
        <v>0</v>
      </c>
      <c r="BI33" s="3297">
        <f>IFERROR(VLOOKUP(B33,[3]Sheet2!A$1:C$65536,2,FALSE),0)</f>
        <v>0</v>
      </c>
      <c r="BJ33" s="3297">
        <f>IFERROR(VLOOKUP(B33,[3]Sheet2!A$1:C$65536,3,FALSE),0)</f>
        <v>0</v>
      </c>
    </row>
    <row r="34" spans="1:62" s="3297" customFormat="1" ht="20.25" customHeight="1">
      <c r="A34" s="3226">
        <v>32</v>
      </c>
      <c r="B34" s="3226" t="s">
        <v>4513</v>
      </c>
      <c r="C34" s="3227" t="s">
        <v>3333</v>
      </c>
      <c r="D34" s="3228" t="s">
        <v>4514</v>
      </c>
      <c r="E34" s="3229">
        <v>43744</v>
      </c>
      <c r="F34" s="3230">
        <v>20000</v>
      </c>
      <c r="G34" s="3231">
        <v>129.58000000000001</v>
      </c>
      <c r="H34" s="3231" t="str">
        <f t="shared" si="0"/>
        <v>普通住宅</v>
      </c>
      <c r="I34" s="3230">
        <v>1850814</v>
      </c>
      <c r="J34" s="3229">
        <v>43749</v>
      </c>
      <c r="K34" s="3284">
        <f t="shared" si="1"/>
        <v>10</v>
      </c>
      <c r="L34" s="3230">
        <v>1815814</v>
      </c>
      <c r="M34" s="3235">
        <f t="shared" si="2"/>
        <v>14013.073005093378</v>
      </c>
      <c r="N34" s="3236">
        <v>525814</v>
      </c>
      <c r="O34" s="3244">
        <f t="shared" si="3"/>
        <v>1815814</v>
      </c>
      <c r="P34" s="3244"/>
      <c r="Q34" s="3244"/>
      <c r="R34" s="3244">
        <f t="shared" si="4"/>
        <v>545814</v>
      </c>
      <c r="S34" s="3244">
        <f t="shared" si="5"/>
        <v>545814</v>
      </c>
      <c r="T34" s="3236"/>
      <c r="U34" s="3236"/>
      <c r="V34" s="3236">
        <v>1270000</v>
      </c>
      <c r="W34" s="3236"/>
      <c r="X34" s="3244">
        <f t="shared" si="6"/>
        <v>1815814</v>
      </c>
      <c r="Y34" s="3244">
        <f t="shared" si="7"/>
        <v>0</v>
      </c>
      <c r="Z34" s="3285">
        <f t="shared" si="8"/>
        <v>1</v>
      </c>
      <c r="AA34" s="3226" t="s">
        <v>4416</v>
      </c>
      <c r="AB34" s="3255" t="s">
        <v>4417</v>
      </c>
      <c r="AC34" s="3226" t="s">
        <v>4418</v>
      </c>
      <c r="AD34" s="3286" t="s">
        <v>4419</v>
      </c>
      <c r="AE34" s="3286" t="s">
        <v>4427</v>
      </c>
      <c r="AF34" s="3286"/>
      <c r="AG34" s="3286"/>
      <c r="AH34" s="3255">
        <v>43749</v>
      </c>
      <c r="AI34" s="3255">
        <v>43768</v>
      </c>
      <c r="AJ34" s="3255">
        <v>43964</v>
      </c>
      <c r="AK34" s="3287">
        <f t="shared" si="9"/>
        <v>2020</v>
      </c>
      <c r="AL34" s="3288">
        <f t="shared" si="10"/>
        <v>5</v>
      </c>
      <c r="AM34" s="3302" t="s">
        <v>4421</v>
      </c>
      <c r="AN34" s="3298">
        <v>1270000</v>
      </c>
      <c r="AO34" s="3299"/>
      <c r="AP34" s="3299"/>
      <c r="AQ34" s="3301"/>
      <c r="AR34" s="3292"/>
      <c r="AS34" s="3292"/>
      <c r="AT34" s="3292"/>
      <c r="AU34" s="3293" t="str">
        <f t="shared" si="12"/>
        <v/>
      </c>
      <c r="AV34" s="3293" t="str">
        <f t="shared" si="13"/>
        <v/>
      </c>
      <c r="AW34" s="3294"/>
      <c r="AX34" s="3236"/>
      <c r="AY34" s="3244"/>
      <c r="AZ34" s="3295" t="s">
        <v>4445</v>
      </c>
      <c r="BA34" s="3296" t="str">
        <f t="shared" si="11"/>
        <v>签约</v>
      </c>
      <c r="BB34" s="3226" t="s">
        <v>4423</v>
      </c>
      <c r="BC34" s="3226"/>
      <c r="BD34" s="3292">
        <f>VLOOKUP(B34,[3]Sheet1!A$1:B$65536,2,0)</f>
        <v>43754</v>
      </c>
      <c r="BE34" s="3297" t="s">
        <v>4367</v>
      </c>
      <c r="BG34" s="3297">
        <f>IFERROR(VLOOKUP(B34,[3]Sheet2!A$1:B$65536,2,FALSE),0)</f>
        <v>0</v>
      </c>
      <c r="BI34" s="3297">
        <f>IFERROR(VLOOKUP(B34,[3]Sheet2!A$1:C$65536,2,FALSE),0)</f>
        <v>0</v>
      </c>
      <c r="BJ34" s="3297">
        <f>IFERROR(VLOOKUP(B34,[3]Sheet2!A$1:C$65536,3,FALSE),0)</f>
        <v>0</v>
      </c>
    </row>
    <row r="35" spans="1:62" s="3297" customFormat="1" ht="20.25" customHeight="1">
      <c r="A35" s="3226">
        <v>33</v>
      </c>
      <c r="B35" s="3226" t="s">
        <v>4515</v>
      </c>
      <c r="C35" s="3227" t="s">
        <v>3333</v>
      </c>
      <c r="D35" s="3228" t="s">
        <v>4516</v>
      </c>
      <c r="E35" s="3229">
        <v>43735</v>
      </c>
      <c r="F35" s="3230">
        <v>20000</v>
      </c>
      <c r="G35" s="3231">
        <v>129.58000000000001</v>
      </c>
      <c r="H35" s="3231" t="str">
        <f t="shared" si="0"/>
        <v>普通住宅</v>
      </c>
      <c r="I35" s="3230">
        <v>1924287</v>
      </c>
      <c r="J35" s="3229">
        <v>43737</v>
      </c>
      <c r="K35" s="3284">
        <f t="shared" si="1"/>
        <v>9</v>
      </c>
      <c r="L35" s="3230">
        <v>1889287</v>
      </c>
      <c r="M35" s="3235">
        <f t="shared" si="2"/>
        <v>14580.081802747336</v>
      </c>
      <c r="N35" s="3236">
        <v>549287</v>
      </c>
      <c r="O35" s="3244">
        <f t="shared" si="3"/>
        <v>1889287</v>
      </c>
      <c r="P35" s="3244"/>
      <c r="Q35" s="3244"/>
      <c r="R35" s="3244">
        <f t="shared" si="4"/>
        <v>569287</v>
      </c>
      <c r="S35" s="3244">
        <f t="shared" si="5"/>
        <v>569287</v>
      </c>
      <c r="T35" s="3236"/>
      <c r="U35" s="3236"/>
      <c r="V35" s="3236">
        <v>1320000</v>
      </c>
      <c r="W35" s="3236"/>
      <c r="X35" s="3244">
        <f t="shared" si="6"/>
        <v>1889287</v>
      </c>
      <c r="Y35" s="3244">
        <f t="shared" si="7"/>
        <v>0</v>
      </c>
      <c r="Z35" s="3285">
        <f t="shared" si="8"/>
        <v>1</v>
      </c>
      <c r="AA35" s="3226" t="s">
        <v>4416</v>
      </c>
      <c r="AB35" s="3255" t="s">
        <v>4417</v>
      </c>
      <c r="AC35" s="3226" t="s">
        <v>4418</v>
      </c>
      <c r="AD35" s="3286" t="s">
        <v>4419</v>
      </c>
      <c r="AE35" s="3286" t="s">
        <v>4427</v>
      </c>
      <c r="AF35" s="3286"/>
      <c r="AG35" s="3286"/>
      <c r="AH35" s="3255">
        <v>43737</v>
      </c>
      <c r="AI35" s="3255">
        <v>43746</v>
      </c>
      <c r="AJ35" s="3255">
        <v>43803</v>
      </c>
      <c r="AK35" s="3287">
        <f t="shared" si="9"/>
        <v>2019</v>
      </c>
      <c r="AL35" s="3288">
        <f t="shared" si="10"/>
        <v>12</v>
      </c>
      <c r="AM35" s="3302" t="s">
        <v>4421</v>
      </c>
      <c r="AN35" s="3298">
        <v>1320000</v>
      </c>
      <c r="AO35" s="3299"/>
      <c r="AP35" s="3299"/>
      <c r="AQ35" s="3299"/>
      <c r="AR35" s="3292"/>
      <c r="AS35" s="3292"/>
      <c r="AT35" s="3292"/>
      <c r="AU35" s="3293" t="str">
        <f t="shared" si="12"/>
        <v/>
      </c>
      <c r="AV35" s="3293" t="str">
        <f t="shared" si="13"/>
        <v/>
      </c>
      <c r="AW35" s="3294"/>
      <c r="AX35" s="3236"/>
      <c r="AY35" s="3244"/>
      <c r="AZ35" s="3295" t="s">
        <v>4445</v>
      </c>
      <c r="BA35" s="3296" t="str">
        <f t="shared" si="11"/>
        <v>签约</v>
      </c>
      <c r="BB35" s="3226" t="s">
        <v>4423</v>
      </c>
      <c r="BC35" s="3226"/>
      <c r="BD35" s="3292">
        <f>VLOOKUP(B35,[3]Sheet1!A$1:B$65536,2,0)</f>
        <v>43749</v>
      </c>
      <c r="BE35" s="3297" t="s">
        <v>4367</v>
      </c>
      <c r="BG35" s="3297">
        <f>IFERROR(VLOOKUP(B35,[3]Sheet2!A$1:B$65536,2,FALSE),0)</f>
        <v>0</v>
      </c>
      <c r="BI35" s="3297">
        <f>IFERROR(VLOOKUP(B35,[3]Sheet2!A$1:C$65536,2,FALSE),0)</f>
        <v>0</v>
      </c>
      <c r="BJ35" s="3297">
        <f>IFERROR(VLOOKUP(B35,[3]Sheet2!A$1:C$65536,3,FALSE),0)</f>
        <v>0</v>
      </c>
    </row>
    <row r="36" spans="1:62" s="3297" customFormat="1" ht="20.25" customHeight="1">
      <c r="A36" s="3226">
        <v>34</v>
      </c>
      <c r="B36" s="3226" t="s">
        <v>4517</v>
      </c>
      <c r="C36" s="3227" t="s">
        <v>3333</v>
      </c>
      <c r="D36" s="3228" t="s">
        <v>4518</v>
      </c>
      <c r="E36" s="3229">
        <v>43735</v>
      </c>
      <c r="F36" s="3230">
        <v>20000</v>
      </c>
      <c r="G36" s="3231">
        <v>129.58000000000001</v>
      </c>
      <c r="H36" s="3231" t="str">
        <f t="shared" si="0"/>
        <v>普通住宅</v>
      </c>
      <c r="I36" s="3230">
        <v>1917607</v>
      </c>
      <c r="J36" s="3229">
        <v>43738</v>
      </c>
      <c r="K36" s="3284">
        <f t="shared" si="1"/>
        <v>9</v>
      </c>
      <c r="L36" s="3230">
        <v>1882607</v>
      </c>
      <c r="M36" s="3235">
        <f t="shared" si="2"/>
        <v>14528.530637444048</v>
      </c>
      <c r="N36" s="3236">
        <v>562607</v>
      </c>
      <c r="O36" s="3244">
        <f t="shared" si="3"/>
        <v>1882607</v>
      </c>
      <c r="P36" s="3244"/>
      <c r="Q36" s="3244"/>
      <c r="R36" s="3244">
        <f t="shared" si="4"/>
        <v>582607</v>
      </c>
      <c r="S36" s="3244">
        <f t="shared" si="5"/>
        <v>582607</v>
      </c>
      <c r="T36" s="3236"/>
      <c r="U36" s="3236"/>
      <c r="V36" s="3236">
        <v>1300000</v>
      </c>
      <c r="W36" s="3236"/>
      <c r="X36" s="3244">
        <f t="shared" si="6"/>
        <v>1882607</v>
      </c>
      <c r="Y36" s="3244">
        <f t="shared" si="7"/>
        <v>0</v>
      </c>
      <c r="Z36" s="3285">
        <f t="shared" si="8"/>
        <v>1</v>
      </c>
      <c r="AA36" s="3226" t="s">
        <v>4416</v>
      </c>
      <c r="AB36" s="3255" t="s">
        <v>4417</v>
      </c>
      <c r="AC36" s="3226" t="s">
        <v>4418</v>
      </c>
      <c r="AD36" s="3286" t="s">
        <v>4419</v>
      </c>
      <c r="AE36" s="3286" t="s">
        <v>4420</v>
      </c>
      <c r="AF36" s="3286"/>
      <c r="AG36" s="3286"/>
      <c r="AH36" s="3255">
        <v>43738</v>
      </c>
      <c r="AI36" s="3255">
        <v>43748</v>
      </c>
      <c r="AJ36" s="3255">
        <v>43774</v>
      </c>
      <c r="AK36" s="3287">
        <f t="shared" si="9"/>
        <v>2019</v>
      </c>
      <c r="AL36" s="3288">
        <f t="shared" si="10"/>
        <v>11</v>
      </c>
      <c r="AM36" s="3226" t="s">
        <v>4421</v>
      </c>
      <c r="AN36" s="3289">
        <v>1300000</v>
      </c>
      <c r="AO36" s="3299"/>
      <c r="AP36" s="3299"/>
      <c r="AQ36" s="3300"/>
      <c r="AR36" s="3292"/>
      <c r="AS36" s="3292"/>
      <c r="AT36" s="3292"/>
      <c r="AU36" s="3293" t="str">
        <f t="shared" si="12"/>
        <v/>
      </c>
      <c r="AV36" s="3293" t="str">
        <f t="shared" si="13"/>
        <v/>
      </c>
      <c r="AW36" s="3294"/>
      <c r="AX36" s="3236"/>
      <c r="AY36" s="3244"/>
      <c r="AZ36" s="3295" t="s">
        <v>4422</v>
      </c>
      <c r="BA36" s="3296" t="str">
        <f t="shared" si="11"/>
        <v>签约</v>
      </c>
      <c r="BB36" s="3226" t="s">
        <v>4423</v>
      </c>
      <c r="BC36" s="3226"/>
      <c r="BD36" s="3292">
        <f>VLOOKUP(B36,[3]Sheet1!A$1:B$65536,2,0)</f>
        <v>43749</v>
      </c>
      <c r="BE36" s="3297" t="s">
        <v>4449</v>
      </c>
      <c r="BG36" s="3297">
        <f>IFERROR(VLOOKUP(B36,[3]Sheet2!A$1:B$65536,2,FALSE),0)</f>
        <v>0</v>
      </c>
      <c r="BI36" s="3297">
        <f>IFERROR(VLOOKUP(B36,[3]Sheet2!A$1:C$65536,2,FALSE),0)</f>
        <v>0</v>
      </c>
      <c r="BJ36" s="3297">
        <f>IFERROR(VLOOKUP(B36,[3]Sheet2!A$1:C$65536,3,FALSE),0)</f>
        <v>0</v>
      </c>
    </row>
    <row r="37" spans="1:62" s="3297" customFormat="1" ht="20.25" customHeight="1">
      <c r="A37" s="3226">
        <v>35</v>
      </c>
      <c r="B37" s="3226" t="s">
        <v>4519</v>
      </c>
      <c r="C37" s="3227" t="s">
        <v>3333</v>
      </c>
      <c r="D37" s="3228" t="s">
        <v>4520</v>
      </c>
      <c r="E37" s="3229">
        <v>43735</v>
      </c>
      <c r="F37" s="3230">
        <v>20000</v>
      </c>
      <c r="G37" s="3231">
        <v>129.58000000000001</v>
      </c>
      <c r="H37" s="3231" t="str">
        <f t="shared" si="0"/>
        <v>普通住宅</v>
      </c>
      <c r="I37" s="3230">
        <v>1910928</v>
      </c>
      <c r="J37" s="3229">
        <v>43737</v>
      </c>
      <c r="K37" s="3284">
        <f t="shared" si="1"/>
        <v>9</v>
      </c>
      <c r="L37" s="3230">
        <v>1875928</v>
      </c>
      <c r="M37" s="3235">
        <f t="shared" si="2"/>
        <v>14476.987189381076</v>
      </c>
      <c r="N37" s="3236">
        <v>1175928</v>
      </c>
      <c r="O37" s="3244">
        <f t="shared" si="3"/>
        <v>1875928</v>
      </c>
      <c r="P37" s="3244"/>
      <c r="Q37" s="3244"/>
      <c r="R37" s="3244">
        <f t="shared" si="4"/>
        <v>1195928</v>
      </c>
      <c r="S37" s="3244">
        <f t="shared" si="5"/>
        <v>1195928</v>
      </c>
      <c r="T37" s="3236"/>
      <c r="U37" s="3236"/>
      <c r="V37" s="3236">
        <v>680000</v>
      </c>
      <c r="W37" s="3236"/>
      <c r="X37" s="3244">
        <f t="shared" si="6"/>
        <v>1875928</v>
      </c>
      <c r="Y37" s="3244">
        <f t="shared" si="7"/>
        <v>0</v>
      </c>
      <c r="Z37" s="3285">
        <f t="shared" si="8"/>
        <v>1</v>
      </c>
      <c r="AA37" s="3226" t="s">
        <v>4416</v>
      </c>
      <c r="AB37" s="3255" t="s">
        <v>4417</v>
      </c>
      <c r="AC37" s="3226" t="s">
        <v>4418</v>
      </c>
      <c r="AD37" s="3286" t="s">
        <v>4419</v>
      </c>
      <c r="AE37" s="3286" t="s">
        <v>4420</v>
      </c>
      <c r="AF37" s="3286"/>
      <c r="AG37" s="3286"/>
      <c r="AH37" s="3255">
        <v>43738</v>
      </c>
      <c r="AI37" s="3255">
        <v>43746</v>
      </c>
      <c r="AJ37" s="3255">
        <v>43769</v>
      </c>
      <c r="AK37" s="3287">
        <f t="shared" si="9"/>
        <v>2019</v>
      </c>
      <c r="AL37" s="3288">
        <f t="shared" si="10"/>
        <v>10</v>
      </c>
      <c r="AM37" s="3226" t="s">
        <v>4421</v>
      </c>
      <c r="AN37" s="3289">
        <v>680000</v>
      </c>
      <c r="AO37" s="3299"/>
      <c r="AP37" s="3299"/>
      <c r="AQ37" s="3300"/>
      <c r="AR37" s="3292"/>
      <c r="AS37" s="3292"/>
      <c r="AT37" s="3292"/>
      <c r="AU37" s="3293" t="str">
        <f t="shared" si="12"/>
        <v/>
      </c>
      <c r="AV37" s="3293" t="str">
        <f t="shared" si="13"/>
        <v/>
      </c>
      <c r="AW37" s="3294"/>
      <c r="AX37" s="3236"/>
      <c r="AY37" s="3244"/>
      <c r="AZ37" s="3295" t="s">
        <v>4441</v>
      </c>
      <c r="BA37" s="3296" t="str">
        <f t="shared" si="11"/>
        <v>签约</v>
      </c>
      <c r="BB37" s="3226" t="s">
        <v>4423</v>
      </c>
      <c r="BC37" s="3226"/>
      <c r="BD37" s="3292">
        <f>VLOOKUP(B37,[3]Sheet1!A$1:B$65536,2,0)</f>
        <v>43750</v>
      </c>
      <c r="BE37" s="3297" t="s">
        <v>4465</v>
      </c>
      <c r="BG37" s="3297">
        <f>IFERROR(VLOOKUP(B37,[3]Sheet2!A$1:B$65536,2,FALSE),0)</f>
        <v>0</v>
      </c>
      <c r="BI37" s="3297">
        <f>IFERROR(VLOOKUP(B37,[3]Sheet2!A$1:C$65536,2,FALSE),0)</f>
        <v>0</v>
      </c>
      <c r="BJ37" s="3297">
        <f>IFERROR(VLOOKUP(B37,[3]Sheet2!A$1:C$65536,3,FALSE),0)</f>
        <v>0</v>
      </c>
    </row>
    <row r="38" spans="1:62" s="3297" customFormat="1" ht="20.25" customHeight="1">
      <c r="A38" s="3226">
        <v>36</v>
      </c>
      <c r="B38" s="3226" t="s">
        <v>4521</v>
      </c>
      <c r="C38" s="3227" t="s">
        <v>3333</v>
      </c>
      <c r="D38" s="3228" t="s">
        <v>4522</v>
      </c>
      <c r="E38" s="3229">
        <v>43735</v>
      </c>
      <c r="F38" s="3230">
        <v>20000</v>
      </c>
      <c r="G38" s="3231">
        <v>129.58000000000001</v>
      </c>
      <c r="H38" s="3231" t="str">
        <f t="shared" si="0"/>
        <v>普通住宅</v>
      </c>
      <c r="I38" s="3238">
        <v>1904249</v>
      </c>
      <c r="J38" s="3239">
        <v>43737</v>
      </c>
      <c r="K38" s="3284">
        <f t="shared" si="1"/>
        <v>9</v>
      </c>
      <c r="L38" s="3238">
        <v>1869249</v>
      </c>
      <c r="M38" s="3235">
        <f t="shared" si="2"/>
        <v>14425.443741318104</v>
      </c>
      <c r="N38" s="3236">
        <v>549249</v>
      </c>
      <c r="O38" s="3244">
        <f t="shared" si="3"/>
        <v>1869249</v>
      </c>
      <c r="P38" s="3244"/>
      <c r="Q38" s="3244"/>
      <c r="R38" s="3244">
        <f t="shared" si="4"/>
        <v>569249</v>
      </c>
      <c r="S38" s="3244">
        <f t="shared" si="5"/>
        <v>569249</v>
      </c>
      <c r="T38" s="3236"/>
      <c r="U38" s="3236"/>
      <c r="V38" s="3236">
        <v>1300000</v>
      </c>
      <c r="W38" s="3236"/>
      <c r="X38" s="3244">
        <f t="shared" si="6"/>
        <v>1869249</v>
      </c>
      <c r="Y38" s="3244">
        <f t="shared" si="7"/>
        <v>0</v>
      </c>
      <c r="Z38" s="3285">
        <f t="shared" si="8"/>
        <v>1</v>
      </c>
      <c r="AA38" s="3226" t="s">
        <v>4416</v>
      </c>
      <c r="AB38" s="3255" t="s">
        <v>4417</v>
      </c>
      <c r="AC38" s="3226" t="s">
        <v>4418</v>
      </c>
      <c r="AD38" s="3286" t="s">
        <v>4419</v>
      </c>
      <c r="AE38" s="3286" t="s">
        <v>4427</v>
      </c>
      <c r="AF38" s="3286"/>
      <c r="AG38" s="3286"/>
      <c r="AH38" s="3255">
        <v>43738</v>
      </c>
      <c r="AI38" s="3255">
        <v>43748</v>
      </c>
      <c r="AJ38" s="3255">
        <v>43789</v>
      </c>
      <c r="AK38" s="3287">
        <f t="shared" si="9"/>
        <v>2019</v>
      </c>
      <c r="AL38" s="3288">
        <f t="shared" si="10"/>
        <v>11</v>
      </c>
      <c r="AM38" s="3226" t="s">
        <v>4433</v>
      </c>
      <c r="AN38" s="3289">
        <v>1300000</v>
      </c>
      <c r="AO38" s="3300"/>
      <c r="AP38" s="3299"/>
      <c r="AQ38" s="3300"/>
      <c r="AR38" s="3292"/>
      <c r="AS38" s="3292"/>
      <c r="AT38" s="3292"/>
      <c r="AU38" s="3293" t="str">
        <f t="shared" si="12"/>
        <v/>
      </c>
      <c r="AV38" s="3293" t="str">
        <f t="shared" si="13"/>
        <v/>
      </c>
      <c r="AW38" s="3294"/>
      <c r="AX38" s="3236"/>
      <c r="AY38" s="3244"/>
      <c r="AZ38" s="3295" t="s">
        <v>4441</v>
      </c>
      <c r="BA38" s="3296" t="str">
        <f t="shared" si="11"/>
        <v>签约</v>
      </c>
      <c r="BB38" s="3226" t="s">
        <v>4423</v>
      </c>
      <c r="BC38" s="3226"/>
      <c r="BD38" s="3292">
        <f>VLOOKUP(B38,[3]Sheet1!A$1:B$65536,2,0)</f>
        <v>43750</v>
      </c>
      <c r="BE38" s="3297" t="s">
        <v>4465</v>
      </c>
      <c r="BG38" s="3297">
        <f>IFERROR(VLOOKUP(B38,[3]Sheet2!A$1:B$65536,2,FALSE),0)</f>
        <v>0</v>
      </c>
      <c r="BI38" s="3297">
        <f>IFERROR(VLOOKUP(B38,[3]Sheet2!A$1:C$65536,2,FALSE),0)</f>
        <v>0</v>
      </c>
      <c r="BJ38" s="3297">
        <f>IFERROR(VLOOKUP(B38,[3]Sheet2!A$1:C$65536,3,FALSE),0)</f>
        <v>0</v>
      </c>
    </row>
    <row r="39" spans="1:62" s="3297" customFormat="1" ht="20.25" customHeight="1">
      <c r="A39" s="3226">
        <v>37</v>
      </c>
      <c r="B39" s="3226" t="s">
        <v>4523</v>
      </c>
      <c r="C39" s="3227" t="s">
        <v>3333</v>
      </c>
      <c r="D39" s="3228" t="s">
        <v>4524</v>
      </c>
      <c r="E39" s="3229">
        <v>43735</v>
      </c>
      <c r="F39" s="3230">
        <v>20000</v>
      </c>
      <c r="G39" s="3231">
        <v>129.58000000000001</v>
      </c>
      <c r="H39" s="3231" t="str">
        <f t="shared" si="0"/>
        <v>普通住宅</v>
      </c>
      <c r="I39" s="3238">
        <v>1897569</v>
      </c>
      <c r="J39" s="3239">
        <v>43738</v>
      </c>
      <c r="K39" s="3284">
        <f t="shared" si="1"/>
        <v>9</v>
      </c>
      <c r="L39" s="3238">
        <v>1862569</v>
      </c>
      <c r="M39" s="3235">
        <f t="shared" si="2"/>
        <v>14373.892576014816</v>
      </c>
      <c r="N39" s="3236">
        <v>542569</v>
      </c>
      <c r="O39" s="3244">
        <f t="shared" si="3"/>
        <v>1862569</v>
      </c>
      <c r="P39" s="3244"/>
      <c r="Q39" s="3244"/>
      <c r="R39" s="3244">
        <f t="shared" si="4"/>
        <v>562569</v>
      </c>
      <c r="S39" s="3244">
        <f t="shared" si="5"/>
        <v>562569</v>
      </c>
      <c r="T39" s="3236"/>
      <c r="U39" s="3236"/>
      <c r="V39" s="3236">
        <v>1300000</v>
      </c>
      <c r="W39" s="3236"/>
      <c r="X39" s="3244">
        <f t="shared" si="6"/>
        <v>1862569</v>
      </c>
      <c r="Y39" s="3244">
        <f t="shared" si="7"/>
        <v>0</v>
      </c>
      <c r="Z39" s="3285">
        <f t="shared" si="8"/>
        <v>1</v>
      </c>
      <c r="AA39" s="3226" t="s">
        <v>4416</v>
      </c>
      <c r="AB39" s="3255" t="s">
        <v>4417</v>
      </c>
      <c r="AC39" s="3226" t="s">
        <v>4418</v>
      </c>
      <c r="AD39" s="3286" t="s">
        <v>4419</v>
      </c>
      <c r="AE39" s="3286" t="s">
        <v>4420</v>
      </c>
      <c r="AF39" s="3286"/>
      <c r="AG39" s="3286"/>
      <c r="AH39" s="3255">
        <v>43738</v>
      </c>
      <c r="AI39" s="3255">
        <v>43757</v>
      </c>
      <c r="AJ39" s="3255">
        <v>43769</v>
      </c>
      <c r="AK39" s="3287">
        <f t="shared" si="9"/>
        <v>2019</v>
      </c>
      <c r="AL39" s="3288">
        <f t="shared" si="10"/>
        <v>10</v>
      </c>
      <c r="AM39" s="3302" t="s">
        <v>4428</v>
      </c>
      <c r="AN39" s="3298">
        <v>1300000</v>
      </c>
      <c r="AO39" s="3300"/>
      <c r="AP39" s="3300"/>
      <c r="AQ39" s="3300"/>
      <c r="AR39" s="3292"/>
      <c r="AS39" s="3292"/>
      <c r="AT39" s="3292"/>
      <c r="AU39" s="3293" t="str">
        <f t="shared" si="12"/>
        <v/>
      </c>
      <c r="AV39" s="3293" t="str">
        <f t="shared" si="13"/>
        <v/>
      </c>
      <c r="AW39" s="3294"/>
      <c r="AX39" s="3236"/>
      <c r="AY39" s="3244"/>
      <c r="AZ39" s="3295" t="s">
        <v>4429</v>
      </c>
      <c r="BA39" s="3296" t="str">
        <f t="shared" si="11"/>
        <v>签约</v>
      </c>
      <c r="BB39" s="3226" t="s">
        <v>4423</v>
      </c>
      <c r="BC39" s="3226"/>
      <c r="BD39" s="3292">
        <f>VLOOKUP(B39,[3]Sheet1!A$1:B$65536,2,0)</f>
        <v>43752</v>
      </c>
      <c r="BE39" s="3297" t="s">
        <v>4449</v>
      </c>
      <c r="BG39" s="3297">
        <f>IFERROR(VLOOKUP(B39,[3]Sheet2!A$1:B$65536,2,FALSE),0)</f>
        <v>0</v>
      </c>
      <c r="BI39" s="3297">
        <f>IFERROR(VLOOKUP(B39,[3]Sheet2!A$1:C$65536,2,FALSE),0)</f>
        <v>0</v>
      </c>
      <c r="BJ39" s="3297">
        <f>IFERROR(VLOOKUP(B39,[3]Sheet2!A$1:C$65536,3,FALSE),0)</f>
        <v>0</v>
      </c>
    </row>
    <row r="40" spans="1:62" s="3297" customFormat="1" ht="20.25" customHeight="1">
      <c r="A40" s="3226">
        <v>38</v>
      </c>
      <c r="B40" s="3226" t="s">
        <v>4525</v>
      </c>
      <c r="C40" s="3227" t="s">
        <v>3333</v>
      </c>
      <c r="D40" s="3228" t="s">
        <v>4526</v>
      </c>
      <c r="E40" s="3229">
        <v>43735</v>
      </c>
      <c r="F40" s="3230">
        <v>20000</v>
      </c>
      <c r="G40" s="3231">
        <v>129.58000000000001</v>
      </c>
      <c r="H40" s="3231" t="str">
        <f t="shared" si="0"/>
        <v>普通住宅</v>
      </c>
      <c r="I40" s="3238">
        <v>1890890</v>
      </c>
      <c r="J40" s="3239">
        <v>43738</v>
      </c>
      <c r="K40" s="3284">
        <f t="shared" si="1"/>
        <v>9</v>
      </c>
      <c r="L40" s="3238">
        <v>1870890</v>
      </c>
      <c r="M40" s="3235">
        <f t="shared" si="2"/>
        <v>14438.107732674795</v>
      </c>
      <c r="N40" s="3236">
        <f>1250890+600000</f>
        <v>1850890</v>
      </c>
      <c r="O40" s="3244">
        <f t="shared" si="3"/>
        <v>1870890</v>
      </c>
      <c r="P40" s="3244"/>
      <c r="Q40" s="3244"/>
      <c r="R40" s="3244">
        <f t="shared" si="4"/>
        <v>1870890</v>
      </c>
      <c r="S40" s="3244">
        <f t="shared" si="5"/>
        <v>1870890</v>
      </c>
      <c r="T40" s="3236"/>
      <c r="U40" s="3236"/>
      <c r="V40" s="3236"/>
      <c r="W40" s="3236"/>
      <c r="X40" s="3244">
        <f t="shared" si="6"/>
        <v>1870890</v>
      </c>
      <c r="Y40" s="3244">
        <f t="shared" si="7"/>
        <v>0</v>
      </c>
      <c r="Z40" s="3285">
        <f t="shared" si="8"/>
        <v>1</v>
      </c>
      <c r="AA40" s="3226" t="s">
        <v>4416</v>
      </c>
      <c r="AB40" s="3255" t="s">
        <v>4444</v>
      </c>
      <c r="AC40" s="3226"/>
      <c r="AD40" s="3286"/>
      <c r="AE40" s="3286"/>
      <c r="AF40" s="3286"/>
      <c r="AG40" s="3286"/>
      <c r="AH40" s="3255"/>
      <c r="AI40" s="3255"/>
      <c r="AJ40" s="3255"/>
      <c r="AK40" s="3287" t="str">
        <f t="shared" si="9"/>
        <v/>
      </c>
      <c r="AL40" s="3288" t="str">
        <f t="shared" si="10"/>
        <v/>
      </c>
      <c r="AM40" s="3302"/>
      <c r="AN40" s="3298"/>
      <c r="AO40" s="3300"/>
      <c r="AP40" s="3300"/>
      <c r="AQ40" s="3300"/>
      <c r="AR40" s="3292"/>
      <c r="AS40" s="3292"/>
      <c r="AT40" s="3292"/>
      <c r="AU40" s="3293" t="str">
        <f t="shared" si="12"/>
        <v/>
      </c>
      <c r="AV40" s="3293" t="str">
        <f t="shared" si="13"/>
        <v/>
      </c>
      <c r="AW40" s="3294"/>
      <c r="AX40" s="3236"/>
      <c r="AY40" s="3244"/>
      <c r="AZ40" s="3295" t="s">
        <v>4482</v>
      </c>
      <c r="BA40" s="3296" t="str">
        <f t="shared" si="11"/>
        <v>签约</v>
      </c>
      <c r="BB40" s="3226" t="s">
        <v>4455</v>
      </c>
      <c r="BC40" s="3226" t="s">
        <v>4430</v>
      </c>
      <c r="BD40" s="3292">
        <f>VLOOKUP(B40,[3]Sheet1!A$1:B$65536,2,0)</f>
        <v>43750</v>
      </c>
      <c r="BE40" s="3297" t="s">
        <v>4367</v>
      </c>
      <c r="BG40" s="3297">
        <f>IFERROR(VLOOKUP(B40,[3]Sheet2!A$1:B$65536,2,FALSE),0)</f>
        <v>0</v>
      </c>
      <c r="BI40" s="3297">
        <f>IFERROR(VLOOKUP(B40,[3]Sheet2!A$1:C$65536,2,FALSE),0)</f>
        <v>0</v>
      </c>
      <c r="BJ40" s="3297">
        <f>IFERROR(VLOOKUP(B40,[3]Sheet2!A$1:C$65536,3,FALSE),0)</f>
        <v>0</v>
      </c>
    </row>
    <row r="41" spans="1:62" s="3297" customFormat="1" ht="20.25" customHeight="1">
      <c r="A41" s="3226">
        <v>39</v>
      </c>
      <c r="B41" s="3226" t="s">
        <v>4527</v>
      </c>
      <c r="C41" s="3227" t="s">
        <v>3333</v>
      </c>
      <c r="D41" s="3228" t="s">
        <v>4528</v>
      </c>
      <c r="E41" s="3229">
        <v>43735</v>
      </c>
      <c r="F41" s="3230">
        <v>20000</v>
      </c>
      <c r="G41" s="3231">
        <v>129.58000000000001</v>
      </c>
      <c r="H41" s="3231" t="str">
        <f t="shared" si="0"/>
        <v>普通住宅</v>
      </c>
      <c r="I41" s="3230">
        <v>1857493</v>
      </c>
      <c r="J41" s="3229">
        <v>43737</v>
      </c>
      <c r="K41" s="3284">
        <f t="shared" si="1"/>
        <v>9</v>
      </c>
      <c r="L41" s="3230">
        <v>1822493</v>
      </c>
      <c r="M41" s="3235">
        <f t="shared" si="2"/>
        <v>14064.61645315635</v>
      </c>
      <c r="N41" s="3236">
        <v>532493</v>
      </c>
      <c r="O41" s="3244">
        <f t="shared" si="3"/>
        <v>1822493</v>
      </c>
      <c r="P41" s="3244"/>
      <c r="Q41" s="3244"/>
      <c r="R41" s="3244">
        <f t="shared" si="4"/>
        <v>552493</v>
      </c>
      <c r="S41" s="3244">
        <f t="shared" si="5"/>
        <v>552493</v>
      </c>
      <c r="T41" s="3236"/>
      <c r="U41" s="3236"/>
      <c r="V41" s="3236">
        <v>1270000</v>
      </c>
      <c r="W41" s="3236"/>
      <c r="X41" s="3244">
        <f t="shared" si="6"/>
        <v>1822493</v>
      </c>
      <c r="Y41" s="3244">
        <f t="shared" si="7"/>
        <v>0</v>
      </c>
      <c r="Z41" s="3285">
        <f t="shared" si="8"/>
        <v>1</v>
      </c>
      <c r="AA41" s="3226" t="s">
        <v>4416</v>
      </c>
      <c r="AB41" s="3255" t="s">
        <v>4417</v>
      </c>
      <c r="AC41" s="3226" t="s">
        <v>4418</v>
      </c>
      <c r="AD41" s="3286" t="s">
        <v>4419</v>
      </c>
      <c r="AE41" s="3286" t="s">
        <v>4427</v>
      </c>
      <c r="AF41" s="3286"/>
      <c r="AG41" s="3286"/>
      <c r="AH41" s="3255">
        <v>43737</v>
      </c>
      <c r="AI41" s="3255">
        <v>43746</v>
      </c>
      <c r="AJ41" s="3255">
        <v>43833</v>
      </c>
      <c r="AK41" s="3287">
        <f t="shared" si="9"/>
        <v>2020</v>
      </c>
      <c r="AL41" s="3288">
        <f t="shared" si="10"/>
        <v>1</v>
      </c>
      <c r="AM41" s="3226" t="s">
        <v>4421</v>
      </c>
      <c r="AN41" s="3289">
        <v>1270000</v>
      </c>
      <c r="AO41" s="3300"/>
      <c r="AP41" s="3300"/>
      <c r="AQ41" s="3300"/>
      <c r="AR41" s="3292"/>
      <c r="AS41" s="3292"/>
      <c r="AT41" s="3292"/>
      <c r="AU41" s="3293" t="str">
        <f t="shared" si="12"/>
        <v/>
      </c>
      <c r="AV41" s="3293" t="str">
        <f t="shared" si="13"/>
        <v/>
      </c>
      <c r="AW41" s="3294"/>
      <c r="AX41" s="3236"/>
      <c r="AY41" s="3244"/>
      <c r="AZ41" s="3295" t="s">
        <v>4454</v>
      </c>
      <c r="BA41" s="3296" t="str">
        <f t="shared" si="11"/>
        <v>签约</v>
      </c>
      <c r="BB41" s="3226" t="s">
        <v>4455</v>
      </c>
      <c r="BC41" s="3226"/>
      <c r="BD41" s="3292">
        <f>VLOOKUP(B41,[3]Sheet1!A$1:B$65536,2,0)</f>
        <v>43749</v>
      </c>
      <c r="BE41" s="3297" t="s">
        <v>4465</v>
      </c>
      <c r="BG41" s="3297">
        <f>IFERROR(VLOOKUP(B41,[3]Sheet2!A$1:B$65536,2,FALSE),0)</f>
        <v>0</v>
      </c>
      <c r="BI41" s="3297">
        <f>IFERROR(VLOOKUP(B41,[3]Sheet2!A$1:C$65536,2,FALSE),0)</f>
        <v>0</v>
      </c>
      <c r="BJ41" s="3297">
        <f>IFERROR(VLOOKUP(B41,[3]Sheet2!A$1:C$65536,3,FALSE),0)</f>
        <v>0</v>
      </c>
    </row>
    <row r="42" spans="1:62" s="3297" customFormat="1" ht="20.25" customHeight="1">
      <c r="A42" s="3226">
        <v>40</v>
      </c>
      <c r="B42" s="3226" t="s">
        <v>4529</v>
      </c>
      <c r="C42" s="3227" t="s">
        <v>3333</v>
      </c>
      <c r="D42" s="3228" t="s">
        <v>4530</v>
      </c>
      <c r="E42" s="3229">
        <v>43735</v>
      </c>
      <c r="F42" s="3230">
        <v>20000</v>
      </c>
      <c r="G42" s="3231">
        <v>129.58000000000001</v>
      </c>
      <c r="H42" s="3231" t="str">
        <f t="shared" si="0"/>
        <v>普通住宅</v>
      </c>
      <c r="I42" s="3238">
        <v>1817417</v>
      </c>
      <c r="J42" s="3239">
        <v>43738</v>
      </c>
      <c r="K42" s="3284">
        <f t="shared" si="1"/>
        <v>9</v>
      </c>
      <c r="L42" s="3238">
        <v>1797417</v>
      </c>
      <c r="M42" s="3235">
        <f t="shared" si="2"/>
        <v>13871.098935020835</v>
      </c>
      <c r="N42" s="3236">
        <v>527417</v>
      </c>
      <c r="O42" s="3244">
        <f t="shared" si="3"/>
        <v>1797417</v>
      </c>
      <c r="P42" s="3244"/>
      <c r="Q42" s="3244"/>
      <c r="R42" s="3244">
        <f t="shared" si="4"/>
        <v>547417</v>
      </c>
      <c r="S42" s="3244">
        <f t="shared" si="5"/>
        <v>547417</v>
      </c>
      <c r="T42" s="3236"/>
      <c r="U42" s="3236"/>
      <c r="V42" s="3236">
        <v>650000</v>
      </c>
      <c r="W42" s="3236">
        <v>600000</v>
      </c>
      <c r="X42" s="3244">
        <f t="shared" si="6"/>
        <v>1797417</v>
      </c>
      <c r="Y42" s="3244">
        <f t="shared" si="7"/>
        <v>0</v>
      </c>
      <c r="Z42" s="3285">
        <f t="shared" si="8"/>
        <v>1</v>
      </c>
      <c r="AA42" s="3226" t="s">
        <v>4416</v>
      </c>
      <c r="AB42" s="3255" t="s">
        <v>4417</v>
      </c>
      <c r="AC42" s="3226" t="s">
        <v>4460</v>
      </c>
      <c r="AD42" s="3286" t="s">
        <v>4419</v>
      </c>
      <c r="AE42" s="3286" t="s">
        <v>4427</v>
      </c>
      <c r="AF42" s="3286"/>
      <c r="AG42" s="3286"/>
      <c r="AH42" s="3255">
        <v>43763</v>
      </c>
      <c r="AI42" s="3255">
        <v>43763</v>
      </c>
      <c r="AJ42" s="3255">
        <v>43845</v>
      </c>
      <c r="AK42" s="3287">
        <f t="shared" si="9"/>
        <v>2020</v>
      </c>
      <c r="AL42" s="3288">
        <f t="shared" si="10"/>
        <v>1</v>
      </c>
      <c r="AM42" s="3226" t="s">
        <v>4531</v>
      </c>
      <c r="AN42" s="3289">
        <v>650000</v>
      </c>
      <c r="AO42" s="3299" t="s">
        <v>4419</v>
      </c>
      <c r="AP42" s="3300" t="s">
        <v>4427</v>
      </c>
      <c r="AQ42" s="3300"/>
      <c r="AR42" s="3292">
        <v>43763</v>
      </c>
      <c r="AS42" s="3292">
        <v>43763</v>
      </c>
      <c r="AT42" s="3292">
        <v>43853</v>
      </c>
      <c r="AU42" s="3293">
        <f t="shared" si="12"/>
        <v>2020</v>
      </c>
      <c r="AV42" s="3293">
        <f t="shared" si="13"/>
        <v>1</v>
      </c>
      <c r="AW42" s="3294" t="s">
        <v>4453</v>
      </c>
      <c r="AX42" s="3236">
        <v>600000</v>
      </c>
      <c r="AY42" s="3244"/>
      <c r="AZ42" s="3295" t="s">
        <v>4441</v>
      </c>
      <c r="BA42" s="3296" t="str">
        <f t="shared" si="11"/>
        <v>签约</v>
      </c>
      <c r="BB42" s="3226" t="s">
        <v>4423</v>
      </c>
      <c r="BC42" s="3226"/>
      <c r="BD42" s="3292">
        <f>VLOOKUP(B42,[3]Sheet1!A$1:B$65536,2,0)</f>
        <v>43750</v>
      </c>
      <c r="BE42" s="3297" t="s">
        <v>4367</v>
      </c>
      <c r="BG42" s="3297">
        <f>IFERROR(VLOOKUP(B42,[3]Sheet2!A$1:B$65536,2,FALSE),0)</f>
        <v>0</v>
      </c>
      <c r="BI42" s="3297">
        <f>IFERROR(VLOOKUP(B42,[3]Sheet2!A$1:C$65536,2,FALSE),0)</f>
        <v>0</v>
      </c>
      <c r="BJ42" s="3297">
        <f>IFERROR(VLOOKUP(B42,[3]Sheet2!A$1:C$65536,3,FALSE),0)</f>
        <v>0</v>
      </c>
    </row>
    <row r="43" spans="1:62" s="3297" customFormat="1" ht="20.25" customHeight="1">
      <c r="A43" s="3226">
        <v>41</v>
      </c>
      <c r="B43" s="3226" t="s">
        <v>4532</v>
      </c>
      <c r="C43" s="3227" t="s">
        <v>3333</v>
      </c>
      <c r="D43" s="3228" t="s">
        <v>4533</v>
      </c>
      <c r="E43" s="3229">
        <v>43735</v>
      </c>
      <c r="F43" s="3230">
        <v>20000</v>
      </c>
      <c r="G43" s="3231">
        <v>129.58000000000001</v>
      </c>
      <c r="H43" s="3231" t="str">
        <f t="shared" si="0"/>
        <v>普通住宅</v>
      </c>
      <c r="I43" s="3230">
        <v>1763982</v>
      </c>
      <c r="J43" s="3229">
        <v>43736</v>
      </c>
      <c r="K43" s="3284">
        <f t="shared" si="1"/>
        <v>9</v>
      </c>
      <c r="L43" s="3230">
        <v>1743982</v>
      </c>
      <c r="M43" s="3235">
        <f t="shared" si="2"/>
        <v>13458.728198796109</v>
      </c>
      <c r="N43" s="3236">
        <v>653982</v>
      </c>
      <c r="O43" s="3244">
        <f t="shared" si="3"/>
        <v>1743982</v>
      </c>
      <c r="P43" s="3244"/>
      <c r="Q43" s="3244"/>
      <c r="R43" s="3244">
        <f t="shared" si="4"/>
        <v>673982</v>
      </c>
      <c r="S43" s="3244">
        <f t="shared" si="5"/>
        <v>673982</v>
      </c>
      <c r="T43" s="3236"/>
      <c r="U43" s="3236"/>
      <c r="V43" s="3236">
        <v>770000</v>
      </c>
      <c r="W43" s="3236">
        <v>300000</v>
      </c>
      <c r="X43" s="3244">
        <f t="shared" si="6"/>
        <v>1743982</v>
      </c>
      <c r="Y43" s="3244">
        <f t="shared" si="7"/>
        <v>0</v>
      </c>
      <c r="Z43" s="3285">
        <f t="shared" si="8"/>
        <v>1</v>
      </c>
      <c r="AA43" s="3226" t="s">
        <v>4416</v>
      </c>
      <c r="AB43" s="3255" t="s">
        <v>4417</v>
      </c>
      <c r="AC43" s="3226" t="s">
        <v>4460</v>
      </c>
      <c r="AD43" s="3286" t="s">
        <v>4419</v>
      </c>
      <c r="AE43" s="3286" t="s">
        <v>4427</v>
      </c>
      <c r="AF43" s="3286"/>
      <c r="AG43" s="3286"/>
      <c r="AH43" s="3255">
        <v>43766</v>
      </c>
      <c r="AI43" s="3255">
        <v>43766</v>
      </c>
      <c r="AJ43" s="3255">
        <v>43836</v>
      </c>
      <c r="AK43" s="3287">
        <f t="shared" si="9"/>
        <v>2020</v>
      </c>
      <c r="AL43" s="3288">
        <f t="shared" si="10"/>
        <v>1</v>
      </c>
      <c r="AM43" s="3302" t="s">
        <v>4534</v>
      </c>
      <c r="AN43" s="3298">
        <v>770000</v>
      </c>
      <c r="AO43" s="3300" t="s">
        <v>4419</v>
      </c>
      <c r="AP43" s="3300" t="s">
        <v>4427</v>
      </c>
      <c r="AQ43" s="3300"/>
      <c r="AR43" s="3292">
        <v>43766</v>
      </c>
      <c r="AS43" s="3292">
        <v>43766</v>
      </c>
      <c r="AT43" s="3292">
        <v>43853</v>
      </c>
      <c r="AU43" s="3293">
        <f t="shared" si="12"/>
        <v>2020</v>
      </c>
      <c r="AV43" s="3293">
        <f t="shared" si="13"/>
        <v>1</v>
      </c>
      <c r="AW43" s="3294" t="s">
        <v>4453</v>
      </c>
      <c r="AX43" s="3236">
        <v>300000</v>
      </c>
      <c r="AY43" s="3244"/>
      <c r="AZ43" s="3295" t="s">
        <v>4445</v>
      </c>
      <c r="BA43" s="3296" t="str">
        <f t="shared" si="11"/>
        <v>签约</v>
      </c>
      <c r="BB43" s="3226" t="s">
        <v>4423</v>
      </c>
      <c r="BC43" s="3226"/>
      <c r="BD43" s="3292">
        <f>VLOOKUP(B43,[3]Sheet1!A$1:B$65536,2,0)</f>
        <v>43748</v>
      </c>
      <c r="BE43" s="3297" t="s">
        <v>4367</v>
      </c>
      <c r="BG43" s="3297">
        <f>IFERROR(VLOOKUP(B43,[3]Sheet2!A$1:B$65536,2,FALSE),0)</f>
        <v>0</v>
      </c>
      <c r="BI43" s="3297">
        <f>IFERROR(VLOOKUP(B43,[3]Sheet2!A$1:C$65536,2,FALSE),0)</f>
        <v>0</v>
      </c>
      <c r="BJ43" s="3297">
        <f>IFERROR(VLOOKUP(B43,[3]Sheet2!A$1:C$65536,3,FALSE),0)</f>
        <v>0</v>
      </c>
    </row>
    <row r="44" spans="1:62" s="3297" customFormat="1" ht="20.25" customHeight="1">
      <c r="A44" s="3226">
        <v>42</v>
      </c>
      <c r="B44" s="3226" t="s">
        <v>4535</v>
      </c>
      <c r="C44" s="3227" t="s">
        <v>3333</v>
      </c>
      <c r="D44" s="3228" t="s">
        <v>4536</v>
      </c>
      <c r="E44" s="3229">
        <v>43735</v>
      </c>
      <c r="F44" s="3230">
        <v>20000</v>
      </c>
      <c r="G44" s="3231">
        <v>127.06</v>
      </c>
      <c r="H44" s="3231" t="str">
        <f t="shared" si="0"/>
        <v>普通住宅</v>
      </c>
      <c r="I44" s="3230">
        <v>1625286</v>
      </c>
      <c r="J44" s="3229">
        <v>43738</v>
      </c>
      <c r="K44" s="3284">
        <f t="shared" si="1"/>
        <v>9</v>
      </c>
      <c r="L44" s="3230">
        <v>1590286</v>
      </c>
      <c r="M44" s="3235">
        <f t="shared" si="2"/>
        <v>12516.023925704392</v>
      </c>
      <c r="N44" s="3236">
        <v>460286</v>
      </c>
      <c r="O44" s="3244">
        <f t="shared" si="3"/>
        <v>1590286</v>
      </c>
      <c r="P44" s="3244"/>
      <c r="Q44" s="3244"/>
      <c r="R44" s="3244">
        <f t="shared" si="4"/>
        <v>480286</v>
      </c>
      <c r="S44" s="3244">
        <f t="shared" si="5"/>
        <v>480286</v>
      </c>
      <c r="T44" s="3236"/>
      <c r="U44" s="3236"/>
      <c r="V44" s="3236">
        <v>1110000</v>
      </c>
      <c r="W44" s="3236"/>
      <c r="X44" s="3244">
        <f t="shared" si="6"/>
        <v>1590286</v>
      </c>
      <c r="Y44" s="3244">
        <f t="shared" si="7"/>
        <v>0</v>
      </c>
      <c r="Z44" s="3285">
        <f t="shared" si="8"/>
        <v>1</v>
      </c>
      <c r="AA44" s="3226" t="s">
        <v>4416</v>
      </c>
      <c r="AB44" s="3255" t="s">
        <v>4417</v>
      </c>
      <c r="AC44" s="3226" t="s">
        <v>4418</v>
      </c>
      <c r="AD44" s="3286" t="s">
        <v>4419</v>
      </c>
      <c r="AE44" s="3286" t="s">
        <v>4420</v>
      </c>
      <c r="AF44" s="3286"/>
      <c r="AG44" s="3286"/>
      <c r="AH44" s="3255">
        <v>43738</v>
      </c>
      <c r="AI44" s="3255">
        <v>43746</v>
      </c>
      <c r="AJ44" s="3255">
        <v>43769</v>
      </c>
      <c r="AK44" s="3287">
        <f t="shared" si="9"/>
        <v>2019</v>
      </c>
      <c r="AL44" s="3288">
        <f t="shared" si="10"/>
        <v>10</v>
      </c>
      <c r="AM44" s="3226" t="s">
        <v>4421</v>
      </c>
      <c r="AN44" s="3289">
        <v>1110000</v>
      </c>
      <c r="AO44" s="3299"/>
      <c r="AP44" s="3299"/>
      <c r="AQ44" s="3300"/>
      <c r="AR44" s="3292"/>
      <c r="AS44" s="3292"/>
      <c r="AT44" s="3292"/>
      <c r="AU44" s="3293" t="str">
        <f t="shared" si="12"/>
        <v/>
      </c>
      <c r="AV44" s="3293" t="str">
        <f t="shared" si="13"/>
        <v/>
      </c>
      <c r="AW44" s="3294"/>
      <c r="AX44" s="3236"/>
      <c r="AY44" s="3244"/>
      <c r="AZ44" s="3295" t="s">
        <v>4454</v>
      </c>
      <c r="BA44" s="3296" t="str">
        <f t="shared" si="11"/>
        <v>签约</v>
      </c>
      <c r="BB44" s="3226" t="s">
        <v>4455</v>
      </c>
      <c r="BC44" s="3226"/>
      <c r="BD44" s="3292">
        <f>VLOOKUP(B44,[3]Sheet1!A$1:B$65536,2,0)</f>
        <v>43749</v>
      </c>
      <c r="BE44" s="3297" t="s">
        <v>4449</v>
      </c>
      <c r="BG44" s="3297">
        <f>IFERROR(VLOOKUP(B44,[3]Sheet2!A$1:B$65536,2,FALSE),0)</f>
        <v>0</v>
      </c>
      <c r="BI44" s="3297">
        <f>IFERROR(VLOOKUP(B44,[3]Sheet2!A$1:C$65536,2,FALSE),0)</f>
        <v>0</v>
      </c>
      <c r="BJ44" s="3297">
        <f>IFERROR(VLOOKUP(B44,[3]Sheet2!A$1:C$65536,3,FALSE),0)</f>
        <v>0</v>
      </c>
    </row>
    <row r="45" spans="1:62" s="3297" customFormat="1" ht="20.25" customHeight="1">
      <c r="A45" s="3226">
        <v>43</v>
      </c>
      <c r="B45" s="3226" t="s">
        <v>4537</v>
      </c>
      <c r="C45" s="3227" t="s">
        <v>3333</v>
      </c>
      <c r="D45" s="3228" t="s">
        <v>4538</v>
      </c>
      <c r="E45" s="3229">
        <v>43735</v>
      </c>
      <c r="F45" s="3230">
        <v>20000</v>
      </c>
      <c r="G45" s="3231">
        <v>129.54</v>
      </c>
      <c r="H45" s="3231" t="str">
        <f t="shared" si="0"/>
        <v>普通住宅</v>
      </c>
      <c r="I45" s="3230">
        <v>1854850</v>
      </c>
      <c r="J45" s="3229">
        <v>43737</v>
      </c>
      <c r="K45" s="3284">
        <f t="shared" si="1"/>
        <v>9</v>
      </c>
      <c r="L45" s="3230">
        <v>1819850</v>
      </c>
      <c r="M45" s="3235">
        <f t="shared" si="2"/>
        <v>14048.556430446195</v>
      </c>
      <c r="N45" s="3236">
        <v>539850</v>
      </c>
      <c r="O45" s="3244">
        <f t="shared" si="3"/>
        <v>1819850</v>
      </c>
      <c r="P45" s="3244"/>
      <c r="Q45" s="3244"/>
      <c r="R45" s="3244">
        <f t="shared" si="4"/>
        <v>559850</v>
      </c>
      <c r="S45" s="3244">
        <f t="shared" si="5"/>
        <v>559850</v>
      </c>
      <c r="T45" s="3236"/>
      <c r="U45" s="3236"/>
      <c r="V45" s="3236">
        <v>1260000</v>
      </c>
      <c r="W45" s="3236"/>
      <c r="X45" s="3244">
        <f t="shared" si="6"/>
        <v>1819850</v>
      </c>
      <c r="Y45" s="3244">
        <f t="shared" si="7"/>
        <v>0</v>
      </c>
      <c r="Z45" s="3285">
        <f t="shared" si="8"/>
        <v>1</v>
      </c>
      <c r="AA45" s="3226" t="s">
        <v>4416</v>
      </c>
      <c r="AB45" s="3255" t="s">
        <v>4417</v>
      </c>
      <c r="AC45" s="3226" t="s">
        <v>4418</v>
      </c>
      <c r="AD45" s="3286" t="s">
        <v>4539</v>
      </c>
      <c r="AE45" s="3286" t="s">
        <v>4427</v>
      </c>
      <c r="AF45" s="3286"/>
      <c r="AG45" s="3286"/>
      <c r="AH45" s="3255">
        <v>43783</v>
      </c>
      <c r="AI45" s="3255">
        <v>43783</v>
      </c>
      <c r="AJ45" s="3255">
        <v>43803</v>
      </c>
      <c r="AK45" s="3287">
        <f t="shared" si="9"/>
        <v>2019</v>
      </c>
      <c r="AL45" s="3288">
        <f t="shared" si="10"/>
        <v>12</v>
      </c>
      <c r="AM45" s="3302" t="s">
        <v>4440</v>
      </c>
      <c r="AN45" s="3298">
        <v>1260000</v>
      </c>
      <c r="AO45" s="3300"/>
      <c r="AP45" s="3300"/>
      <c r="AQ45" s="3300"/>
      <c r="AR45" s="3292"/>
      <c r="AS45" s="3292"/>
      <c r="AT45" s="3292"/>
      <c r="AU45" s="3293" t="str">
        <f t="shared" si="12"/>
        <v/>
      </c>
      <c r="AV45" s="3293" t="str">
        <f t="shared" si="13"/>
        <v/>
      </c>
      <c r="AW45" s="3294"/>
      <c r="AX45" s="3236"/>
      <c r="AY45" s="3244"/>
      <c r="AZ45" s="3295" t="s">
        <v>4507</v>
      </c>
      <c r="BA45" s="3296" t="str">
        <f t="shared" si="11"/>
        <v>签约</v>
      </c>
      <c r="BB45" s="3226" t="s">
        <v>4423</v>
      </c>
      <c r="BC45" s="3226"/>
      <c r="BD45" s="3292">
        <f>VLOOKUP(B45,[3]Sheet1!A$1:B$65536,2,0)</f>
        <v>43748</v>
      </c>
      <c r="BE45" s="3297" t="s">
        <v>4424</v>
      </c>
      <c r="BG45" s="3297">
        <f>IFERROR(VLOOKUP(B45,[3]Sheet2!A$1:B$65536,2,FALSE),0)</f>
        <v>0</v>
      </c>
      <c r="BI45" s="3297">
        <f>IFERROR(VLOOKUP(B45,[3]Sheet2!A$1:C$65536,2,FALSE),0)</f>
        <v>0</v>
      </c>
      <c r="BJ45" s="3297">
        <f>IFERROR(VLOOKUP(B45,[3]Sheet2!A$1:C$65536,3,FALSE),0)</f>
        <v>0</v>
      </c>
    </row>
    <row r="46" spans="1:62" s="3297" customFormat="1" ht="20.25" customHeight="1">
      <c r="A46" s="3226">
        <v>44</v>
      </c>
      <c r="B46" s="3226" t="s">
        <v>4540</v>
      </c>
      <c r="C46" s="3227" t="s">
        <v>3333</v>
      </c>
      <c r="D46" s="3228" t="s">
        <v>4541</v>
      </c>
      <c r="E46" s="3229">
        <v>43735</v>
      </c>
      <c r="F46" s="3230">
        <v>20000</v>
      </c>
      <c r="G46" s="3231">
        <v>129.58000000000001</v>
      </c>
      <c r="H46" s="3231" t="str">
        <f t="shared" si="0"/>
        <v>普通住宅</v>
      </c>
      <c r="I46" s="3238">
        <v>1928890</v>
      </c>
      <c r="J46" s="3239">
        <v>43737</v>
      </c>
      <c r="K46" s="3284">
        <f t="shared" si="1"/>
        <v>9</v>
      </c>
      <c r="L46" s="3238">
        <v>1883890</v>
      </c>
      <c r="M46" s="3235">
        <f t="shared" si="2"/>
        <v>14538.431856768018</v>
      </c>
      <c r="N46" s="3236">
        <v>1863890</v>
      </c>
      <c r="O46" s="3244">
        <f t="shared" si="3"/>
        <v>1883890</v>
      </c>
      <c r="P46" s="3244"/>
      <c r="Q46" s="3244"/>
      <c r="R46" s="3244">
        <f t="shared" si="4"/>
        <v>1883890</v>
      </c>
      <c r="S46" s="3244">
        <f t="shared" si="5"/>
        <v>1883890</v>
      </c>
      <c r="T46" s="3236"/>
      <c r="U46" s="3236"/>
      <c r="V46" s="3236"/>
      <c r="W46" s="3236"/>
      <c r="X46" s="3244">
        <f t="shared" si="6"/>
        <v>1883890</v>
      </c>
      <c r="Y46" s="3244">
        <f t="shared" si="7"/>
        <v>0</v>
      </c>
      <c r="Z46" s="3285">
        <f t="shared" si="8"/>
        <v>1</v>
      </c>
      <c r="AA46" s="3226" t="s">
        <v>4416</v>
      </c>
      <c r="AB46" s="3255" t="s">
        <v>4444</v>
      </c>
      <c r="AC46" s="3226"/>
      <c r="AD46" s="3226"/>
      <c r="AE46" s="3226"/>
      <c r="AF46" s="3286"/>
      <c r="AG46" s="3286"/>
      <c r="AH46" s="3255"/>
      <c r="AI46" s="3255"/>
      <c r="AJ46" s="3255"/>
      <c r="AK46" s="3287" t="str">
        <f t="shared" si="9"/>
        <v/>
      </c>
      <c r="AL46" s="3288" t="str">
        <f t="shared" si="10"/>
        <v/>
      </c>
      <c r="AM46" s="3226"/>
      <c r="AN46" s="3289"/>
      <c r="AO46" s="3299"/>
      <c r="AP46" s="3299"/>
      <c r="AR46" s="3292"/>
      <c r="AS46" s="3292"/>
      <c r="AT46" s="3292"/>
      <c r="AU46" s="3293" t="str">
        <f t="shared" si="12"/>
        <v/>
      </c>
      <c r="AV46" s="3293" t="str">
        <f t="shared" si="13"/>
        <v/>
      </c>
      <c r="AW46" s="3294"/>
      <c r="AX46" s="3236"/>
      <c r="AY46" s="3244"/>
      <c r="AZ46" s="3295" t="s">
        <v>4422</v>
      </c>
      <c r="BA46" s="3296" t="str">
        <f t="shared" si="11"/>
        <v>签约</v>
      </c>
      <c r="BB46" s="3226" t="s">
        <v>4423</v>
      </c>
      <c r="BC46" s="3226"/>
      <c r="BD46" s="3292">
        <f>VLOOKUP(B46,[3]Sheet1!A$1:B$65536,2,0)</f>
        <v>43761</v>
      </c>
      <c r="BE46" s="3297" t="s">
        <v>4542</v>
      </c>
      <c r="BG46" s="3297">
        <f>IFERROR(VLOOKUP(B46,[3]Sheet2!A$1:B$65536,2,FALSE),0)</f>
        <v>0</v>
      </c>
      <c r="BI46" s="3297">
        <f>IFERROR(VLOOKUP(B46,[3]Sheet2!A$1:C$65536,2,FALSE),0)</f>
        <v>0</v>
      </c>
      <c r="BJ46" s="3297">
        <f>IFERROR(VLOOKUP(B46,[3]Sheet2!A$1:C$65536,3,FALSE),0)</f>
        <v>0</v>
      </c>
    </row>
    <row r="47" spans="1:62" s="3297" customFormat="1" ht="20.25" customHeight="1">
      <c r="A47" s="3226">
        <v>45</v>
      </c>
      <c r="B47" s="3226" t="s">
        <v>4543</v>
      </c>
      <c r="C47" s="3227" t="s">
        <v>3333</v>
      </c>
      <c r="D47" s="3228" t="s">
        <v>4544</v>
      </c>
      <c r="E47" s="3229">
        <v>43735</v>
      </c>
      <c r="F47" s="3230">
        <v>20000</v>
      </c>
      <c r="G47" s="3231">
        <v>129.58000000000001</v>
      </c>
      <c r="H47" s="3231" t="str">
        <f t="shared" si="0"/>
        <v>普通住宅</v>
      </c>
      <c r="I47" s="3230">
        <v>1922211</v>
      </c>
      <c r="J47" s="3229">
        <v>43738</v>
      </c>
      <c r="K47" s="3284">
        <f t="shared" si="1"/>
        <v>9</v>
      </c>
      <c r="L47" s="3230">
        <v>1902211</v>
      </c>
      <c r="M47" s="3235">
        <f t="shared" si="2"/>
        <v>14679.819416576631</v>
      </c>
      <c r="N47" s="3236">
        <v>1282211</v>
      </c>
      <c r="O47" s="3244">
        <f t="shared" si="3"/>
        <v>1902211</v>
      </c>
      <c r="P47" s="3244"/>
      <c r="Q47" s="3244"/>
      <c r="R47" s="3244">
        <f t="shared" si="4"/>
        <v>1302211</v>
      </c>
      <c r="S47" s="3244">
        <f t="shared" si="5"/>
        <v>1302211</v>
      </c>
      <c r="T47" s="3236"/>
      <c r="U47" s="3236"/>
      <c r="V47" s="3236"/>
      <c r="W47" s="3236">
        <v>600000</v>
      </c>
      <c r="X47" s="3244">
        <f t="shared" si="6"/>
        <v>1902211</v>
      </c>
      <c r="Y47" s="3244">
        <f t="shared" si="7"/>
        <v>0</v>
      </c>
      <c r="Z47" s="3285">
        <f t="shared" si="8"/>
        <v>1</v>
      </c>
      <c r="AA47" s="3226" t="s">
        <v>4416</v>
      </c>
      <c r="AB47" s="3255" t="s">
        <v>4417</v>
      </c>
      <c r="AC47" s="3226" t="s">
        <v>4545</v>
      </c>
      <c r="AD47" s="3286"/>
      <c r="AE47" s="3286"/>
      <c r="AF47" s="3286"/>
      <c r="AG47" s="3286"/>
      <c r="AH47" s="3226"/>
      <c r="AI47" s="3255"/>
      <c r="AJ47" s="3255"/>
      <c r="AK47" s="3287" t="str">
        <f t="shared" si="9"/>
        <v/>
      </c>
      <c r="AL47" s="3288" t="str">
        <f t="shared" si="10"/>
        <v/>
      </c>
      <c r="AM47" s="3226"/>
      <c r="AN47" s="3289"/>
      <c r="AO47" s="3300" t="s">
        <v>4419</v>
      </c>
      <c r="AP47" s="3300" t="s">
        <v>4427</v>
      </c>
      <c r="AQ47" s="3300"/>
      <c r="AR47" s="3292">
        <v>43767</v>
      </c>
      <c r="AS47" s="3292">
        <v>43767</v>
      </c>
      <c r="AT47" s="3292">
        <v>43853</v>
      </c>
      <c r="AU47" s="3293">
        <f t="shared" si="12"/>
        <v>2020</v>
      </c>
      <c r="AV47" s="3293">
        <f t="shared" si="13"/>
        <v>1</v>
      </c>
      <c r="AW47" s="3294" t="s">
        <v>4453</v>
      </c>
      <c r="AX47" s="3236">
        <v>600000</v>
      </c>
      <c r="AY47" s="3244"/>
      <c r="AZ47" s="3295" t="s">
        <v>4437</v>
      </c>
      <c r="BA47" s="3296" t="str">
        <f t="shared" si="11"/>
        <v>签约</v>
      </c>
      <c r="BB47" s="3226" t="s">
        <v>4423</v>
      </c>
      <c r="BC47" s="3226"/>
      <c r="BD47" s="3292">
        <f>VLOOKUP(B47,[3]Sheet1!A$1:B$65536,2,0)</f>
        <v>43748</v>
      </c>
      <c r="BE47" s="3297" t="s">
        <v>4465</v>
      </c>
      <c r="BG47" s="3297">
        <f>IFERROR(VLOOKUP(B47,[3]Sheet2!A$1:B$65536,2,FALSE),0)</f>
        <v>0</v>
      </c>
      <c r="BI47" s="3297">
        <f>IFERROR(VLOOKUP(B47,[3]Sheet2!A$1:C$65536,2,FALSE),0)</f>
        <v>0</v>
      </c>
      <c r="BJ47" s="3297">
        <f>IFERROR(VLOOKUP(B47,[3]Sheet2!A$1:C$65536,3,FALSE),0)</f>
        <v>0</v>
      </c>
    </row>
    <row r="48" spans="1:62" s="3297" customFormat="1" ht="20.25" customHeight="1">
      <c r="A48" s="3226">
        <v>46</v>
      </c>
      <c r="B48" s="3226" t="s">
        <v>4546</v>
      </c>
      <c r="C48" s="3227" t="s">
        <v>3333</v>
      </c>
      <c r="D48" s="3228" t="s">
        <v>4547</v>
      </c>
      <c r="E48" s="3229">
        <v>43735</v>
      </c>
      <c r="F48" s="3230">
        <v>20000</v>
      </c>
      <c r="G48" s="3231">
        <v>129.58000000000001</v>
      </c>
      <c r="H48" s="3231" t="str">
        <f t="shared" si="0"/>
        <v>普通住宅</v>
      </c>
      <c r="I48" s="3238">
        <v>1915531</v>
      </c>
      <c r="J48" s="3239">
        <v>43737</v>
      </c>
      <c r="K48" s="3284">
        <f t="shared" si="1"/>
        <v>9</v>
      </c>
      <c r="L48" s="3238">
        <v>1880531</v>
      </c>
      <c r="M48" s="3235">
        <f t="shared" si="2"/>
        <v>14512.509646550392</v>
      </c>
      <c r="N48" s="3236">
        <v>860531</v>
      </c>
      <c r="O48" s="3244">
        <f t="shared" si="3"/>
        <v>1880531</v>
      </c>
      <c r="P48" s="3244"/>
      <c r="Q48" s="3244"/>
      <c r="R48" s="3244">
        <f t="shared" si="4"/>
        <v>880531</v>
      </c>
      <c r="S48" s="3244">
        <f t="shared" si="5"/>
        <v>880531</v>
      </c>
      <c r="T48" s="3236"/>
      <c r="U48" s="3236"/>
      <c r="V48" s="3236">
        <v>1000000</v>
      </c>
      <c r="W48" s="3236"/>
      <c r="X48" s="3244">
        <f t="shared" si="6"/>
        <v>1880531</v>
      </c>
      <c r="Y48" s="3244">
        <f t="shared" si="7"/>
        <v>0</v>
      </c>
      <c r="Z48" s="3285">
        <f t="shared" si="8"/>
        <v>1</v>
      </c>
      <c r="AA48" s="3226" t="s">
        <v>4416</v>
      </c>
      <c r="AB48" s="3255" t="s">
        <v>4417</v>
      </c>
      <c r="AC48" s="3226" t="s">
        <v>4418</v>
      </c>
      <c r="AD48" s="3286" t="s">
        <v>4419</v>
      </c>
      <c r="AE48" s="3286" t="s">
        <v>4420</v>
      </c>
      <c r="AF48" s="3286"/>
      <c r="AG48" s="3286"/>
      <c r="AH48" s="3255">
        <v>43737</v>
      </c>
      <c r="AI48" s="3255">
        <v>43746</v>
      </c>
      <c r="AJ48" s="3255">
        <v>43761</v>
      </c>
      <c r="AK48" s="3287">
        <f t="shared" si="9"/>
        <v>2019</v>
      </c>
      <c r="AL48" s="3288">
        <f t="shared" si="10"/>
        <v>10</v>
      </c>
      <c r="AM48" s="3302" t="s">
        <v>4421</v>
      </c>
      <c r="AN48" s="3298">
        <v>1000000</v>
      </c>
      <c r="AO48" s="3300"/>
      <c r="AP48" s="3299"/>
      <c r="AQ48" s="3300"/>
      <c r="AR48" s="3292"/>
      <c r="AS48" s="3292"/>
      <c r="AT48" s="3292"/>
      <c r="AU48" s="3293" t="str">
        <f t="shared" si="12"/>
        <v/>
      </c>
      <c r="AV48" s="3293" t="str">
        <f t="shared" si="13"/>
        <v/>
      </c>
      <c r="AW48" s="3294"/>
      <c r="AX48" s="3236"/>
      <c r="AY48" s="3244"/>
      <c r="AZ48" s="3295" t="s">
        <v>4422</v>
      </c>
      <c r="BA48" s="3296" t="str">
        <f t="shared" si="11"/>
        <v>签约</v>
      </c>
      <c r="BB48" s="3226" t="s">
        <v>4423</v>
      </c>
      <c r="BC48" s="3226"/>
      <c r="BD48" s="3292">
        <f>VLOOKUP(B48,[3]Sheet1!A$1:B$65536,2,0)</f>
        <v>43749</v>
      </c>
      <c r="BE48" s="3297" t="s">
        <v>4465</v>
      </c>
      <c r="BG48" s="3297">
        <f>IFERROR(VLOOKUP(B48,[3]Sheet2!A$1:B$65536,2,FALSE),0)</f>
        <v>0</v>
      </c>
      <c r="BI48" s="3297">
        <f>IFERROR(VLOOKUP(B48,[3]Sheet2!A$1:C$65536,2,FALSE),0)</f>
        <v>0</v>
      </c>
      <c r="BJ48" s="3297">
        <f>IFERROR(VLOOKUP(B48,[3]Sheet2!A$1:C$65536,3,FALSE),0)</f>
        <v>0</v>
      </c>
    </row>
    <row r="49" spans="1:62" s="3297" customFormat="1" ht="20.25" customHeight="1">
      <c r="A49" s="3226">
        <v>47</v>
      </c>
      <c r="B49" s="3226" t="s">
        <v>4548</v>
      </c>
      <c r="C49" s="3227" t="s">
        <v>3333</v>
      </c>
      <c r="D49" s="3228" t="s">
        <v>4549</v>
      </c>
      <c r="E49" s="3229">
        <v>43735</v>
      </c>
      <c r="F49" s="3230">
        <v>20000</v>
      </c>
      <c r="G49" s="3231">
        <v>129.58000000000001</v>
      </c>
      <c r="H49" s="3231" t="str">
        <f t="shared" si="0"/>
        <v>普通住宅</v>
      </c>
      <c r="I49" s="3230">
        <v>1908852</v>
      </c>
      <c r="J49" s="3229">
        <v>43737</v>
      </c>
      <c r="K49" s="3284">
        <f t="shared" si="1"/>
        <v>9</v>
      </c>
      <c r="L49" s="3230">
        <v>1817636</v>
      </c>
      <c r="M49" s="3235">
        <f t="shared" si="2"/>
        <v>14027.133816947058</v>
      </c>
      <c r="N49" s="3236">
        <f>530000+467636</f>
        <v>997636</v>
      </c>
      <c r="O49" s="3244">
        <f t="shared" si="3"/>
        <v>1817636</v>
      </c>
      <c r="P49" s="3244"/>
      <c r="Q49" s="3244"/>
      <c r="R49" s="3244">
        <f t="shared" si="4"/>
        <v>1017636</v>
      </c>
      <c r="S49" s="3244">
        <f t="shared" si="5"/>
        <v>0</v>
      </c>
      <c r="T49" s="3236">
        <v>1017636</v>
      </c>
      <c r="U49" s="3236"/>
      <c r="V49" s="3236">
        <v>800000</v>
      </c>
      <c r="W49" s="3236"/>
      <c r="X49" s="3244">
        <f t="shared" si="6"/>
        <v>1817636</v>
      </c>
      <c r="Y49" s="3244">
        <f t="shared" si="7"/>
        <v>0</v>
      </c>
      <c r="Z49" s="3285">
        <f t="shared" si="8"/>
        <v>1</v>
      </c>
      <c r="AA49" s="3226" t="s">
        <v>4416</v>
      </c>
      <c r="AB49" s="3255" t="s">
        <v>4417</v>
      </c>
      <c r="AC49" s="3226" t="s">
        <v>4418</v>
      </c>
      <c r="AD49" s="3286" t="s">
        <v>4419</v>
      </c>
      <c r="AE49" s="3286" t="s">
        <v>4420</v>
      </c>
      <c r="AF49" s="3286"/>
      <c r="AG49" s="3286"/>
      <c r="AH49" s="3255">
        <v>43737</v>
      </c>
      <c r="AI49" s="3255">
        <v>43748</v>
      </c>
      <c r="AJ49" s="3255">
        <v>43774</v>
      </c>
      <c r="AK49" s="3287">
        <f t="shared" si="9"/>
        <v>2019</v>
      </c>
      <c r="AL49" s="3288">
        <f t="shared" si="10"/>
        <v>11</v>
      </c>
      <c r="AM49" s="3226" t="s">
        <v>4421</v>
      </c>
      <c r="AN49" s="3289">
        <v>800000</v>
      </c>
      <c r="AO49" s="3300"/>
      <c r="AP49" s="3300"/>
      <c r="AQ49" s="3300"/>
      <c r="AR49" s="3292"/>
      <c r="AS49" s="3292"/>
      <c r="AT49" s="3292"/>
      <c r="AU49" s="3293" t="str">
        <f t="shared" si="12"/>
        <v/>
      </c>
      <c r="AV49" s="3293" t="str">
        <f t="shared" si="13"/>
        <v/>
      </c>
      <c r="AW49" s="3294"/>
      <c r="AX49" s="3236"/>
      <c r="AY49" s="3244"/>
      <c r="AZ49" s="3295" t="s">
        <v>4422</v>
      </c>
      <c r="BA49" s="3296" t="str">
        <f t="shared" si="11"/>
        <v>签约</v>
      </c>
      <c r="BB49" s="3226" t="s">
        <v>4423</v>
      </c>
      <c r="BC49" s="3226"/>
      <c r="BD49" s="3292">
        <f>VLOOKUP(B49,[3]Sheet1!A$1:B$65536,2,0)</f>
        <v>43750</v>
      </c>
      <c r="BE49" s="3297" t="s">
        <v>4434</v>
      </c>
      <c r="BG49" s="3297">
        <f>IFERROR(VLOOKUP(B49,[3]Sheet2!A$1:B$65536,2,FALSE),0)</f>
        <v>0</v>
      </c>
      <c r="BI49" s="3297">
        <f>IFERROR(VLOOKUP(B49,[3]Sheet2!A$1:C$65536,2,FALSE),0)</f>
        <v>0</v>
      </c>
      <c r="BJ49" s="3297">
        <f>IFERROR(VLOOKUP(B49,[3]Sheet2!A$1:C$65536,3,FALSE),0)</f>
        <v>0</v>
      </c>
    </row>
    <row r="50" spans="1:62" s="3297" customFormat="1" ht="20.25" customHeight="1">
      <c r="A50" s="3226">
        <v>48</v>
      </c>
      <c r="B50" s="3226" t="s">
        <v>4550</v>
      </c>
      <c r="C50" s="3227" t="s">
        <v>3333</v>
      </c>
      <c r="D50" s="3228" t="s">
        <v>4551</v>
      </c>
      <c r="E50" s="3229">
        <v>43735</v>
      </c>
      <c r="F50" s="3230">
        <v>20000</v>
      </c>
      <c r="G50" s="3231">
        <v>129.58000000000001</v>
      </c>
      <c r="H50" s="3231" t="str">
        <f t="shared" si="0"/>
        <v>普通住宅</v>
      </c>
      <c r="I50" s="3238">
        <v>1902172</v>
      </c>
      <c r="J50" s="3239">
        <v>43736</v>
      </c>
      <c r="K50" s="3284">
        <f t="shared" si="1"/>
        <v>9</v>
      </c>
      <c r="L50" s="3238">
        <v>1857172</v>
      </c>
      <c r="M50" s="3235">
        <f t="shared" si="2"/>
        <v>14332.242630035498</v>
      </c>
      <c r="N50" s="3236">
        <v>1837172</v>
      </c>
      <c r="O50" s="3244">
        <f t="shared" si="3"/>
        <v>1857172</v>
      </c>
      <c r="P50" s="3244"/>
      <c r="Q50" s="3244"/>
      <c r="R50" s="3244">
        <f t="shared" si="4"/>
        <v>1857172</v>
      </c>
      <c r="S50" s="3244">
        <f t="shared" si="5"/>
        <v>1857172</v>
      </c>
      <c r="T50" s="3236"/>
      <c r="U50" s="3236"/>
      <c r="V50" s="3236"/>
      <c r="W50" s="3236"/>
      <c r="X50" s="3244">
        <f t="shared" si="6"/>
        <v>1857172</v>
      </c>
      <c r="Y50" s="3244">
        <f t="shared" si="7"/>
        <v>0</v>
      </c>
      <c r="Z50" s="3285">
        <f t="shared" si="8"/>
        <v>1</v>
      </c>
      <c r="AA50" s="3226" t="s">
        <v>4416</v>
      </c>
      <c r="AB50" s="3255" t="s">
        <v>4444</v>
      </c>
      <c r="AC50" s="3226"/>
      <c r="AD50" s="3286"/>
      <c r="AE50" s="3286"/>
      <c r="AF50" s="3286"/>
      <c r="AG50" s="3286"/>
      <c r="AH50" s="3255"/>
      <c r="AI50" s="3255"/>
      <c r="AJ50" s="3255"/>
      <c r="AK50" s="3287" t="str">
        <f t="shared" si="9"/>
        <v/>
      </c>
      <c r="AL50" s="3288" t="str">
        <f t="shared" si="10"/>
        <v/>
      </c>
      <c r="AM50" s="3226"/>
      <c r="AN50" s="3298"/>
      <c r="AO50" s="3299"/>
      <c r="AP50" s="3299"/>
      <c r="AQ50" s="3300"/>
      <c r="AR50" s="3292"/>
      <c r="AS50" s="3292"/>
      <c r="AT50" s="3292"/>
      <c r="AU50" s="3293" t="str">
        <f t="shared" si="12"/>
        <v/>
      </c>
      <c r="AV50" s="3293" t="str">
        <f t="shared" si="13"/>
        <v/>
      </c>
      <c r="AW50" s="3294"/>
      <c r="AX50" s="3236"/>
      <c r="AY50" s="3244"/>
      <c r="AZ50" s="3295" t="s">
        <v>4429</v>
      </c>
      <c r="BA50" s="3296" t="str">
        <f t="shared" si="11"/>
        <v>签约</v>
      </c>
      <c r="BB50" s="3226" t="s">
        <v>4423</v>
      </c>
      <c r="BC50" s="3226" t="s">
        <v>4430</v>
      </c>
      <c r="BD50" s="3292">
        <f>VLOOKUP(B50,[3]Sheet1!A$1:B$65536,2,0)</f>
        <v>43748</v>
      </c>
      <c r="BE50" s="3297" t="s">
        <v>4367</v>
      </c>
      <c r="BG50" s="3297">
        <f>IFERROR(VLOOKUP(B50,[3]Sheet2!A$1:B$65536,2,FALSE),0)</f>
        <v>0</v>
      </c>
      <c r="BI50" s="3297">
        <f>IFERROR(VLOOKUP(B50,[3]Sheet2!A$1:C$65536,2,FALSE),0)</f>
        <v>0</v>
      </c>
      <c r="BJ50" s="3297">
        <f>IFERROR(VLOOKUP(B50,[3]Sheet2!A$1:C$65536,3,FALSE),0)</f>
        <v>0</v>
      </c>
    </row>
    <row r="51" spans="1:62" s="3297" customFormat="1" ht="19.5" customHeight="1">
      <c r="A51" s="3226">
        <v>49</v>
      </c>
      <c r="B51" s="3226" t="s">
        <v>4552</v>
      </c>
      <c r="C51" s="3227" t="s">
        <v>3333</v>
      </c>
      <c r="D51" s="3228" t="s">
        <v>3429</v>
      </c>
      <c r="E51" s="3229">
        <v>43735</v>
      </c>
      <c r="F51" s="3230">
        <v>20000</v>
      </c>
      <c r="G51" s="3231">
        <v>129.58000000000001</v>
      </c>
      <c r="H51" s="3231" t="str">
        <f t="shared" si="0"/>
        <v>普通住宅</v>
      </c>
      <c r="I51" s="3230">
        <v>1895493</v>
      </c>
      <c r="J51" s="3229">
        <v>43736</v>
      </c>
      <c r="K51" s="3284">
        <f t="shared" si="1"/>
        <v>9</v>
      </c>
      <c r="L51" s="3230">
        <v>1875493</v>
      </c>
      <c r="M51" s="3235">
        <f t="shared" si="2"/>
        <v>14473.630189844111</v>
      </c>
      <c r="N51" s="3236">
        <v>1155493</v>
      </c>
      <c r="O51" s="3244">
        <f t="shared" si="3"/>
        <v>1875493</v>
      </c>
      <c r="P51" s="3244"/>
      <c r="Q51" s="3244"/>
      <c r="R51" s="3244">
        <f t="shared" si="4"/>
        <v>1175493</v>
      </c>
      <c r="S51" s="3244">
        <f t="shared" si="5"/>
        <v>1175493</v>
      </c>
      <c r="T51" s="3236"/>
      <c r="U51" s="3236"/>
      <c r="V51" s="3236">
        <v>400000</v>
      </c>
      <c r="W51" s="3236">
        <v>300000</v>
      </c>
      <c r="X51" s="3244">
        <f t="shared" si="6"/>
        <v>1875493</v>
      </c>
      <c r="Y51" s="3244">
        <f t="shared" si="7"/>
        <v>0</v>
      </c>
      <c r="Z51" s="3285">
        <f t="shared" si="8"/>
        <v>1</v>
      </c>
      <c r="AA51" s="3226" t="s">
        <v>4416</v>
      </c>
      <c r="AB51" s="3255" t="s">
        <v>4417</v>
      </c>
      <c r="AC51" s="3226" t="s">
        <v>4460</v>
      </c>
      <c r="AD51" s="3286" t="s">
        <v>4419</v>
      </c>
      <c r="AE51" s="3286" t="s">
        <v>4427</v>
      </c>
      <c r="AF51" s="3286"/>
      <c r="AG51" s="3286"/>
      <c r="AH51" s="3255">
        <v>43736</v>
      </c>
      <c r="AI51" s="3255">
        <v>43756</v>
      </c>
      <c r="AJ51" s="3255">
        <v>43808</v>
      </c>
      <c r="AK51" s="3287">
        <f t="shared" si="9"/>
        <v>2019</v>
      </c>
      <c r="AL51" s="3288">
        <f t="shared" si="10"/>
        <v>12</v>
      </c>
      <c r="AM51" s="3226" t="s">
        <v>4474</v>
      </c>
      <c r="AN51" s="3289">
        <v>400000</v>
      </c>
      <c r="AO51" s="3300" t="s">
        <v>4419</v>
      </c>
      <c r="AP51" s="3300" t="s">
        <v>4427</v>
      </c>
      <c r="AQ51" s="3300"/>
      <c r="AR51" s="3292">
        <v>43756</v>
      </c>
      <c r="AS51" s="3292">
        <v>43756</v>
      </c>
      <c r="AT51" s="3292">
        <v>43853</v>
      </c>
      <c r="AU51" s="3293">
        <f t="shared" si="12"/>
        <v>2020</v>
      </c>
      <c r="AV51" s="3293">
        <f t="shared" si="13"/>
        <v>1</v>
      </c>
      <c r="AW51" s="3294" t="s">
        <v>4453</v>
      </c>
      <c r="AX51" s="3236">
        <v>300000</v>
      </c>
      <c r="AY51" s="3244"/>
      <c r="AZ51" s="3295" t="s">
        <v>4454</v>
      </c>
      <c r="BA51" s="3296" t="str">
        <f t="shared" si="11"/>
        <v>签约</v>
      </c>
      <c r="BB51" s="3226" t="s">
        <v>4455</v>
      </c>
      <c r="BC51" s="3226"/>
      <c r="BD51" s="3292">
        <f>VLOOKUP(B51,[3]Sheet1!A$1:B$65536,2,0)</f>
        <v>43748</v>
      </c>
      <c r="BE51" s="3297" t="s">
        <v>4367</v>
      </c>
      <c r="BG51" s="3297">
        <f>IFERROR(VLOOKUP(B51,[3]Sheet2!A$1:B$65536,2,FALSE),0)</f>
        <v>0</v>
      </c>
      <c r="BI51" s="3297">
        <f>IFERROR(VLOOKUP(B51,[3]Sheet2!A$1:C$65536,2,FALSE),0)</f>
        <v>0</v>
      </c>
      <c r="BJ51" s="3297">
        <f>IFERROR(VLOOKUP(B51,[3]Sheet2!A$1:C$65536,3,FALSE),0)</f>
        <v>0</v>
      </c>
    </row>
    <row r="52" spans="1:62" s="3297" customFormat="1" ht="20.25" customHeight="1">
      <c r="A52" s="3226">
        <v>50</v>
      </c>
      <c r="B52" s="3310" t="s">
        <v>4553</v>
      </c>
      <c r="C52" s="3227" t="s">
        <v>3333</v>
      </c>
      <c r="D52" s="3228"/>
      <c r="E52" s="3229"/>
      <c r="F52" s="3230"/>
      <c r="G52" s="3231">
        <v>129.58000000000001</v>
      </c>
      <c r="H52" s="3231" t="str">
        <f t="shared" si="0"/>
        <v>普通住宅</v>
      </c>
      <c r="I52" s="3230">
        <v>1862096</v>
      </c>
      <c r="J52" s="3229"/>
      <c r="K52" s="3284" t="str">
        <f t="shared" si="1"/>
        <v/>
      </c>
      <c r="L52" s="3230"/>
      <c r="M52" s="3235">
        <f t="shared" si="2"/>
        <v>0</v>
      </c>
      <c r="N52" s="3236"/>
      <c r="O52" s="3244">
        <f t="shared" si="3"/>
        <v>0</v>
      </c>
      <c r="P52" s="3244"/>
      <c r="Q52" s="3244"/>
      <c r="R52" s="3244">
        <f t="shared" si="4"/>
        <v>0</v>
      </c>
      <c r="S52" s="3244">
        <f t="shared" si="5"/>
        <v>0</v>
      </c>
      <c r="T52" s="3236"/>
      <c r="U52" s="3236"/>
      <c r="V52" s="3236"/>
      <c r="W52" s="3236"/>
      <c r="X52" s="3244">
        <f t="shared" si="6"/>
        <v>0</v>
      </c>
      <c r="Y52" s="3244">
        <f t="shared" si="7"/>
        <v>0</v>
      </c>
      <c r="Z52" s="3285" t="e">
        <f t="shared" si="8"/>
        <v>#DIV/0!</v>
      </c>
      <c r="AA52" s="3226"/>
      <c r="AB52" s="3255"/>
      <c r="AC52" s="3226"/>
      <c r="AD52" s="3226"/>
      <c r="AE52" s="3226"/>
      <c r="AF52" s="3286"/>
      <c r="AG52" s="3286"/>
      <c r="AH52" s="3226"/>
      <c r="AI52" s="3255"/>
      <c r="AJ52" s="3255"/>
      <c r="AK52" s="3287" t="str">
        <f t="shared" si="9"/>
        <v/>
      </c>
      <c r="AL52" s="3288" t="str">
        <f t="shared" si="10"/>
        <v/>
      </c>
      <c r="AM52" s="3226"/>
      <c r="AN52" s="3289"/>
      <c r="AO52" s="3299"/>
      <c r="AP52" s="3299"/>
      <c r="AQ52" s="3300"/>
      <c r="AR52" s="3292"/>
      <c r="AS52" s="3292"/>
      <c r="AT52" s="3292"/>
      <c r="AU52" s="3293" t="str">
        <f t="shared" si="12"/>
        <v/>
      </c>
      <c r="AV52" s="3293" t="str">
        <f t="shared" si="13"/>
        <v/>
      </c>
      <c r="AW52" s="3294"/>
      <c r="AX52" s="3236"/>
      <c r="AY52" s="3244"/>
      <c r="AZ52" s="3295"/>
      <c r="BA52" s="3296" t="str">
        <f t="shared" si="11"/>
        <v>未售</v>
      </c>
      <c r="BB52" s="3226"/>
      <c r="BC52" s="3226"/>
      <c r="BD52" s="3292"/>
      <c r="BG52" s="3297">
        <f>IFERROR(VLOOKUP(B52,[3]Sheet2!A$1:B$65536,2,FALSE),0)</f>
        <v>0</v>
      </c>
      <c r="BI52" s="3297">
        <f>IFERROR(VLOOKUP(B52,[3]Sheet2!A$1:C$65536,2,FALSE),0)</f>
        <v>0</v>
      </c>
      <c r="BJ52" s="3297">
        <f>IFERROR(VLOOKUP(B52,[3]Sheet2!A$1:C$65536,3,FALSE),0)</f>
        <v>0</v>
      </c>
    </row>
    <row r="53" spans="1:62" s="3297" customFormat="1" ht="20.25" customHeight="1">
      <c r="A53" s="3226">
        <v>51</v>
      </c>
      <c r="B53" s="3226" t="s">
        <v>4554</v>
      </c>
      <c r="C53" s="3227" t="s">
        <v>3333</v>
      </c>
      <c r="D53" s="3228" t="s">
        <v>4555</v>
      </c>
      <c r="E53" s="3229">
        <v>43735</v>
      </c>
      <c r="F53" s="3230">
        <v>20000</v>
      </c>
      <c r="G53" s="3231">
        <v>129.58000000000001</v>
      </c>
      <c r="H53" s="3231" t="str">
        <f t="shared" si="0"/>
        <v>普通住宅</v>
      </c>
      <c r="I53" s="3230">
        <v>1822020</v>
      </c>
      <c r="J53" s="3229">
        <v>43738</v>
      </c>
      <c r="K53" s="3284">
        <f t="shared" si="1"/>
        <v>9</v>
      </c>
      <c r="L53" s="3230">
        <v>1777020</v>
      </c>
      <c r="M53" s="3235">
        <f t="shared" si="2"/>
        <v>13713.690384318566</v>
      </c>
      <c r="N53" s="3236">
        <f>1157020+600000</f>
        <v>1757020</v>
      </c>
      <c r="O53" s="3244">
        <f t="shared" si="3"/>
        <v>1777020</v>
      </c>
      <c r="P53" s="3244"/>
      <c r="Q53" s="3244"/>
      <c r="R53" s="3244">
        <f t="shared" si="4"/>
        <v>1777020</v>
      </c>
      <c r="S53" s="3244">
        <f t="shared" si="5"/>
        <v>1777020</v>
      </c>
      <c r="T53" s="3236"/>
      <c r="U53" s="3236"/>
      <c r="V53" s="3236"/>
      <c r="W53" s="3236"/>
      <c r="X53" s="3244">
        <f t="shared" si="6"/>
        <v>1777020</v>
      </c>
      <c r="Y53" s="3244">
        <f t="shared" si="7"/>
        <v>0</v>
      </c>
      <c r="Z53" s="3285">
        <f t="shared" si="8"/>
        <v>1</v>
      </c>
      <c r="AA53" s="3226" t="s">
        <v>4416</v>
      </c>
      <c r="AB53" s="3255" t="s">
        <v>4444</v>
      </c>
      <c r="AC53" s="3226"/>
      <c r="AD53" s="3226"/>
      <c r="AE53" s="3226"/>
      <c r="AF53" s="3286"/>
      <c r="AG53" s="3286"/>
      <c r="AH53" s="3255"/>
      <c r="AI53" s="3255"/>
      <c r="AJ53" s="3255"/>
      <c r="AK53" s="3287" t="str">
        <f t="shared" si="9"/>
        <v/>
      </c>
      <c r="AL53" s="3288" t="str">
        <f t="shared" si="10"/>
        <v/>
      </c>
      <c r="AM53" s="3226"/>
      <c r="AN53" s="3289"/>
      <c r="AO53" s="3300"/>
      <c r="AP53" s="3300"/>
      <c r="AQ53" s="3300"/>
      <c r="AR53" s="3292"/>
      <c r="AS53" s="3292"/>
      <c r="AT53" s="3292"/>
      <c r="AU53" s="3293" t="str">
        <f t="shared" si="12"/>
        <v/>
      </c>
      <c r="AV53" s="3293" t="str">
        <f t="shared" si="13"/>
        <v/>
      </c>
      <c r="AW53" s="3294"/>
      <c r="AX53" s="3236"/>
      <c r="AY53" s="3244"/>
      <c r="AZ53" s="3295" t="s">
        <v>4448</v>
      </c>
      <c r="BA53" s="3296" t="str">
        <f t="shared" si="11"/>
        <v>签约</v>
      </c>
      <c r="BB53" s="3226" t="s">
        <v>4423</v>
      </c>
      <c r="BC53" s="3226"/>
      <c r="BD53" s="3292">
        <f>VLOOKUP(B53,[3]Sheet1!A$1:B$65536,2,0)</f>
        <v>43746</v>
      </c>
      <c r="BE53" s="3297" t="s">
        <v>4424</v>
      </c>
      <c r="BG53" s="3297">
        <f>IFERROR(VLOOKUP(B53,[3]Sheet2!A$1:B$65536,2,FALSE),0)</f>
        <v>0</v>
      </c>
      <c r="BI53" s="3297">
        <f>IFERROR(VLOOKUP(B53,[3]Sheet2!A$1:C$65536,2,FALSE),0)</f>
        <v>0</v>
      </c>
      <c r="BJ53" s="3297">
        <f>IFERROR(VLOOKUP(B53,[3]Sheet2!A$1:C$65536,3,FALSE),0)</f>
        <v>0</v>
      </c>
    </row>
    <row r="54" spans="1:62" s="3297" customFormat="1" ht="20.25" customHeight="1">
      <c r="A54" s="3226">
        <v>52</v>
      </c>
      <c r="B54" s="3226" t="s">
        <v>4556</v>
      </c>
      <c r="C54" s="3227" t="s">
        <v>3333</v>
      </c>
      <c r="D54" s="3228" t="s">
        <v>4557</v>
      </c>
      <c r="E54" s="3229">
        <v>43735</v>
      </c>
      <c r="F54" s="3230">
        <v>20000</v>
      </c>
      <c r="G54" s="3231">
        <v>129.58000000000001</v>
      </c>
      <c r="H54" s="3231" t="str">
        <f t="shared" si="0"/>
        <v>普通住宅</v>
      </c>
      <c r="I54" s="3230">
        <v>1768585</v>
      </c>
      <c r="J54" s="3229">
        <v>43736</v>
      </c>
      <c r="K54" s="3284">
        <f t="shared" si="1"/>
        <v>9</v>
      </c>
      <c r="L54" s="3230">
        <v>1733585</v>
      </c>
      <c r="M54" s="3235">
        <f t="shared" si="2"/>
        <v>13378.492051242474</v>
      </c>
      <c r="N54" s="3236">
        <v>513585</v>
      </c>
      <c r="O54" s="3244">
        <f t="shared" si="3"/>
        <v>1733585</v>
      </c>
      <c r="P54" s="3244"/>
      <c r="Q54" s="3244"/>
      <c r="R54" s="3244">
        <f t="shared" si="4"/>
        <v>533585</v>
      </c>
      <c r="S54" s="3244">
        <f t="shared" si="5"/>
        <v>533585</v>
      </c>
      <c r="T54" s="3236"/>
      <c r="U54" s="3236"/>
      <c r="V54" s="3236">
        <v>1200000</v>
      </c>
      <c r="W54" s="3236"/>
      <c r="X54" s="3244">
        <f t="shared" si="6"/>
        <v>1733585</v>
      </c>
      <c r="Y54" s="3244">
        <f t="shared" si="7"/>
        <v>0</v>
      </c>
      <c r="Z54" s="3285">
        <f t="shared" si="8"/>
        <v>1</v>
      </c>
      <c r="AA54" s="3226" t="s">
        <v>4416</v>
      </c>
      <c r="AB54" s="3255" t="s">
        <v>4417</v>
      </c>
      <c r="AC54" s="3226" t="s">
        <v>4418</v>
      </c>
      <c r="AD54" s="3286" t="s">
        <v>4419</v>
      </c>
      <c r="AE54" s="3286" t="s">
        <v>4420</v>
      </c>
      <c r="AF54" s="3286"/>
      <c r="AG54" s="3286"/>
      <c r="AH54" s="3255">
        <v>43736</v>
      </c>
      <c r="AI54" s="3255">
        <v>43747</v>
      </c>
      <c r="AJ54" s="3255">
        <v>43770</v>
      </c>
      <c r="AK54" s="3287">
        <f t="shared" si="9"/>
        <v>2019</v>
      </c>
      <c r="AL54" s="3288">
        <f t="shared" si="10"/>
        <v>11</v>
      </c>
      <c r="AM54" s="3302" t="s">
        <v>4474</v>
      </c>
      <c r="AN54" s="3298">
        <v>1200000</v>
      </c>
      <c r="AO54" s="3300"/>
      <c r="AP54" s="3300"/>
      <c r="AQ54" s="3300"/>
      <c r="AR54" s="3292"/>
      <c r="AS54" s="3292"/>
      <c r="AT54" s="3292"/>
      <c r="AU54" s="3293" t="str">
        <f t="shared" si="12"/>
        <v/>
      </c>
      <c r="AV54" s="3293" t="str">
        <f t="shared" si="13"/>
        <v/>
      </c>
      <c r="AW54" s="3294"/>
      <c r="AX54" s="3236"/>
      <c r="AY54" s="3244"/>
      <c r="AZ54" s="3295" t="s">
        <v>4454</v>
      </c>
      <c r="BA54" s="3296" t="str">
        <f t="shared" si="11"/>
        <v>签约</v>
      </c>
      <c r="BB54" s="3226" t="s">
        <v>4455</v>
      </c>
      <c r="BC54" s="3226" t="s">
        <v>4430</v>
      </c>
      <c r="BD54" s="3292">
        <f>VLOOKUP(B54,[3]Sheet1!A$1:B$65536,2,0)</f>
        <v>43749</v>
      </c>
      <c r="BE54" s="3297" t="s">
        <v>4367</v>
      </c>
      <c r="BG54" s="3297">
        <f>IFERROR(VLOOKUP(B54,[3]Sheet2!A$1:B$65536,2,FALSE),0)</f>
        <v>0</v>
      </c>
      <c r="BI54" s="3297">
        <f>IFERROR(VLOOKUP(B54,[3]Sheet2!A$1:C$65536,2,FALSE),0)</f>
        <v>0</v>
      </c>
      <c r="BJ54" s="3297">
        <f>IFERROR(VLOOKUP(B54,[3]Sheet2!A$1:C$65536,3,FALSE),0)</f>
        <v>0</v>
      </c>
    </row>
    <row r="55" spans="1:62" s="3297" customFormat="1" ht="20.25" customHeight="1">
      <c r="A55" s="3226">
        <v>53</v>
      </c>
      <c r="B55" s="3226" t="s">
        <v>4558</v>
      </c>
      <c r="C55" s="3227" t="s">
        <v>3333</v>
      </c>
      <c r="D55" s="3228" t="s">
        <v>4559</v>
      </c>
      <c r="E55" s="3229">
        <v>43735</v>
      </c>
      <c r="F55" s="3230">
        <v>20000</v>
      </c>
      <c r="G55" s="3231">
        <v>127.06</v>
      </c>
      <c r="H55" s="3231" t="str">
        <f t="shared" si="0"/>
        <v>普通住宅</v>
      </c>
      <c r="I55" s="3238">
        <v>1629800</v>
      </c>
      <c r="J55" s="3239">
        <v>43751</v>
      </c>
      <c r="K55" s="3284">
        <f t="shared" si="1"/>
        <v>10</v>
      </c>
      <c r="L55" s="3238">
        <v>1584800</v>
      </c>
      <c r="M55" s="3235">
        <f t="shared" si="2"/>
        <v>12472.847473634503</v>
      </c>
      <c r="N55" s="3244">
        <f>464800+680000+420000</f>
        <v>1564800</v>
      </c>
      <c r="O55" s="3244">
        <f t="shared" si="3"/>
        <v>1584800</v>
      </c>
      <c r="P55" s="3244"/>
      <c r="Q55" s="3244"/>
      <c r="R55" s="3244">
        <f t="shared" si="4"/>
        <v>1584800</v>
      </c>
      <c r="S55" s="3244">
        <f t="shared" si="5"/>
        <v>1584800</v>
      </c>
      <c r="T55" s="3236"/>
      <c r="U55" s="3236"/>
      <c r="V55" s="3236"/>
      <c r="W55" s="3236"/>
      <c r="X55" s="3244">
        <f t="shared" si="6"/>
        <v>1584800</v>
      </c>
      <c r="Y55" s="3244">
        <f t="shared" si="7"/>
        <v>0</v>
      </c>
      <c r="Z55" s="3285">
        <f t="shared" si="8"/>
        <v>1</v>
      </c>
      <c r="AA55" s="3226" t="s">
        <v>4416</v>
      </c>
      <c r="AB55" s="3255" t="s">
        <v>4444</v>
      </c>
      <c r="AC55" s="3226"/>
      <c r="AD55" s="3286"/>
      <c r="AE55" s="3286"/>
      <c r="AF55" s="3286"/>
      <c r="AG55" s="3286"/>
      <c r="AH55" s="3226"/>
      <c r="AI55" s="3255"/>
      <c r="AJ55" s="3255"/>
      <c r="AK55" s="3287" t="str">
        <f t="shared" si="9"/>
        <v/>
      </c>
      <c r="AL55" s="3288" t="str">
        <f t="shared" si="10"/>
        <v/>
      </c>
      <c r="AM55" s="3226"/>
      <c r="AN55" s="3289"/>
      <c r="AO55" s="3299"/>
      <c r="AP55" s="3299"/>
      <c r="AQ55" s="3300"/>
      <c r="AR55" s="3292"/>
      <c r="AS55" s="3292"/>
      <c r="AT55" s="3292"/>
      <c r="AU55" s="3293" t="str">
        <f t="shared" si="12"/>
        <v/>
      </c>
      <c r="AV55" s="3293" t="str">
        <f t="shared" si="13"/>
        <v/>
      </c>
      <c r="AW55" s="3294"/>
      <c r="AX55" s="3236"/>
      <c r="AY55" s="3244"/>
      <c r="AZ55" s="3295" t="s">
        <v>4437</v>
      </c>
      <c r="BA55" s="3296" t="str">
        <f t="shared" si="11"/>
        <v>签约</v>
      </c>
      <c r="BB55" s="3226" t="s">
        <v>4423</v>
      </c>
      <c r="BC55" s="3226" t="s">
        <v>4430</v>
      </c>
      <c r="BD55" s="3292">
        <f>VLOOKUP(B55,[3]Sheet1!A$1:B$65536,2,0)</f>
        <v>43790</v>
      </c>
      <c r="BE55" s="3297" t="s">
        <v>4367</v>
      </c>
      <c r="BG55" s="3297">
        <f>IFERROR(VLOOKUP(B55,[3]Sheet2!A$1:B$65536,2,FALSE),0)</f>
        <v>0</v>
      </c>
      <c r="BI55" s="3297">
        <f>IFERROR(VLOOKUP(B55,[3]Sheet2!A$1:C$65536,2,FALSE),0)</f>
        <v>0</v>
      </c>
      <c r="BJ55" s="3297">
        <f>IFERROR(VLOOKUP(B55,[3]Sheet2!A$1:C$65536,3,FALSE),0)</f>
        <v>0</v>
      </c>
    </row>
    <row r="56" spans="1:62" s="3297" customFormat="1" ht="20.25" customHeight="1">
      <c r="A56" s="3226">
        <v>54</v>
      </c>
      <c r="B56" s="3226" t="s">
        <v>4560</v>
      </c>
      <c r="C56" s="3227" t="s">
        <v>3333</v>
      </c>
      <c r="D56" s="3228" t="s">
        <v>4561</v>
      </c>
      <c r="E56" s="3229">
        <v>43735</v>
      </c>
      <c r="F56" s="3230">
        <v>20000</v>
      </c>
      <c r="G56" s="3231">
        <v>148.91</v>
      </c>
      <c r="H56" s="3231" t="str">
        <f t="shared" si="0"/>
        <v>非普通住宅</v>
      </c>
      <c r="I56" s="3230">
        <v>2057709</v>
      </c>
      <c r="J56" s="3229">
        <v>43736</v>
      </c>
      <c r="K56" s="3284">
        <f t="shared" si="1"/>
        <v>9</v>
      </c>
      <c r="L56" s="3230">
        <v>2037709</v>
      </c>
      <c r="M56" s="3235">
        <f t="shared" si="2"/>
        <v>13684.164931838024</v>
      </c>
      <c r="N56" s="3236">
        <v>927709</v>
      </c>
      <c r="O56" s="3244">
        <f t="shared" si="3"/>
        <v>2037709</v>
      </c>
      <c r="P56" s="3244"/>
      <c r="Q56" s="3244"/>
      <c r="R56" s="3244">
        <f t="shared" si="4"/>
        <v>947709</v>
      </c>
      <c r="S56" s="3244">
        <f t="shared" si="5"/>
        <v>947709</v>
      </c>
      <c r="T56" s="3236"/>
      <c r="U56" s="3236"/>
      <c r="V56" s="3236">
        <v>490000</v>
      </c>
      <c r="W56" s="3236">
        <v>600000</v>
      </c>
      <c r="X56" s="3244">
        <f t="shared" si="6"/>
        <v>2037709</v>
      </c>
      <c r="Y56" s="3244">
        <f t="shared" si="7"/>
        <v>0</v>
      </c>
      <c r="Z56" s="3285">
        <f t="shared" si="8"/>
        <v>1</v>
      </c>
      <c r="AA56" s="3226" t="s">
        <v>4416</v>
      </c>
      <c r="AB56" s="3255" t="s">
        <v>4417</v>
      </c>
      <c r="AC56" s="3226" t="s">
        <v>4460</v>
      </c>
      <c r="AD56" s="3286" t="s">
        <v>4419</v>
      </c>
      <c r="AE56" s="3286" t="s">
        <v>4427</v>
      </c>
      <c r="AF56" s="3286"/>
      <c r="AG56" s="3286"/>
      <c r="AH56" s="3255">
        <v>43769</v>
      </c>
      <c r="AI56" s="3255">
        <v>43769</v>
      </c>
      <c r="AJ56" s="3255">
        <v>43787</v>
      </c>
      <c r="AK56" s="3287">
        <f t="shared" si="9"/>
        <v>2019</v>
      </c>
      <c r="AL56" s="3288">
        <f t="shared" si="10"/>
        <v>11</v>
      </c>
      <c r="AM56" s="3226" t="s">
        <v>4461</v>
      </c>
      <c r="AN56" s="3289">
        <v>490000</v>
      </c>
      <c r="AO56" s="3300" t="s">
        <v>4419</v>
      </c>
      <c r="AP56" s="3300" t="s">
        <v>4427</v>
      </c>
      <c r="AQ56" s="3300"/>
      <c r="AR56" s="3292">
        <v>43769</v>
      </c>
      <c r="AS56" s="3292">
        <v>43769</v>
      </c>
      <c r="AT56" s="3292">
        <v>43853</v>
      </c>
      <c r="AU56" s="3293">
        <f t="shared" si="12"/>
        <v>2020</v>
      </c>
      <c r="AV56" s="3293">
        <f t="shared" si="13"/>
        <v>1</v>
      </c>
      <c r="AW56" s="3294" t="s">
        <v>4453</v>
      </c>
      <c r="AX56" s="3236">
        <v>600000</v>
      </c>
      <c r="AY56" s="3244"/>
      <c r="AZ56" s="3295" t="s">
        <v>4437</v>
      </c>
      <c r="BA56" s="3296" t="str">
        <f t="shared" si="11"/>
        <v>签约</v>
      </c>
      <c r="BB56" s="3226" t="s">
        <v>4423</v>
      </c>
      <c r="BC56" s="3226"/>
      <c r="BD56" s="3292">
        <f>VLOOKUP(B56,[3]Sheet1!A$1:B$65536,2,0)</f>
        <v>43748</v>
      </c>
      <c r="BE56" s="3297" t="s">
        <v>4449</v>
      </c>
      <c r="BG56" s="3297">
        <f>IFERROR(VLOOKUP(B56,[3]Sheet2!A$1:B$65536,2,FALSE),0)</f>
        <v>0</v>
      </c>
      <c r="BI56" s="3297">
        <f>IFERROR(VLOOKUP(B56,[3]Sheet2!A$1:C$65536,2,FALSE),0)</f>
        <v>0</v>
      </c>
      <c r="BJ56" s="3297">
        <f>IFERROR(VLOOKUP(B56,[3]Sheet2!A$1:C$65536,3,FALSE),0)</f>
        <v>0</v>
      </c>
    </row>
    <row r="57" spans="1:62" s="3297" customFormat="1" ht="20.25" customHeight="1">
      <c r="A57" s="3226">
        <v>55</v>
      </c>
      <c r="B57" s="3226" t="s">
        <v>4562</v>
      </c>
      <c r="C57" s="3227" t="s">
        <v>3333</v>
      </c>
      <c r="D57" s="3228" t="s">
        <v>4563</v>
      </c>
      <c r="E57" s="3229">
        <v>43735</v>
      </c>
      <c r="F57" s="3230">
        <v>20000</v>
      </c>
      <c r="G57" s="3231">
        <v>148.86000000000001</v>
      </c>
      <c r="H57" s="3231" t="str">
        <f t="shared" si="0"/>
        <v>非普通住宅</v>
      </c>
      <c r="I57" s="3230">
        <v>2141430</v>
      </c>
      <c r="J57" s="3229">
        <v>43736</v>
      </c>
      <c r="K57" s="3284">
        <f t="shared" si="1"/>
        <v>9</v>
      </c>
      <c r="L57" s="3230">
        <v>2106430</v>
      </c>
      <c r="M57" s="3235">
        <f t="shared" si="2"/>
        <v>14150.409781002283</v>
      </c>
      <c r="N57" s="3236">
        <v>616430</v>
      </c>
      <c r="O57" s="3244">
        <f t="shared" si="3"/>
        <v>2106430</v>
      </c>
      <c r="P57" s="3244"/>
      <c r="Q57" s="3244"/>
      <c r="R57" s="3244">
        <f t="shared" si="4"/>
        <v>636430</v>
      </c>
      <c r="S57" s="3244">
        <f t="shared" si="5"/>
        <v>636430</v>
      </c>
      <c r="T57" s="3236"/>
      <c r="U57" s="3236"/>
      <c r="V57" s="3236">
        <v>1470000</v>
      </c>
      <c r="W57" s="3236"/>
      <c r="X57" s="3244">
        <f t="shared" si="6"/>
        <v>2106430</v>
      </c>
      <c r="Y57" s="3244">
        <f t="shared" si="7"/>
        <v>0</v>
      </c>
      <c r="Z57" s="3285">
        <f t="shared" si="8"/>
        <v>1</v>
      </c>
      <c r="AA57" s="3226" t="s">
        <v>4416</v>
      </c>
      <c r="AB57" s="3255" t="s">
        <v>4417</v>
      </c>
      <c r="AC57" s="3226" t="s">
        <v>4418</v>
      </c>
      <c r="AD57" s="3286" t="s">
        <v>4419</v>
      </c>
      <c r="AE57" s="3286" t="s">
        <v>4420</v>
      </c>
      <c r="AF57" s="3286"/>
      <c r="AG57" s="3286"/>
      <c r="AH57" s="3255">
        <v>43736</v>
      </c>
      <c r="AI57" s="3255">
        <v>43756</v>
      </c>
      <c r="AJ57" s="3255">
        <v>43769</v>
      </c>
      <c r="AK57" s="3287">
        <f t="shared" si="9"/>
        <v>2019</v>
      </c>
      <c r="AL57" s="3288">
        <f t="shared" si="10"/>
        <v>10</v>
      </c>
      <c r="AM57" s="3226" t="s">
        <v>4428</v>
      </c>
      <c r="AN57" s="3289">
        <v>1470000</v>
      </c>
      <c r="AO57" s="3300"/>
      <c r="AP57" s="3300"/>
      <c r="AQ57" s="3300"/>
      <c r="AR57" s="3292"/>
      <c r="AS57" s="3292"/>
      <c r="AT57" s="3292"/>
      <c r="AU57" s="3293" t="str">
        <f t="shared" si="12"/>
        <v/>
      </c>
      <c r="AV57" s="3293" t="str">
        <f t="shared" si="13"/>
        <v/>
      </c>
      <c r="AW57" s="3294"/>
      <c r="AX57" s="3236"/>
      <c r="AY57" s="3244"/>
      <c r="AZ57" s="3295" t="s">
        <v>4441</v>
      </c>
      <c r="BA57" s="3296" t="str">
        <f t="shared" si="11"/>
        <v>签约</v>
      </c>
      <c r="BB57" s="3226" t="s">
        <v>4423</v>
      </c>
      <c r="BC57" s="3226"/>
      <c r="BD57" s="3292">
        <f>VLOOKUP(B57,[3]Sheet1!A$1:B$65536,2,0)</f>
        <v>43750</v>
      </c>
      <c r="BE57" s="3297" t="s">
        <v>4424</v>
      </c>
      <c r="BG57" s="3297">
        <f>IFERROR(VLOOKUP(B57,[3]Sheet2!A$1:B$65536,2,FALSE),0)</f>
        <v>0</v>
      </c>
      <c r="BI57" s="3297">
        <f>IFERROR(VLOOKUP(B57,[3]Sheet2!A$1:C$65536,2,FALSE),0)</f>
        <v>0</v>
      </c>
      <c r="BJ57" s="3297">
        <f>IFERROR(VLOOKUP(B57,[3]Sheet2!A$1:C$65536,3,FALSE),0)</f>
        <v>0</v>
      </c>
    </row>
    <row r="58" spans="1:62" s="3309" customFormat="1" ht="20.25" customHeight="1">
      <c r="A58" s="3226">
        <v>56</v>
      </c>
      <c r="B58" s="3226" t="s">
        <v>4564</v>
      </c>
      <c r="C58" s="3227" t="s">
        <v>3333</v>
      </c>
      <c r="D58" s="3228" t="s">
        <v>4565</v>
      </c>
      <c r="E58" s="3229">
        <v>43735</v>
      </c>
      <c r="F58" s="3230">
        <v>20000</v>
      </c>
      <c r="G58" s="3231">
        <v>148.86000000000001</v>
      </c>
      <c r="H58" s="3231" t="str">
        <f t="shared" si="0"/>
        <v>非普通住宅</v>
      </c>
      <c r="I58" s="3241">
        <v>2133757</v>
      </c>
      <c r="J58" s="3242">
        <v>43738</v>
      </c>
      <c r="K58" s="3284">
        <f t="shared" si="1"/>
        <v>9</v>
      </c>
      <c r="L58" s="3241">
        <v>2035794</v>
      </c>
      <c r="M58" s="3235">
        <f t="shared" si="2"/>
        <v>13675.896815800079</v>
      </c>
      <c r="N58" s="3243">
        <f>615794+900000</f>
        <v>1515794</v>
      </c>
      <c r="O58" s="3244">
        <f t="shared" si="3"/>
        <v>2035794</v>
      </c>
      <c r="P58" s="3247"/>
      <c r="Q58" s="3244"/>
      <c r="R58" s="3244">
        <f t="shared" si="4"/>
        <v>1535794</v>
      </c>
      <c r="S58" s="3244">
        <f t="shared" si="5"/>
        <v>900000</v>
      </c>
      <c r="T58" s="3243">
        <v>635794</v>
      </c>
      <c r="U58" s="3243"/>
      <c r="V58" s="3243">
        <v>500000</v>
      </c>
      <c r="W58" s="3243"/>
      <c r="X58" s="3244">
        <f t="shared" si="6"/>
        <v>2035794</v>
      </c>
      <c r="Y58" s="3244">
        <f t="shared" si="7"/>
        <v>0</v>
      </c>
      <c r="Z58" s="3285">
        <f t="shared" si="8"/>
        <v>1</v>
      </c>
      <c r="AA58" s="3240" t="s">
        <v>4416</v>
      </c>
      <c r="AB58" s="3255" t="s">
        <v>4417</v>
      </c>
      <c r="AC58" s="3226" t="s">
        <v>4418</v>
      </c>
      <c r="AD58" s="3286" t="s">
        <v>4419</v>
      </c>
      <c r="AE58" s="3286" t="s">
        <v>4427</v>
      </c>
      <c r="AF58" s="3286"/>
      <c r="AG58" s="3303"/>
      <c r="AH58" s="3304">
        <v>43789</v>
      </c>
      <c r="AI58" s="3255">
        <v>43797</v>
      </c>
      <c r="AJ58" s="3255">
        <v>43836</v>
      </c>
      <c r="AK58" s="3287">
        <f t="shared" si="9"/>
        <v>2020</v>
      </c>
      <c r="AL58" s="3288">
        <f t="shared" si="10"/>
        <v>1</v>
      </c>
      <c r="AM58" s="3240" t="s">
        <v>4433</v>
      </c>
      <c r="AN58" s="3311">
        <v>500000</v>
      </c>
      <c r="AO58" s="3299"/>
      <c r="AP58" s="3299"/>
      <c r="AQ58" s="3312"/>
      <c r="AR58" s="3307"/>
      <c r="AS58" s="3307"/>
      <c r="AT58" s="3292"/>
      <c r="AU58" s="3293" t="str">
        <f t="shared" si="12"/>
        <v/>
      </c>
      <c r="AV58" s="3293" t="str">
        <f t="shared" si="13"/>
        <v/>
      </c>
      <c r="AW58" s="3308"/>
      <c r="AX58" s="3243"/>
      <c r="AY58" s="3247"/>
      <c r="AZ58" s="3295" t="s">
        <v>4441</v>
      </c>
      <c r="BA58" s="3296" t="str">
        <f t="shared" si="11"/>
        <v>签约</v>
      </c>
      <c r="BB58" s="3226" t="s">
        <v>4423</v>
      </c>
      <c r="BC58" s="3226"/>
      <c r="BD58" s="3292">
        <f>VLOOKUP(B58,[3]Sheet1!A$1:B$65536,2,0)</f>
        <v>43791</v>
      </c>
      <c r="BE58" s="3297" t="s">
        <v>4434</v>
      </c>
      <c r="BG58" s="3297">
        <f>IFERROR(VLOOKUP(B58,[3]Sheet2!A$1:B$65536,2,FALSE),0)</f>
        <v>0</v>
      </c>
      <c r="BI58" s="3297">
        <f>IFERROR(VLOOKUP(B58,[3]Sheet2!A$1:C$65536,2,FALSE),0)</f>
        <v>0</v>
      </c>
      <c r="BJ58" s="3297">
        <f>IFERROR(VLOOKUP(B58,[3]Sheet2!A$1:C$65536,3,FALSE),0)</f>
        <v>0</v>
      </c>
    </row>
    <row r="59" spans="1:62" s="3297" customFormat="1" ht="20.25" customHeight="1">
      <c r="A59" s="3226">
        <v>57</v>
      </c>
      <c r="B59" s="3226" t="s">
        <v>4566</v>
      </c>
      <c r="C59" s="3227" t="s">
        <v>3333</v>
      </c>
      <c r="D59" s="3228" t="s">
        <v>4567</v>
      </c>
      <c r="E59" s="3229">
        <v>43735</v>
      </c>
      <c r="F59" s="3230">
        <v>20000</v>
      </c>
      <c r="G59" s="3231">
        <v>148.86000000000001</v>
      </c>
      <c r="H59" s="3231" t="str">
        <f t="shared" si="0"/>
        <v>非普通住宅</v>
      </c>
      <c r="I59" s="3230">
        <v>2126084</v>
      </c>
      <c r="J59" s="3229">
        <v>43736</v>
      </c>
      <c r="K59" s="3284">
        <f t="shared" si="1"/>
        <v>9</v>
      </c>
      <c r="L59" s="3230">
        <v>2091084</v>
      </c>
      <c r="M59" s="3235">
        <f t="shared" si="2"/>
        <v>14047.31962918178</v>
      </c>
      <c r="N59" s="3244">
        <v>671084</v>
      </c>
      <c r="O59" s="3244">
        <f t="shared" si="3"/>
        <v>2091084</v>
      </c>
      <c r="P59" s="3244"/>
      <c r="Q59" s="3244"/>
      <c r="R59" s="3244">
        <f t="shared" si="4"/>
        <v>691084</v>
      </c>
      <c r="S59" s="3244">
        <f t="shared" si="5"/>
        <v>691084</v>
      </c>
      <c r="T59" s="3236"/>
      <c r="U59" s="3236"/>
      <c r="V59" s="3236">
        <v>1400000</v>
      </c>
      <c r="W59" s="3236"/>
      <c r="X59" s="3244">
        <f t="shared" si="6"/>
        <v>2091084</v>
      </c>
      <c r="Y59" s="3244">
        <f t="shared" si="7"/>
        <v>0</v>
      </c>
      <c r="Z59" s="3285">
        <f t="shared" si="8"/>
        <v>1</v>
      </c>
      <c r="AA59" s="3226" t="s">
        <v>4416</v>
      </c>
      <c r="AB59" s="3255" t="s">
        <v>4417</v>
      </c>
      <c r="AC59" s="3226" t="s">
        <v>4418</v>
      </c>
      <c r="AD59" s="3286" t="s">
        <v>4419</v>
      </c>
      <c r="AE59" s="3286" t="s">
        <v>4420</v>
      </c>
      <c r="AF59" s="3286"/>
      <c r="AG59" s="3286"/>
      <c r="AH59" s="3255">
        <v>43736</v>
      </c>
      <c r="AI59" s="3255">
        <v>43748</v>
      </c>
      <c r="AJ59" s="3255">
        <v>43769</v>
      </c>
      <c r="AK59" s="3287">
        <f t="shared" si="9"/>
        <v>2019</v>
      </c>
      <c r="AL59" s="3288">
        <f t="shared" si="10"/>
        <v>10</v>
      </c>
      <c r="AM59" s="3226" t="s">
        <v>4421</v>
      </c>
      <c r="AN59" s="3289">
        <v>1400000</v>
      </c>
      <c r="AO59" s="3299"/>
      <c r="AP59" s="3299"/>
      <c r="AQ59" s="3300"/>
      <c r="AR59" s="3292"/>
      <c r="AS59" s="3292"/>
      <c r="AT59" s="3292"/>
      <c r="AU59" s="3293" t="str">
        <f t="shared" si="12"/>
        <v/>
      </c>
      <c r="AV59" s="3293" t="str">
        <f t="shared" si="13"/>
        <v/>
      </c>
      <c r="AW59" s="3294"/>
      <c r="AX59" s="3236"/>
      <c r="AY59" s="3244"/>
      <c r="AZ59" s="3295" t="s">
        <v>4445</v>
      </c>
      <c r="BA59" s="3296" t="str">
        <f t="shared" si="11"/>
        <v>签约</v>
      </c>
      <c r="BB59" s="3226" t="s">
        <v>4423</v>
      </c>
      <c r="BC59" s="3226" t="s">
        <v>4430</v>
      </c>
      <c r="BD59" s="3292">
        <f>VLOOKUP(B59,[3]Sheet1!A$1:B$65536,2,0)</f>
        <v>43749</v>
      </c>
      <c r="BE59" s="3297" t="s">
        <v>4367</v>
      </c>
      <c r="BG59" s="3297">
        <f>IFERROR(VLOOKUP(B59,[3]Sheet2!A$1:B$65536,2,FALSE),0)</f>
        <v>0</v>
      </c>
      <c r="BI59" s="3297">
        <f>IFERROR(VLOOKUP(B59,[3]Sheet2!A$1:C$65536,2,FALSE),0)</f>
        <v>0</v>
      </c>
      <c r="BJ59" s="3297">
        <f>IFERROR(VLOOKUP(B59,[3]Sheet2!A$1:C$65536,3,FALSE),0)</f>
        <v>0</v>
      </c>
    </row>
    <row r="60" spans="1:62" s="3297" customFormat="1" ht="20.25" customHeight="1">
      <c r="A60" s="3226">
        <v>58</v>
      </c>
      <c r="B60" s="3226" t="s">
        <v>4568</v>
      </c>
      <c r="C60" s="3227" t="s">
        <v>3333</v>
      </c>
      <c r="D60" s="3228" t="s">
        <v>4569</v>
      </c>
      <c r="E60" s="3229">
        <v>43735</v>
      </c>
      <c r="F60" s="3230">
        <v>20000</v>
      </c>
      <c r="G60" s="3231">
        <v>148.86000000000001</v>
      </c>
      <c r="H60" s="3231" t="str">
        <f t="shared" si="0"/>
        <v>非普通住宅</v>
      </c>
      <c r="I60" s="3230">
        <v>2118411</v>
      </c>
      <c r="J60" s="3229">
        <v>43738</v>
      </c>
      <c r="K60" s="3284">
        <f t="shared" si="1"/>
        <v>9</v>
      </c>
      <c r="L60" s="3230">
        <v>2098411</v>
      </c>
      <c r="M60" s="3235">
        <f t="shared" si="2"/>
        <v>14096.540373505306</v>
      </c>
      <c r="N60" s="3236">
        <f>1100411+378000</f>
        <v>1478411</v>
      </c>
      <c r="O60" s="3244">
        <f t="shared" si="3"/>
        <v>2098411</v>
      </c>
      <c r="P60" s="3244"/>
      <c r="Q60" s="3244"/>
      <c r="R60" s="3244">
        <f t="shared" si="4"/>
        <v>1498411</v>
      </c>
      <c r="S60" s="3244">
        <f t="shared" si="5"/>
        <v>1498411</v>
      </c>
      <c r="T60" s="3236"/>
      <c r="U60" s="3236"/>
      <c r="V60" s="3236"/>
      <c r="W60" s="3236">
        <v>600000</v>
      </c>
      <c r="X60" s="3244">
        <f t="shared" si="6"/>
        <v>2098411</v>
      </c>
      <c r="Y60" s="3244">
        <f t="shared" si="7"/>
        <v>0</v>
      </c>
      <c r="Z60" s="3285">
        <f t="shared" si="8"/>
        <v>1</v>
      </c>
      <c r="AA60" s="3226" t="s">
        <v>4416</v>
      </c>
      <c r="AB60" s="3255" t="s">
        <v>4417</v>
      </c>
      <c r="AC60" s="3226" t="s">
        <v>4545</v>
      </c>
      <c r="AD60" s="3286"/>
      <c r="AE60" s="3286"/>
      <c r="AF60" s="3286"/>
      <c r="AG60" s="3286"/>
      <c r="AH60" s="3226"/>
      <c r="AI60" s="3255"/>
      <c r="AJ60" s="3255"/>
      <c r="AK60" s="3287" t="str">
        <f t="shared" si="9"/>
        <v/>
      </c>
      <c r="AL60" s="3288" t="str">
        <f t="shared" si="10"/>
        <v/>
      </c>
      <c r="AM60" s="3226"/>
      <c r="AN60" s="3289"/>
      <c r="AO60" s="3300" t="s">
        <v>4419</v>
      </c>
      <c r="AP60" s="3300" t="s">
        <v>4427</v>
      </c>
      <c r="AQ60" s="3300"/>
      <c r="AR60" s="3292">
        <v>43757</v>
      </c>
      <c r="AS60" s="3292">
        <v>43757</v>
      </c>
      <c r="AT60" s="3292">
        <v>43853</v>
      </c>
      <c r="AU60" s="3293">
        <f t="shared" si="12"/>
        <v>2020</v>
      </c>
      <c r="AV60" s="3293">
        <f t="shared" si="13"/>
        <v>1</v>
      </c>
      <c r="AW60" s="3294" t="s">
        <v>4453</v>
      </c>
      <c r="AX60" s="3236">
        <v>600000</v>
      </c>
      <c r="AY60" s="3244"/>
      <c r="AZ60" s="3295" t="s">
        <v>4429</v>
      </c>
      <c r="BA60" s="3296" t="str">
        <f t="shared" si="11"/>
        <v>签约</v>
      </c>
      <c r="BB60" s="3226" t="s">
        <v>4423</v>
      </c>
      <c r="BC60" s="3226"/>
      <c r="BD60" s="3292">
        <f>VLOOKUP(B60,[3]Sheet1!A$1:B$65536,2,0)</f>
        <v>43749</v>
      </c>
      <c r="BE60" s="3297" t="s">
        <v>4424</v>
      </c>
      <c r="BG60" s="3297">
        <f>IFERROR(VLOOKUP(B60,[3]Sheet2!A$1:B$65536,2,FALSE),0)</f>
        <v>0</v>
      </c>
      <c r="BI60" s="3297">
        <f>IFERROR(VLOOKUP(B60,[3]Sheet2!A$1:C$65536,2,FALSE),0)</f>
        <v>0</v>
      </c>
      <c r="BJ60" s="3297">
        <f>IFERROR(VLOOKUP(B60,[3]Sheet2!A$1:C$65536,3,FALSE),0)</f>
        <v>0</v>
      </c>
    </row>
    <row r="61" spans="1:62" s="3297" customFormat="1" ht="20.25" customHeight="1">
      <c r="A61" s="3226">
        <v>59</v>
      </c>
      <c r="B61" s="3226" t="s">
        <v>4570</v>
      </c>
      <c r="C61" s="3227" t="s">
        <v>3333</v>
      </c>
      <c r="D61" s="3228" t="s">
        <v>4571</v>
      </c>
      <c r="E61" s="3229">
        <v>43735</v>
      </c>
      <c r="F61" s="3230">
        <v>20000</v>
      </c>
      <c r="G61" s="3231">
        <v>148.86000000000001</v>
      </c>
      <c r="H61" s="3231" t="str">
        <f t="shared" si="0"/>
        <v>非普通住宅</v>
      </c>
      <c r="I61" s="3230">
        <v>2110737</v>
      </c>
      <c r="J61" s="3229">
        <v>43736</v>
      </c>
      <c r="K61" s="3284">
        <f t="shared" si="1"/>
        <v>9</v>
      </c>
      <c r="L61" s="3230">
        <v>2075737</v>
      </c>
      <c r="M61" s="3235">
        <f t="shared" si="2"/>
        <v>13944.222759639928</v>
      </c>
      <c r="N61" s="3236">
        <v>1085737</v>
      </c>
      <c r="O61" s="3244">
        <f t="shared" si="3"/>
        <v>2075737</v>
      </c>
      <c r="P61" s="3244"/>
      <c r="Q61" s="3244"/>
      <c r="R61" s="3244">
        <f t="shared" si="4"/>
        <v>1105737</v>
      </c>
      <c r="S61" s="3244">
        <f t="shared" si="5"/>
        <v>1105737</v>
      </c>
      <c r="T61" s="3236"/>
      <c r="U61" s="3236"/>
      <c r="V61" s="3236">
        <v>970000</v>
      </c>
      <c r="W61" s="3236"/>
      <c r="X61" s="3244">
        <f t="shared" si="6"/>
        <v>2075737</v>
      </c>
      <c r="Y61" s="3244">
        <f t="shared" si="7"/>
        <v>0</v>
      </c>
      <c r="Z61" s="3285">
        <f t="shared" si="8"/>
        <v>1</v>
      </c>
      <c r="AA61" s="3226" t="s">
        <v>4416</v>
      </c>
      <c r="AB61" s="3255" t="s">
        <v>4417</v>
      </c>
      <c r="AC61" s="3226" t="s">
        <v>4418</v>
      </c>
      <c r="AD61" s="3286" t="s">
        <v>4419</v>
      </c>
      <c r="AE61" s="3286" t="s">
        <v>4420</v>
      </c>
      <c r="AF61" s="3286"/>
      <c r="AG61" s="3286"/>
      <c r="AH61" s="3255">
        <v>43736</v>
      </c>
      <c r="AI61" s="3255">
        <v>43746</v>
      </c>
      <c r="AJ61" s="3255">
        <v>43769</v>
      </c>
      <c r="AK61" s="3287">
        <f t="shared" si="9"/>
        <v>2019</v>
      </c>
      <c r="AL61" s="3288">
        <f t="shared" si="10"/>
        <v>10</v>
      </c>
      <c r="AM61" s="3302" t="s">
        <v>4421</v>
      </c>
      <c r="AN61" s="3298">
        <v>970000</v>
      </c>
      <c r="AO61" s="3299"/>
      <c r="AP61" s="3299"/>
      <c r="AQ61" s="3301"/>
      <c r="AR61" s="3292"/>
      <c r="AS61" s="3292"/>
      <c r="AT61" s="3292"/>
      <c r="AU61" s="3293" t="str">
        <f t="shared" si="12"/>
        <v/>
      </c>
      <c r="AV61" s="3293" t="str">
        <f t="shared" si="13"/>
        <v/>
      </c>
      <c r="AW61" s="3294"/>
      <c r="AX61" s="3236"/>
      <c r="AY61" s="3244"/>
      <c r="AZ61" s="3295" t="s">
        <v>4507</v>
      </c>
      <c r="BA61" s="3296" t="str">
        <f t="shared" si="11"/>
        <v>签约</v>
      </c>
      <c r="BB61" s="3226" t="s">
        <v>4423</v>
      </c>
      <c r="BC61" s="3226"/>
      <c r="BD61" s="3292">
        <f>VLOOKUP(B61,[3]Sheet1!A$1:B$65536,2,0)</f>
        <v>43749</v>
      </c>
      <c r="BE61" s="3297" t="s">
        <v>4449</v>
      </c>
      <c r="BG61" s="3297">
        <f>IFERROR(VLOOKUP(B61,[3]Sheet2!A$1:B$65536,2,FALSE),0)</f>
        <v>0</v>
      </c>
      <c r="BI61" s="3297">
        <f>IFERROR(VLOOKUP(B61,[3]Sheet2!A$1:C$65536,2,FALSE),0)</f>
        <v>0</v>
      </c>
      <c r="BJ61" s="3297">
        <f>IFERROR(VLOOKUP(B61,[3]Sheet2!A$1:C$65536,3,FALSE),0)</f>
        <v>0</v>
      </c>
    </row>
    <row r="62" spans="1:62" s="3297" customFormat="1" ht="20.25" customHeight="1">
      <c r="A62" s="3226">
        <v>60</v>
      </c>
      <c r="B62" s="3226" t="s">
        <v>4572</v>
      </c>
      <c r="C62" s="3227" t="s">
        <v>3333</v>
      </c>
      <c r="D62" s="3228" t="s">
        <v>4573</v>
      </c>
      <c r="E62" s="3229">
        <v>43735</v>
      </c>
      <c r="F62" s="3230">
        <v>20000</v>
      </c>
      <c r="G62" s="3231">
        <v>148.86000000000001</v>
      </c>
      <c r="H62" s="3231" t="str">
        <f t="shared" si="0"/>
        <v>非普通住宅</v>
      </c>
      <c r="I62" s="3230">
        <v>2103064</v>
      </c>
      <c r="J62" s="3229">
        <v>43737</v>
      </c>
      <c r="K62" s="3284">
        <f t="shared" si="1"/>
        <v>9</v>
      </c>
      <c r="L62" s="3230">
        <v>2068064</v>
      </c>
      <c r="M62" s="3235">
        <f t="shared" si="2"/>
        <v>13892.677683729678</v>
      </c>
      <c r="N62" s="3236">
        <v>1048064</v>
      </c>
      <c r="O62" s="3244">
        <f t="shared" si="3"/>
        <v>2068064</v>
      </c>
      <c r="P62" s="3244"/>
      <c r="Q62" s="3244"/>
      <c r="R62" s="3244">
        <f t="shared" si="4"/>
        <v>1068064</v>
      </c>
      <c r="S62" s="3244">
        <f t="shared" si="5"/>
        <v>1068064</v>
      </c>
      <c r="T62" s="3236"/>
      <c r="U62" s="3236"/>
      <c r="V62" s="3236">
        <v>1000000</v>
      </c>
      <c r="W62" s="3236"/>
      <c r="X62" s="3244">
        <f t="shared" si="6"/>
        <v>2068064</v>
      </c>
      <c r="Y62" s="3244">
        <f t="shared" si="7"/>
        <v>0</v>
      </c>
      <c r="Z62" s="3285">
        <f t="shared" si="8"/>
        <v>1</v>
      </c>
      <c r="AA62" s="3226" t="s">
        <v>4416</v>
      </c>
      <c r="AB62" s="3255" t="s">
        <v>4417</v>
      </c>
      <c r="AC62" s="3226" t="s">
        <v>4418</v>
      </c>
      <c r="AD62" s="3286" t="s">
        <v>4419</v>
      </c>
      <c r="AE62" s="3286" t="s">
        <v>4427</v>
      </c>
      <c r="AF62" s="3286"/>
      <c r="AG62" s="3286"/>
      <c r="AH62" s="3255">
        <v>43737</v>
      </c>
      <c r="AI62" s="3255">
        <v>43746</v>
      </c>
      <c r="AJ62" s="3255">
        <v>43833</v>
      </c>
      <c r="AK62" s="3287">
        <f t="shared" si="9"/>
        <v>2020</v>
      </c>
      <c r="AL62" s="3288">
        <f t="shared" si="10"/>
        <v>1</v>
      </c>
      <c r="AM62" s="3226" t="s">
        <v>4421</v>
      </c>
      <c r="AN62" s="3289">
        <v>1000000</v>
      </c>
      <c r="AO62" s="3299"/>
      <c r="AP62" s="3299"/>
      <c r="AQ62" s="3301"/>
      <c r="AR62" s="3292"/>
      <c r="AS62" s="3292"/>
      <c r="AT62" s="3292"/>
      <c r="AU62" s="3293" t="str">
        <f t="shared" si="12"/>
        <v/>
      </c>
      <c r="AV62" s="3293" t="str">
        <f t="shared" si="13"/>
        <v/>
      </c>
      <c r="AW62" s="3294"/>
      <c r="AX62" s="3236"/>
      <c r="AY62" s="3244"/>
      <c r="AZ62" s="3295" t="s">
        <v>4507</v>
      </c>
      <c r="BA62" s="3296" t="str">
        <f t="shared" si="11"/>
        <v>签约</v>
      </c>
      <c r="BB62" s="3226" t="s">
        <v>4423</v>
      </c>
      <c r="BC62" s="3226"/>
      <c r="BD62" s="3292">
        <f>VLOOKUP(B62,[3]Sheet1!A$1:B$65536,2,0)</f>
        <v>43749</v>
      </c>
      <c r="BE62" s="3297" t="s">
        <v>4449</v>
      </c>
      <c r="BG62" s="3297">
        <f>IFERROR(VLOOKUP(B62,[3]Sheet2!A$1:B$65536,2,FALSE),0)</f>
        <v>0</v>
      </c>
      <c r="BI62" s="3297">
        <f>IFERROR(VLOOKUP(B62,[3]Sheet2!A$1:C$65536,2,FALSE),0)</f>
        <v>0</v>
      </c>
      <c r="BJ62" s="3297">
        <f>IFERROR(VLOOKUP(B62,[3]Sheet2!A$1:C$65536,3,FALSE),0)</f>
        <v>0</v>
      </c>
    </row>
    <row r="63" spans="1:62" s="3297" customFormat="1" ht="20.25" customHeight="1">
      <c r="A63" s="3226">
        <v>61</v>
      </c>
      <c r="B63" s="3310" t="s">
        <v>4574</v>
      </c>
      <c r="C63" s="3227" t="s">
        <v>3333</v>
      </c>
      <c r="D63" s="3228"/>
      <c r="E63" s="3229"/>
      <c r="F63" s="3230"/>
      <c r="G63" s="3231">
        <v>148.86000000000001</v>
      </c>
      <c r="H63" s="3231" t="str">
        <f t="shared" si="0"/>
        <v>非普通住宅</v>
      </c>
      <c r="I63" s="3230">
        <v>2064698</v>
      </c>
      <c r="J63" s="3229"/>
      <c r="K63" s="3284" t="str">
        <f t="shared" si="1"/>
        <v/>
      </c>
      <c r="L63" s="3230"/>
      <c r="M63" s="3235">
        <f t="shared" si="2"/>
        <v>0</v>
      </c>
      <c r="N63" s="3236"/>
      <c r="O63" s="3244">
        <f t="shared" si="3"/>
        <v>0</v>
      </c>
      <c r="P63" s="3244"/>
      <c r="Q63" s="3244"/>
      <c r="R63" s="3244">
        <f t="shared" si="4"/>
        <v>0</v>
      </c>
      <c r="S63" s="3244">
        <f t="shared" si="5"/>
        <v>0</v>
      </c>
      <c r="T63" s="3236"/>
      <c r="U63" s="3236"/>
      <c r="V63" s="3236"/>
      <c r="W63" s="3236"/>
      <c r="X63" s="3244">
        <f t="shared" si="6"/>
        <v>0</v>
      </c>
      <c r="Y63" s="3244">
        <f t="shared" si="7"/>
        <v>0</v>
      </c>
      <c r="Z63" s="3285" t="e">
        <f t="shared" si="8"/>
        <v>#DIV/0!</v>
      </c>
      <c r="AA63" s="3226"/>
      <c r="AB63" s="3226"/>
      <c r="AC63" s="3226"/>
      <c r="AD63" s="3226"/>
      <c r="AE63" s="3226"/>
      <c r="AF63" s="3286"/>
      <c r="AG63" s="3286"/>
      <c r="AH63" s="3255"/>
      <c r="AI63" s="3255"/>
      <c r="AJ63" s="3255"/>
      <c r="AK63" s="3287" t="str">
        <f t="shared" si="9"/>
        <v/>
      </c>
      <c r="AL63" s="3288" t="str">
        <f t="shared" si="10"/>
        <v/>
      </c>
      <c r="AM63" s="3226"/>
      <c r="AN63" s="3289"/>
      <c r="AO63" s="3300"/>
      <c r="AP63" s="3300"/>
      <c r="AQ63" s="3300"/>
      <c r="AR63" s="3292"/>
      <c r="AS63" s="3292"/>
      <c r="AT63" s="3292"/>
      <c r="AU63" s="3293" t="str">
        <f t="shared" si="12"/>
        <v/>
      </c>
      <c r="AV63" s="3293" t="str">
        <f t="shared" si="13"/>
        <v/>
      </c>
      <c r="AW63" s="3294"/>
      <c r="AX63" s="3236"/>
      <c r="AY63" s="3244"/>
      <c r="AZ63" s="3295"/>
      <c r="BA63" s="3296" t="str">
        <f t="shared" si="11"/>
        <v>未售</v>
      </c>
      <c r="BB63" s="3226"/>
      <c r="BC63" s="3226"/>
      <c r="BD63" s="3292"/>
      <c r="BG63" s="3297">
        <f>IFERROR(VLOOKUP(B63,[3]Sheet2!A$1:B$65536,2,FALSE),0)</f>
        <v>0</v>
      </c>
      <c r="BI63" s="3297">
        <f>IFERROR(VLOOKUP(B63,[3]Sheet2!A$1:C$65536,2,FALSE),0)</f>
        <v>0</v>
      </c>
      <c r="BJ63" s="3297">
        <f>IFERROR(VLOOKUP(B63,[3]Sheet2!A$1:C$65536,3,FALSE),0)</f>
        <v>0</v>
      </c>
    </row>
    <row r="64" spans="1:62" s="3297" customFormat="1" ht="20.25" customHeight="1">
      <c r="A64" s="3226">
        <v>62</v>
      </c>
      <c r="B64" s="3226" t="s">
        <v>4575</v>
      </c>
      <c r="C64" s="3227" t="s">
        <v>3333</v>
      </c>
      <c r="D64" s="3228" t="s">
        <v>4576</v>
      </c>
      <c r="E64" s="3229">
        <v>43735</v>
      </c>
      <c r="F64" s="3230">
        <v>20000</v>
      </c>
      <c r="G64" s="3231">
        <v>148.86000000000001</v>
      </c>
      <c r="H64" s="3231" t="str">
        <f t="shared" si="0"/>
        <v>非普通住宅</v>
      </c>
      <c r="I64" s="3230">
        <v>2018659</v>
      </c>
      <c r="J64" s="3229">
        <v>43738</v>
      </c>
      <c r="K64" s="3284">
        <f t="shared" si="1"/>
        <v>9</v>
      </c>
      <c r="L64" s="3230">
        <v>1983659</v>
      </c>
      <c r="M64" s="3235">
        <f t="shared" si="2"/>
        <v>13325.668413274216</v>
      </c>
      <c r="N64" s="3236">
        <v>575659</v>
      </c>
      <c r="O64" s="3244">
        <f t="shared" si="3"/>
        <v>1983659</v>
      </c>
      <c r="P64" s="3244"/>
      <c r="Q64" s="3244"/>
      <c r="R64" s="3244">
        <f t="shared" si="4"/>
        <v>595659</v>
      </c>
      <c r="S64" s="3244">
        <f t="shared" si="5"/>
        <v>595659</v>
      </c>
      <c r="T64" s="3236"/>
      <c r="U64" s="3236"/>
      <c r="V64" s="3236">
        <v>1388000</v>
      </c>
      <c r="W64" s="3236"/>
      <c r="X64" s="3244">
        <f t="shared" si="6"/>
        <v>1983659</v>
      </c>
      <c r="Y64" s="3244">
        <f t="shared" si="7"/>
        <v>0</v>
      </c>
      <c r="Z64" s="3285">
        <f t="shared" si="8"/>
        <v>1</v>
      </c>
      <c r="AA64" s="3226" t="s">
        <v>4416</v>
      </c>
      <c r="AB64" s="3255" t="s">
        <v>4417</v>
      </c>
      <c r="AC64" s="3226" t="s">
        <v>4418</v>
      </c>
      <c r="AD64" s="3286" t="s">
        <v>4419</v>
      </c>
      <c r="AE64" s="3286" t="s">
        <v>4427</v>
      </c>
      <c r="AF64" s="3286"/>
      <c r="AG64" s="3286"/>
      <c r="AH64" s="3255">
        <v>43738</v>
      </c>
      <c r="AI64" s="3255">
        <v>43768</v>
      </c>
      <c r="AJ64" s="3255">
        <v>43917</v>
      </c>
      <c r="AK64" s="3287">
        <f t="shared" si="9"/>
        <v>2020</v>
      </c>
      <c r="AL64" s="3288">
        <f t="shared" si="10"/>
        <v>3</v>
      </c>
      <c r="AM64" s="3226" t="s">
        <v>4433</v>
      </c>
      <c r="AN64" s="3289">
        <v>1388000</v>
      </c>
      <c r="AO64" s="3300"/>
      <c r="AP64" s="3300"/>
      <c r="AQ64" s="3300"/>
      <c r="AR64" s="3292"/>
      <c r="AS64" s="3292"/>
      <c r="AT64" s="3292"/>
      <c r="AU64" s="3293" t="str">
        <f t="shared" si="12"/>
        <v/>
      </c>
      <c r="AV64" s="3293" t="str">
        <f t="shared" si="13"/>
        <v/>
      </c>
      <c r="AW64" s="3294"/>
      <c r="AX64" s="3236"/>
      <c r="AY64" s="3244"/>
      <c r="AZ64" s="3295" t="s">
        <v>4448</v>
      </c>
      <c r="BA64" s="3296" t="str">
        <f t="shared" si="11"/>
        <v>签约</v>
      </c>
      <c r="BB64" s="3226" t="s">
        <v>4423</v>
      </c>
      <c r="BC64" s="3226"/>
      <c r="BD64" s="3292">
        <f>VLOOKUP(B64,[3]Sheet1!A$1:B$65536,2,0)</f>
        <v>43749</v>
      </c>
      <c r="BE64" s="3297" t="s">
        <v>4424</v>
      </c>
      <c r="BG64" s="3297">
        <f>IFERROR(VLOOKUP(B64,[3]Sheet2!A$1:B$65536,2,FALSE),0)</f>
        <v>0</v>
      </c>
      <c r="BI64" s="3297">
        <f>IFERROR(VLOOKUP(B64,[3]Sheet2!A$1:C$65536,2,FALSE),0)</f>
        <v>0</v>
      </c>
      <c r="BJ64" s="3297">
        <f>IFERROR(VLOOKUP(B64,[3]Sheet2!A$1:C$65536,3,FALSE),0)</f>
        <v>0</v>
      </c>
    </row>
    <row r="65" spans="1:62" s="3297" customFormat="1" ht="20.25" customHeight="1">
      <c r="A65" s="3226">
        <v>63</v>
      </c>
      <c r="B65" s="3226" t="s">
        <v>4577</v>
      </c>
      <c r="C65" s="3227" t="s">
        <v>3333</v>
      </c>
      <c r="D65" s="3228" t="s">
        <v>4578</v>
      </c>
      <c r="E65" s="3229">
        <v>43769</v>
      </c>
      <c r="F65" s="3230">
        <v>0</v>
      </c>
      <c r="G65" s="3231">
        <v>148.86000000000001</v>
      </c>
      <c r="H65" s="3231" t="str">
        <f t="shared" si="0"/>
        <v>非普通住宅</v>
      </c>
      <c r="I65" s="3230">
        <v>1957274</v>
      </c>
      <c r="J65" s="3229">
        <v>43769</v>
      </c>
      <c r="K65" s="3284">
        <f t="shared" si="1"/>
        <v>10</v>
      </c>
      <c r="L65" s="3230">
        <v>1922274</v>
      </c>
      <c r="M65" s="3235">
        <f t="shared" si="2"/>
        <v>12913.301088270857</v>
      </c>
      <c r="N65" s="3236">
        <v>582274</v>
      </c>
      <c r="O65" s="3244">
        <f t="shared" si="3"/>
        <v>1922274</v>
      </c>
      <c r="P65" s="3244"/>
      <c r="Q65" s="3244"/>
      <c r="R65" s="3244">
        <f t="shared" si="4"/>
        <v>582274</v>
      </c>
      <c r="S65" s="3244">
        <f t="shared" si="5"/>
        <v>582274</v>
      </c>
      <c r="T65" s="3236"/>
      <c r="U65" s="3236"/>
      <c r="V65" s="3236">
        <v>1340000</v>
      </c>
      <c r="W65" s="3236"/>
      <c r="X65" s="3244">
        <f t="shared" si="6"/>
        <v>1922274</v>
      </c>
      <c r="Y65" s="3244">
        <f t="shared" si="7"/>
        <v>0</v>
      </c>
      <c r="Z65" s="3285">
        <f t="shared" si="8"/>
        <v>1</v>
      </c>
      <c r="AA65" s="3226" t="s">
        <v>4416</v>
      </c>
      <c r="AB65" s="3255" t="s">
        <v>4417</v>
      </c>
      <c r="AC65" s="3226" t="s">
        <v>4418</v>
      </c>
      <c r="AD65" s="3286" t="s">
        <v>4419</v>
      </c>
      <c r="AE65" s="3226" t="s">
        <v>4427</v>
      </c>
      <c r="AF65" s="3286"/>
      <c r="AG65" s="3286"/>
      <c r="AH65" s="3255">
        <v>43770</v>
      </c>
      <c r="AI65" s="3255">
        <v>43770</v>
      </c>
      <c r="AJ65" s="3255">
        <v>43782</v>
      </c>
      <c r="AK65" s="3287">
        <f t="shared" si="9"/>
        <v>2019</v>
      </c>
      <c r="AL65" s="3288">
        <f t="shared" si="10"/>
        <v>11</v>
      </c>
      <c r="AM65" s="3226" t="s">
        <v>4579</v>
      </c>
      <c r="AN65" s="3289">
        <v>1340000</v>
      </c>
      <c r="AO65" s="3300"/>
      <c r="AP65" s="3300"/>
      <c r="AQ65" s="3300"/>
      <c r="AR65" s="3292"/>
      <c r="AS65" s="3292"/>
      <c r="AT65" s="3292"/>
      <c r="AU65" s="3293" t="str">
        <f t="shared" si="12"/>
        <v/>
      </c>
      <c r="AV65" s="3293" t="str">
        <f t="shared" si="13"/>
        <v/>
      </c>
      <c r="AW65" s="3294"/>
      <c r="AX65" s="3236"/>
      <c r="AY65" s="3244"/>
      <c r="AZ65" s="3295" t="s">
        <v>4445</v>
      </c>
      <c r="BA65" s="3296" t="str">
        <f t="shared" si="11"/>
        <v>签约</v>
      </c>
      <c r="BB65" s="3226"/>
      <c r="BC65" s="3226"/>
      <c r="BD65" s="3292">
        <f>VLOOKUP(B65,[3]Sheet1!A$1:B$65536,2,0)</f>
        <v>43789</v>
      </c>
      <c r="BE65" s="3297" t="s">
        <v>4449</v>
      </c>
      <c r="BG65" s="3297">
        <f>IFERROR(VLOOKUP(B65,[3]Sheet2!A$1:B$65536,2,FALSE),0)</f>
        <v>0</v>
      </c>
      <c r="BI65" s="3297">
        <f>IFERROR(VLOOKUP(B65,[3]Sheet2!A$1:C$65536,2,FALSE),0)</f>
        <v>0</v>
      </c>
      <c r="BJ65" s="3297">
        <f>IFERROR(VLOOKUP(B65,[3]Sheet2!A$1:C$65536,3,FALSE),0)</f>
        <v>0</v>
      </c>
    </row>
    <row r="66" spans="1:62" s="3297" customFormat="1" ht="20.25" customHeight="1">
      <c r="A66" s="3226">
        <v>64</v>
      </c>
      <c r="B66" s="3226" t="s">
        <v>4580</v>
      </c>
      <c r="C66" s="3227" t="s">
        <v>3333</v>
      </c>
      <c r="D66" s="3228" t="s">
        <v>4581</v>
      </c>
      <c r="E66" s="3229">
        <v>43738</v>
      </c>
      <c r="F66" s="3230">
        <v>20000</v>
      </c>
      <c r="G66" s="3231">
        <v>146.55000000000001</v>
      </c>
      <c r="H66" s="3231" t="str">
        <f t="shared" si="0"/>
        <v>非普通住宅</v>
      </c>
      <c r="I66" s="3230">
        <v>1806355</v>
      </c>
      <c r="J66" s="3229">
        <v>43738</v>
      </c>
      <c r="K66" s="3284">
        <f t="shared" si="1"/>
        <v>9</v>
      </c>
      <c r="L66" s="3230">
        <v>1771355</v>
      </c>
      <c r="M66" s="3235">
        <f t="shared" si="2"/>
        <v>12087.0351415899</v>
      </c>
      <c r="N66" s="3236">
        <f>301355+220000</f>
        <v>521355</v>
      </c>
      <c r="O66" s="3244">
        <f t="shared" si="3"/>
        <v>1771355</v>
      </c>
      <c r="P66" s="3244"/>
      <c r="Q66" s="3244"/>
      <c r="R66" s="3244">
        <f t="shared" si="4"/>
        <v>541355</v>
      </c>
      <c r="S66" s="3244">
        <f t="shared" si="5"/>
        <v>541355</v>
      </c>
      <c r="T66" s="3236"/>
      <c r="U66" s="3236"/>
      <c r="V66" s="3236">
        <v>1230000</v>
      </c>
      <c r="W66" s="3236"/>
      <c r="X66" s="3244">
        <f t="shared" si="6"/>
        <v>1771355</v>
      </c>
      <c r="Y66" s="3244">
        <f t="shared" si="7"/>
        <v>0</v>
      </c>
      <c r="Z66" s="3285">
        <f t="shared" si="8"/>
        <v>1</v>
      </c>
      <c r="AA66" s="3226" t="s">
        <v>4416</v>
      </c>
      <c r="AB66" s="3255" t="s">
        <v>4417</v>
      </c>
      <c r="AC66" s="3226" t="s">
        <v>4418</v>
      </c>
      <c r="AD66" s="3286" t="s">
        <v>4419</v>
      </c>
      <c r="AE66" s="3286" t="s">
        <v>4427</v>
      </c>
      <c r="AF66" s="3286"/>
      <c r="AG66" s="3286"/>
      <c r="AH66" s="3255">
        <v>43747</v>
      </c>
      <c r="AI66" s="3255">
        <v>43759</v>
      </c>
      <c r="AJ66" s="3255">
        <v>43833</v>
      </c>
      <c r="AK66" s="3287">
        <f t="shared" si="9"/>
        <v>2020</v>
      </c>
      <c r="AL66" s="3288">
        <f t="shared" si="10"/>
        <v>1</v>
      </c>
      <c r="AM66" s="3226" t="s">
        <v>4421</v>
      </c>
      <c r="AN66" s="3289">
        <v>1230000</v>
      </c>
      <c r="AO66" s="3300"/>
      <c r="AP66" s="3300"/>
      <c r="AQ66" s="3300"/>
      <c r="AR66" s="3292"/>
      <c r="AS66" s="3292"/>
      <c r="AT66" s="3292"/>
      <c r="AU66" s="3293" t="str">
        <f t="shared" si="12"/>
        <v/>
      </c>
      <c r="AV66" s="3293" t="str">
        <f t="shared" si="13"/>
        <v/>
      </c>
      <c r="AW66" s="3294"/>
      <c r="AX66" s="3236"/>
      <c r="AY66" s="3244"/>
      <c r="AZ66" s="3295" t="s">
        <v>4445</v>
      </c>
      <c r="BA66" s="3296" t="str">
        <f t="shared" si="11"/>
        <v>签约</v>
      </c>
      <c r="BB66" s="3226" t="s">
        <v>4423</v>
      </c>
      <c r="BC66" s="3226"/>
      <c r="BD66" s="3292">
        <f>VLOOKUP(B66,[3]Sheet1!A$1:B$65536,2,0)</f>
        <v>43752</v>
      </c>
      <c r="BE66" s="3297" t="s">
        <v>4449</v>
      </c>
      <c r="BG66" s="3297">
        <f>IFERROR(VLOOKUP(B66,[3]Sheet2!A$1:B$65536,2,FALSE),0)</f>
        <v>0</v>
      </c>
      <c r="BI66" s="3297">
        <f>IFERROR(VLOOKUP(B66,[3]Sheet2!A$1:C$65536,2,FALSE),0)</f>
        <v>0</v>
      </c>
      <c r="BJ66" s="3297">
        <f>IFERROR(VLOOKUP(B66,[3]Sheet2!A$1:C$65536,3,FALSE),0)</f>
        <v>0</v>
      </c>
    </row>
    <row r="67" spans="1:62" s="3297" customFormat="1" ht="20.25" customHeight="1">
      <c r="A67" s="3226">
        <v>65</v>
      </c>
      <c r="B67" s="3226" t="s">
        <v>4582</v>
      </c>
      <c r="C67" s="3227" t="s">
        <v>3333</v>
      </c>
      <c r="D67" s="3228" t="s">
        <v>4583</v>
      </c>
      <c r="E67" s="3229">
        <v>43742</v>
      </c>
      <c r="F67" s="3230">
        <v>20000</v>
      </c>
      <c r="G67" s="3231">
        <v>132.68</v>
      </c>
      <c r="H67" s="3231" t="str">
        <f t="shared" si="0"/>
        <v>普通住宅</v>
      </c>
      <c r="I67" s="3230">
        <v>1834573</v>
      </c>
      <c r="J67" s="3229">
        <v>43744</v>
      </c>
      <c r="K67" s="3284">
        <f t="shared" si="1"/>
        <v>10</v>
      </c>
      <c r="L67" s="3230">
        <v>1799573</v>
      </c>
      <c r="M67" s="3235">
        <f t="shared" si="2"/>
        <v>13563.257461561652</v>
      </c>
      <c r="N67" s="3236">
        <v>529573</v>
      </c>
      <c r="O67" s="3244">
        <f t="shared" si="3"/>
        <v>1799573</v>
      </c>
      <c r="P67" s="3244"/>
      <c r="Q67" s="3244"/>
      <c r="R67" s="3244">
        <f t="shared" si="4"/>
        <v>549573</v>
      </c>
      <c r="S67" s="3244">
        <f t="shared" si="5"/>
        <v>549573</v>
      </c>
      <c r="T67" s="3236"/>
      <c r="U67" s="3236"/>
      <c r="V67" s="3236">
        <v>1250000</v>
      </c>
      <c r="W67" s="3236"/>
      <c r="X67" s="3244">
        <f t="shared" si="6"/>
        <v>1799573</v>
      </c>
      <c r="Y67" s="3244">
        <f t="shared" si="7"/>
        <v>0</v>
      </c>
      <c r="Z67" s="3285">
        <f t="shared" si="8"/>
        <v>1</v>
      </c>
      <c r="AA67" s="3226" t="s">
        <v>4416</v>
      </c>
      <c r="AB67" s="3255" t="s">
        <v>4417</v>
      </c>
      <c r="AC67" s="3226" t="s">
        <v>4418</v>
      </c>
      <c r="AD67" s="3286" t="s">
        <v>4419</v>
      </c>
      <c r="AE67" s="3286" t="s">
        <v>4427</v>
      </c>
      <c r="AF67" s="3286"/>
      <c r="AG67" s="3286"/>
      <c r="AH67" s="3255">
        <v>43744</v>
      </c>
      <c r="AI67" s="3255">
        <v>43768</v>
      </c>
      <c r="AJ67" s="3255">
        <v>43833</v>
      </c>
      <c r="AK67" s="3287">
        <f t="shared" si="9"/>
        <v>2020</v>
      </c>
      <c r="AL67" s="3288">
        <f t="shared" si="10"/>
        <v>1</v>
      </c>
      <c r="AM67" s="3302" t="s">
        <v>4421</v>
      </c>
      <c r="AN67" s="3298">
        <v>1250000</v>
      </c>
      <c r="AO67" s="3300"/>
      <c r="AP67" s="3300"/>
      <c r="AQ67" s="3300"/>
      <c r="AR67" s="3292"/>
      <c r="AS67" s="3292"/>
      <c r="AT67" s="3292"/>
      <c r="AU67" s="3293" t="str">
        <f t="shared" si="12"/>
        <v/>
      </c>
      <c r="AV67" s="3293" t="str">
        <f t="shared" si="13"/>
        <v/>
      </c>
      <c r="AW67" s="3294"/>
      <c r="AX67" s="3236"/>
      <c r="AY67" s="3244"/>
      <c r="AZ67" s="3295" t="s">
        <v>4448</v>
      </c>
      <c r="BA67" s="3296" t="str">
        <f t="shared" si="11"/>
        <v>签约</v>
      </c>
      <c r="BB67" s="3226" t="s">
        <v>4423</v>
      </c>
      <c r="BC67" s="3226"/>
      <c r="BD67" s="3292">
        <f>VLOOKUP(B67,[3]Sheet1!A$1:B$65536,2,0)</f>
        <v>43750</v>
      </c>
      <c r="BE67" s="3297" t="s">
        <v>4449</v>
      </c>
      <c r="BG67" s="3297">
        <f>IFERROR(VLOOKUP(B67,[3]Sheet2!A$1:B$65536,2,FALSE),0)</f>
        <v>0</v>
      </c>
      <c r="BI67" s="3297">
        <f>IFERROR(VLOOKUP(B67,[3]Sheet2!A$1:C$65536,2,FALSE),0)</f>
        <v>0</v>
      </c>
      <c r="BJ67" s="3297">
        <f>IFERROR(VLOOKUP(B67,[3]Sheet2!A$1:C$65536,3,FALSE),0)</f>
        <v>0</v>
      </c>
    </row>
    <row r="68" spans="1:62" s="3297" customFormat="1" ht="20.25" customHeight="1">
      <c r="A68" s="3226">
        <v>66</v>
      </c>
      <c r="B68" s="3226" t="s">
        <v>3459</v>
      </c>
      <c r="C68" s="3227" t="s">
        <v>3333</v>
      </c>
      <c r="D68" s="3228" t="s">
        <v>4584</v>
      </c>
      <c r="E68" s="3229">
        <v>43735</v>
      </c>
      <c r="F68" s="3230">
        <v>20000</v>
      </c>
      <c r="G68" s="3231">
        <v>132.6</v>
      </c>
      <c r="H68" s="3231" t="str">
        <f t="shared" ref="H68:H131" si="14">IF(G68&lt;144,"普通住宅","非普通住宅")</f>
        <v>普通住宅</v>
      </c>
      <c r="I68" s="3238">
        <v>1908665</v>
      </c>
      <c r="J68" s="3239">
        <v>43737</v>
      </c>
      <c r="K68" s="3284">
        <f t="shared" ref="K68:K131" si="15">IF(ISBLANK(J68),"",MONTH(J68))</f>
        <v>9</v>
      </c>
      <c r="L68" s="3238">
        <v>1873665</v>
      </c>
      <c r="M68" s="3235">
        <f t="shared" ref="M68:M131" si="16">L68/G68</f>
        <v>14130.203619909504</v>
      </c>
      <c r="N68" s="3236">
        <f>550000+503665</f>
        <v>1053665</v>
      </c>
      <c r="O68" s="3244">
        <f t="shared" ref="O68:O131" si="17">L68-P68-Q68</f>
        <v>1873665</v>
      </c>
      <c r="P68" s="3244"/>
      <c r="Q68" s="3244"/>
      <c r="R68" s="3244">
        <f t="shared" ref="R68:R131" si="18">F68+N68</f>
        <v>1073665</v>
      </c>
      <c r="S68" s="3244">
        <f t="shared" ref="S68:S131" si="19">R68-T68-U68</f>
        <v>1073665</v>
      </c>
      <c r="T68" s="3236"/>
      <c r="U68" s="3236"/>
      <c r="V68" s="3236">
        <v>800000</v>
      </c>
      <c r="W68" s="3236"/>
      <c r="X68" s="3244">
        <f t="shared" ref="X68:X131" si="20">R68+V68+W68</f>
        <v>1873665</v>
      </c>
      <c r="Y68" s="3244">
        <f t="shared" ref="Y68:Y131" si="21">L68-X68</f>
        <v>0</v>
      </c>
      <c r="Z68" s="3285">
        <f t="shared" ref="Z68:Z131" si="22">X68/L68</f>
        <v>1</v>
      </c>
      <c r="AA68" s="3226" t="s">
        <v>4416</v>
      </c>
      <c r="AB68" s="3255" t="s">
        <v>4417</v>
      </c>
      <c r="AC68" s="3226" t="s">
        <v>4418</v>
      </c>
      <c r="AD68" s="3286" t="s">
        <v>4419</v>
      </c>
      <c r="AE68" s="3286" t="s">
        <v>4427</v>
      </c>
      <c r="AF68" s="3286"/>
      <c r="AG68" s="3286"/>
      <c r="AH68" s="3255">
        <v>43737</v>
      </c>
      <c r="AI68" s="3255">
        <v>43746</v>
      </c>
      <c r="AJ68" s="3255">
        <v>43833</v>
      </c>
      <c r="AK68" s="3287">
        <f t="shared" ref="AK68:AK131" si="23">IF(ISBLANK(AJ68),"",YEAR(AJ68))</f>
        <v>2020</v>
      </c>
      <c r="AL68" s="3288">
        <f t="shared" ref="AL68:AL131" si="24">IF(ISBLANK(AJ68),"",MONTH(AJ68))</f>
        <v>1</v>
      </c>
      <c r="AM68" s="3226" t="s">
        <v>4421</v>
      </c>
      <c r="AN68" s="3289">
        <v>800000</v>
      </c>
      <c r="AO68" s="3300"/>
      <c r="AP68" s="3300"/>
      <c r="AQ68" s="3300"/>
      <c r="AR68" s="3292"/>
      <c r="AS68" s="3292"/>
      <c r="AT68" s="3292"/>
      <c r="AU68" s="3293" t="str">
        <f t="shared" si="12"/>
        <v/>
      </c>
      <c r="AV68" s="3293" t="str">
        <f t="shared" si="13"/>
        <v/>
      </c>
      <c r="AW68" s="3294"/>
      <c r="AX68" s="3236"/>
      <c r="AY68" s="3244"/>
      <c r="AZ68" s="3295" t="s">
        <v>4464</v>
      </c>
      <c r="BA68" s="3296" t="str">
        <f t="shared" ref="BA68:BA131" si="25">IF(E68=0,"未售",IF(J68&gt;0,"签约","认购"))</f>
        <v>签约</v>
      </c>
      <c r="BB68" s="3226" t="s">
        <v>4455</v>
      </c>
      <c r="BC68" s="3226"/>
      <c r="BD68" s="3292">
        <f>VLOOKUP(B68,[3]Sheet1!A$1:B$65536,2,0)</f>
        <v>43770</v>
      </c>
      <c r="BE68" s="3297" t="s">
        <v>4465</v>
      </c>
      <c r="BG68" s="3297">
        <f>IFERROR(VLOOKUP(B68,[3]Sheet2!A$1:B$65536,2,FALSE),0)</f>
        <v>0</v>
      </c>
      <c r="BI68" s="3297">
        <f>IFERROR(VLOOKUP(B68,[3]Sheet2!A$1:C$65536,2,FALSE),0)</f>
        <v>0</v>
      </c>
      <c r="BJ68" s="3297">
        <f>IFERROR(VLOOKUP(B68,[3]Sheet2!A$1:C$65536,3,FALSE),0)</f>
        <v>0</v>
      </c>
    </row>
    <row r="69" spans="1:62" s="3297" customFormat="1" ht="20.25" customHeight="1">
      <c r="A69" s="3226">
        <v>67</v>
      </c>
      <c r="B69" s="3226" t="s">
        <v>4585</v>
      </c>
      <c r="C69" s="3227" t="s">
        <v>3333</v>
      </c>
      <c r="D69" s="3228" t="s">
        <v>4586</v>
      </c>
      <c r="E69" s="3229">
        <v>43735</v>
      </c>
      <c r="F69" s="3230">
        <v>20000</v>
      </c>
      <c r="G69" s="3231">
        <v>132.6</v>
      </c>
      <c r="H69" s="3231" t="str">
        <f t="shared" si="14"/>
        <v>普通住宅</v>
      </c>
      <c r="I69" s="3230">
        <v>1901830</v>
      </c>
      <c r="J69" s="3229">
        <v>43738</v>
      </c>
      <c r="K69" s="3284">
        <f t="shared" si="15"/>
        <v>9</v>
      </c>
      <c r="L69" s="3230">
        <v>1810825</v>
      </c>
      <c r="M69" s="3235">
        <f t="shared" si="16"/>
        <v>13656.297134238312</v>
      </c>
      <c r="N69" s="3244">
        <v>530825</v>
      </c>
      <c r="O69" s="3244">
        <f t="shared" si="17"/>
        <v>1810825</v>
      </c>
      <c r="P69" s="3244"/>
      <c r="Q69" s="3244"/>
      <c r="R69" s="3244">
        <f t="shared" si="18"/>
        <v>550825</v>
      </c>
      <c r="S69" s="3244">
        <f t="shared" si="19"/>
        <v>0</v>
      </c>
      <c r="T69" s="3236">
        <v>550825</v>
      </c>
      <c r="U69" s="3236"/>
      <c r="V69" s="3236">
        <v>1260000</v>
      </c>
      <c r="W69" s="3236"/>
      <c r="X69" s="3244">
        <f t="shared" si="20"/>
        <v>1810825</v>
      </c>
      <c r="Y69" s="3244">
        <f t="shared" si="21"/>
        <v>0</v>
      </c>
      <c r="Z69" s="3285">
        <f t="shared" si="22"/>
        <v>1</v>
      </c>
      <c r="AA69" s="3226" t="s">
        <v>4416</v>
      </c>
      <c r="AB69" s="3313" t="s">
        <v>4587</v>
      </c>
      <c r="AC69" s="3226" t="s">
        <v>4418</v>
      </c>
      <c r="AD69" s="3286" t="s">
        <v>4419</v>
      </c>
      <c r="AE69" s="3286" t="s">
        <v>4427</v>
      </c>
      <c r="AF69" s="3286"/>
      <c r="AG69" s="3286"/>
      <c r="AH69" s="3255">
        <v>43790</v>
      </c>
      <c r="AI69" s="3255">
        <v>43790</v>
      </c>
      <c r="AJ69" s="3255">
        <v>43836</v>
      </c>
      <c r="AK69" s="3287">
        <f t="shared" si="23"/>
        <v>2020</v>
      </c>
      <c r="AL69" s="3288">
        <f t="shared" si="24"/>
        <v>1</v>
      </c>
      <c r="AM69" s="3226" t="s">
        <v>4433</v>
      </c>
      <c r="AN69" s="3289">
        <v>1260000</v>
      </c>
      <c r="AO69" s="3299"/>
      <c r="AP69" s="3299"/>
      <c r="AQ69" s="3300"/>
      <c r="AR69" s="3292"/>
      <c r="AS69" s="3292"/>
      <c r="AT69" s="3292"/>
      <c r="AU69" s="3293" t="str">
        <f t="shared" si="12"/>
        <v/>
      </c>
      <c r="AV69" s="3293" t="str">
        <f t="shared" si="13"/>
        <v/>
      </c>
      <c r="AW69" s="3294"/>
      <c r="AX69" s="3236"/>
      <c r="AY69" s="3244"/>
      <c r="AZ69" s="3295" t="s">
        <v>4445</v>
      </c>
      <c r="BA69" s="3296" t="str">
        <f t="shared" si="25"/>
        <v>签约</v>
      </c>
      <c r="BB69" s="3226" t="s">
        <v>4423</v>
      </c>
      <c r="BC69" s="3226"/>
      <c r="BD69" s="3292">
        <f>VLOOKUP(B69,[3]Sheet1!A$1:B$65536,2,0)</f>
        <v>43750</v>
      </c>
      <c r="BE69" s="3297" t="s">
        <v>4434</v>
      </c>
      <c r="BG69" s="3297">
        <f>IFERROR(VLOOKUP(B69,[3]Sheet2!A$1:B$65536,2,FALSE),0)</f>
        <v>0</v>
      </c>
      <c r="BI69" s="3297">
        <f>IFERROR(VLOOKUP(B69,[3]Sheet2!A$1:C$65536,2,FALSE),0)</f>
        <v>0</v>
      </c>
      <c r="BJ69" s="3297">
        <f>IFERROR(VLOOKUP(B69,[3]Sheet2!A$1:C$65536,3,FALSE),0)</f>
        <v>0</v>
      </c>
    </row>
    <row r="70" spans="1:62" s="3297" customFormat="1" ht="20.25" customHeight="1">
      <c r="A70" s="3226">
        <v>68</v>
      </c>
      <c r="B70" s="3226" t="s">
        <v>4588</v>
      </c>
      <c r="C70" s="3227" t="s">
        <v>3333</v>
      </c>
      <c r="D70" s="3228" t="s">
        <v>4589</v>
      </c>
      <c r="E70" s="3229">
        <v>43735</v>
      </c>
      <c r="F70" s="3230">
        <v>20000</v>
      </c>
      <c r="G70" s="3231">
        <v>132.6</v>
      </c>
      <c r="H70" s="3231" t="str">
        <f t="shared" si="14"/>
        <v>普通住宅</v>
      </c>
      <c r="I70" s="3238">
        <v>1894995</v>
      </c>
      <c r="J70" s="3239">
        <v>43738</v>
      </c>
      <c r="K70" s="3284">
        <f t="shared" si="15"/>
        <v>9</v>
      </c>
      <c r="L70" s="3238">
        <v>1849995</v>
      </c>
      <c r="M70" s="3235">
        <f t="shared" si="16"/>
        <v>13951.696832579186</v>
      </c>
      <c r="N70" s="3238">
        <f>589995+1240000</f>
        <v>1829995</v>
      </c>
      <c r="O70" s="3244">
        <f t="shared" si="17"/>
        <v>1849995</v>
      </c>
      <c r="P70" s="3244"/>
      <c r="Q70" s="3244"/>
      <c r="R70" s="3244">
        <f t="shared" si="18"/>
        <v>1849995</v>
      </c>
      <c r="S70" s="3244">
        <f t="shared" si="19"/>
        <v>1849995</v>
      </c>
      <c r="T70" s="3236"/>
      <c r="U70" s="3236"/>
      <c r="V70" s="3236"/>
      <c r="W70" s="3236"/>
      <c r="X70" s="3244">
        <f t="shared" si="20"/>
        <v>1849995</v>
      </c>
      <c r="Y70" s="3244">
        <f t="shared" si="21"/>
        <v>0</v>
      </c>
      <c r="Z70" s="3285">
        <f t="shared" si="22"/>
        <v>1</v>
      </c>
      <c r="AA70" s="3226" t="s">
        <v>4416</v>
      </c>
      <c r="AB70" s="3255" t="s">
        <v>4444</v>
      </c>
      <c r="AC70" s="3226"/>
      <c r="AD70" s="3286"/>
      <c r="AE70" s="3286"/>
      <c r="AF70" s="3286"/>
      <c r="AG70" s="3286"/>
      <c r="AH70" s="3255"/>
      <c r="AI70" s="3255"/>
      <c r="AJ70" s="3255"/>
      <c r="AK70" s="3287" t="str">
        <f t="shared" si="23"/>
        <v/>
      </c>
      <c r="AL70" s="3288" t="str">
        <f t="shared" si="24"/>
        <v/>
      </c>
      <c r="AM70" s="3226"/>
      <c r="AN70" s="3289"/>
      <c r="AO70" s="3300"/>
      <c r="AP70" s="3300"/>
      <c r="AQ70" s="3300"/>
      <c r="AR70" s="3292"/>
      <c r="AS70" s="3292"/>
      <c r="AT70" s="3292"/>
      <c r="AU70" s="3293" t="str">
        <f t="shared" si="12"/>
        <v/>
      </c>
      <c r="AV70" s="3293" t="str">
        <f t="shared" si="13"/>
        <v/>
      </c>
      <c r="AW70" s="3294"/>
      <c r="AX70" s="3236"/>
      <c r="AY70" s="3244"/>
      <c r="AZ70" s="3295" t="s">
        <v>4464</v>
      </c>
      <c r="BA70" s="3296" t="str">
        <f t="shared" si="25"/>
        <v>签约</v>
      </c>
      <c r="BB70" s="3226" t="s">
        <v>4455</v>
      </c>
      <c r="BC70" s="3226"/>
      <c r="BD70" s="3292">
        <f>VLOOKUP(B70,[3]Sheet1!A$1:B$65536,2,0)</f>
        <v>43750</v>
      </c>
      <c r="BE70" s="3297" t="s">
        <v>4465</v>
      </c>
      <c r="BG70" s="3297">
        <f>IFERROR(VLOOKUP(B70,[3]Sheet2!A$1:B$65536,2,FALSE),0)</f>
        <v>0</v>
      </c>
      <c r="BI70" s="3297">
        <f>IFERROR(VLOOKUP(B70,[3]Sheet2!A$1:C$65536,2,FALSE),0)</f>
        <v>0</v>
      </c>
      <c r="BJ70" s="3297">
        <f>IFERROR(VLOOKUP(B70,[3]Sheet2!A$1:C$65536,3,FALSE),0)</f>
        <v>0</v>
      </c>
    </row>
    <row r="71" spans="1:62" s="3297" customFormat="1" ht="20.25" customHeight="1">
      <c r="A71" s="3226">
        <v>69</v>
      </c>
      <c r="B71" s="3226" t="s">
        <v>4590</v>
      </c>
      <c r="C71" s="3227" t="s">
        <v>3333</v>
      </c>
      <c r="D71" s="3228" t="s">
        <v>4591</v>
      </c>
      <c r="E71" s="3229">
        <v>43735</v>
      </c>
      <c r="F71" s="3230">
        <v>20000</v>
      </c>
      <c r="G71" s="3231">
        <v>132.6</v>
      </c>
      <c r="H71" s="3231" t="str">
        <f t="shared" si="14"/>
        <v>普通住宅</v>
      </c>
      <c r="I71" s="3230">
        <v>1888160</v>
      </c>
      <c r="J71" s="3229">
        <v>43738</v>
      </c>
      <c r="K71" s="3284">
        <f t="shared" si="15"/>
        <v>9</v>
      </c>
      <c r="L71" s="3230">
        <v>1853160</v>
      </c>
      <c r="M71" s="3235">
        <f t="shared" si="16"/>
        <v>13975.565610859729</v>
      </c>
      <c r="N71" s="3236">
        <v>543160</v>
      </c>
      <c r="O71" s="3244">
        <f t="shared" si="17"/>
        <v>1853160</v>
      </c>
      <c r="P71" s="3244"/>
      <c r="Q71" s="3244"/>
      <c r="R71" s="3244">
        <f t="shared" si="18"/>
        <v>563160</v>
      </c>
      <c r="S71" s="3244">
        <f t="shared" si="19"/>
        <v>563160</v>
      </c>
      <c r="T71" s="3236"/>
      <c r="U71" s="3236"/>
      <c r="V71" s="3236">
        <v>1290000</v>
      </c>
      <c r="W71" s="3236"/>
      <c r="X71" s="3244">
        <f t="shared" si="20"/>
        <v>1853160</v>
      </c>
      <c r="Y71" s="3244">
        <f t="shared" si="21"/>
        <v>0</v>
      </c>
      <c r="Z71" s="3285">
        <f t="shared" si="22"/>
        <v>1</v>
      </c>
      <c r="AA71" s="3226" t="s">
        <v>4416</v>
      </c>
      <c r="AB71" s="3255" t="s">
        <v>4417</v>
      </c>
      <c r="AC71" s="3226" t="s">
        <v>4418</v>
      </c>
      <c r="AD71" s="3286" t="s">
        <v>4419</v>
      </c>
      <c r="AE71" s="3286" t="s">
        <v>4420</v>
      </c>
      <c r="AF71" s="3286"/>
      <c r="AG71" s="3286"/>
      <c r="AH71" s="3255">
        <v>43738</v>
      </c>
      <c r="AI71" s="3255">
        <v>43746</v>
      </c>
      <c r="AJ71" s="3255">
        <v>43769</v>
      </c>
      <c r="AK71" s="3287">
        <f t="shared" si="23"/>
        <v>2019</v>
      </c>
      <c r="AL71" s="3288">
        <f t="shared" si="24"/>
        <v>10</v>
      </c>
      <c r="AM71" s="3302" t="s">
        <v>4421</v>
      </c>
      <c r="AN71" s="3298">
        <v>1290000</v>
      </c>
      <c r="AO71" s="3300"/>
      <c r="AP71" s="3300"/>
      <c r="AQ71" s="3300"/>
      <c r="AR71" s="3292"/>
      <c r="AS71" s="3292"/>
      <c r="AT71" s="3292"/>
      <c r="AU71" s="3293" t="str">
        <f t="shared" si="12"/>
        <v/>
      </c>
      <c r="AV71" s="3293" t="str">
        <f t="shared" si="13"/>
        <v/>
      </c>
      <c r="AW71" s="3294"/>
      <c r="AX71" s="3236"/>
      <c r="AY71" s="3244"/>
      <c r="AZ71" s="3295" t="s">
        <v>4429</v>
      </c>
      <c r="BA71" s="3296" t="str">
        <f t="shared" si="25"/>
        <v>签约</v>
      </c>
      <c r="BB71" s="3226" t="s">
        <v>4423</v>
      </c>
      <c r="BC71" s="3226" t="s">
        <v>4430</v>
      </c>
      <c r="BD71" s="3292">
        <f>VLOOKUP(B71,[3]Sheet1!A$1:B$65536,2,0)</f>
        <v>43749</v>
      </c>
      <c r="BE71" s="3297" t="s">
        <v>4367</v>
      </c>
      <c r="BG71" s="3297">
        <f>IFERROR(VLOOKUP(B71,[3]Sheet2!A$1:B$65536,2,FALSE),0)</f>
        <v>0</v>
      </c>
      <c r="BI71" s="3297">
        <f>IFERROR(VLOOKUP(B71,[3]Sheet2!A$1:C$65536,2,FALSE),0)</f>
        <v>0</v>
      </c>
      <c r="BJ71" s="3297">
        <f>IFERROR(VLOOKUP(B71,[3]Sheet2!A$1:C$65536,3,FALSE),0)</f>
        <v>0</v>
      </c>
    </row>
    <row r="72" spans="1:62" s="3297" customFormat="1" ht="20.25" customHeight="1">
      <c r="A72" s="3226">
        <v>70</v>
      </c>
      <c r="B72" s="3226" t="s">
        <v>4592</v>
      </c>
      <c r="C72" s="3227" t="s">
        <v>3333</v>
      </c>
      <c r="D72" s="3228" t="s">
        <v>4593</v>
      </c>
      <c r="E72" s="3229">
        <v>43735</v>
      </c>
      <c r="F72" s="3230">
        <v>20000</v>
      </c>
      <c r="G72" s="3231">
        <v>132.6</v>
      </c>
      <c r="H72" s="3231" t="str">
        <f t="shared" si="14"/>
        <v>普通住宅</v>
      </c>
      <c r="I72" s="3230">
        <v>1881325</v>
      </c>
      <c r="J72" s="3229">
        <v>43738</v>
      </c>
      <c r="K72" s="3284">
        <f t="shared" si="15"/>
        <v>9</v>
      </c>
      <c r="L72" s="3230">
        <v>1846325</v>
      </c>
      <c r="M72" s="3235">
        <f t="shared" si="16"/>
        <v>13924.019607843138</v>
      </c>
      <c r="N72" s="3236">
        <v>1026325</v>
      </c>
      <c r="O72" s="3244">
        <f t="shared" si="17"/>
        <v>1846325</v>
      </c>
      <c r="P72" s="3244"/>
      <c r="Q72" s="3244"/>
      <c r="R72" s="3244">
        <f t="shared" si="18"/>
        <v>1046325</v>
      </c>
      <c r="S72" s="3244">
        <f t="shared" si="19"/>
        <v>1046325</v>
      </c>
      <c r="T72" s="3236"/>
      <c r="U72" s="3236"/>
      <c r="V72" s="3236">
        <v>800000</v>
      </c>
      <c r="W72" s="3236"/>
      <c r="X72" s="3244">
        <f t="shared" si="20"/>
        <v>1846325</v>
      </c>
      <c r="Y72" s="3244">
        <f t="shared" si="21"/>
        <v>0</v>
      </c>
      <c r="Z72" s="3285">
        <f t="shared" si="22"/>
        <v>1</v>
      </c>
      <c r="AA72" s="3226" t="s">
        <v>4416</v>
      </c>
      <c r="AB72" s="3255" t="s">
        <v>4417</v>
      </c>
      <c r="AC72" s="3226" t="s">
        <v>4418</v>
      </c>
      <c r="AD72" s="3286" t="s">
        <v>4419</v>
      </c>
      <c r="AE72" s="3286" t="s">
        <v>4420</v>
      </c>
      <c r="AF72" s="3286"/>
      <c r="AG72" s="3286"/>
      <c r="AH72" s="3255">
        <v>43738</v>
      </c>
      <c r="AI72" s="3255">
        <v>43748</v>
      </c>
      <c r="AJ72" s="3255">
        <v>43775</v>
      </c>
      <c r="AK72" s="3287">
        <f t="shared" si="23"/>
        <v>2019</v>
      </c>
      <c r="AL72" s="3288">
        <f t="shared" si="24"/>
        <v>11</v>
      </c>
      <c r="AM72" s="3226" t="s">
        <v>4474</v>
      </c>
      <c r="AN72" s="3289">
        <v>800000</v>
      </c>
      <c r="AO72" s="3300"/>
      <c r="AP72" s="3300"/>
      <c r="AQ72" s="3300"/>
      <c r="AR72" s="3292"/>
      <c r="AS72" s="3292"/>
      <c r="AT72" s="3292"/>
      <c r="AU72" s="3293" t="str">
        <f t="shared" si="12"/>
        <v/>
      </c>
      <c r="AV72" s="3293" t="str">
        <f t="shared" si="13"/>
        <v/>
      </c>
      <c r="AW72" s="3294"/>
      <c r="AX72" s="3236"/>
      <c r="AY72" s="3244"/>
      <c r="AZ72" s="3295" t="s">
        <v>4422</v>
      </c>
      <c r="BA72" s="3296" t="str">
        <f t="shared" si="25"/>
        <v>签约</v>
      </c>
      <c r="BB72" s="3226" t="s">
        <v>4423</v>
      </c>
      <c r="BC72" s="3226"/>
      <c r="BD72" s="3292">
        <f>VLOOKUP(B72,[3]Sheet1!A$1:B$65536,2,0)</f>
        <v>43751</v>
      </c>
      <c r="BE72" s="3297" t="s">
        <v>4465</v>
      </c>
      <c r="BG72" s="3297">
        <f>IFERROR(VLOOKUP(B72,[3]Sheet2!A$1:B$65536,2,FALSE),0)</f>
        <v>0</v>
      </c>
      <c r="BI72" s="3297">
        <f>IFERROR(VLOOKUP(B72,[3]Sheet2!A$1:C$65536,2,FALSE),0)</f>
        <v>0</v>
      </c>
      <c r="BJ72" s="3297">
        <f>IFERROR(VLOOKUP(B72,[3]Sheet2!A$1:C$65536,3,FALSE),0)</f>
        <v>0</v>
      </c>
    </row>
    <row r="73" spans="1:62" s="3297" customFormat="1" ht="20.25" customHeight="1">
      <c r="A73" s="3226">
        <v>71</v>
      </c>
      <c r="B73" s="3226" t="s">
        <v>4594</v>
      </c>
      <c r="C73" s="3227" t="s">
        <v>3333</v>
      </c>
      <c r="D73" s="3228" t="s">
        <v>4595</v>
      </c>
      <c r="E73" s="3229">
        <v>43735</v>
      </c>
      <c r="F73" s="3230">
        <v>20000</v>
      </c>
      <c r="G73" s="3231">
        <v>132.6</v>
      </c>
      <c r="H73" s="3231" t="str">
        <f t="shared" si="14"/>
        <v>普通住宅</v>
      </c>
      <c r="I73" s="3230">
        <v>1874490</v>
      </c>
      <c r="J73" s="3229">
        <v>43752</v>
      </c>
      <c r="K73" s="3284">
        <f t="shared" si="15"/>
        <v>10</v>
      </c>
      <c r="L73" s="3230">
        <v>1839490</v>
      </c>
      <c r="M73" s="3235">
        <f t="shared" si="16"/>
        <v>13872.473604826546</v>
      </c>
      <c r="N73" s="3236">
        <v>539490</v>
      </c>
      <c r="O73" s="3244">
        <f t="shared" si="17"/>
        <v>1839490</v>
      </c>
      <c r="P73" s="3244"/>
      <c r="Q73" s="3244"/>
      <c r="R73" s="3244">
        <f t="shared" si="18"/>
        <v>559490</v>
      </c>
      <c r="S73" s="3244">
        <f t="shared" si="19"/>
        <v>559490</v>
      </c>
      <c r="T73" s="3236"/>
      <c r="U73" s="3236"/>
      <c r="V73" s="3236">
        <v>1280000</v>
      </c>
      <c r="W73" s="3236"/>
      <c r="X73" s="3244">
        <f t="shared" si="20"/>
        <v>1839490</v>
      </c>
      <c r="Y73" s="3244">
        <f t="shared" si="21"/>
        <v>0</v>
      </c>
      <c r="Z73" s="3285">
        <f t="shared" si="22"/>
        <v>1</v>
      </c>
      <c r="AA73" s="3226" t="s">
        <v>4416</v>
      </c>
      <c r="AB73" s="3255" t="s">
        <v>4417</v>
      </c>
      <c r="AC73" s="3226" t="s">
        <v>4418</v>
      </c>
      <c r="AD73" s="3286" t="s">
        <v>4419</v>
      </c>
      <c r="AE73" s="3286" t="s">
        <v>4427</v>
      </c>
      <c r="AF73" s="3286"/>
      <c r="AG73" s="3286"/>
      <c r="AH73" s="3255">
        <v>43752</v>
      </c>
      <c r="AI73" s="3255">
        <v>43768</v>
      </c>
      <c r="AJ73" s="3255">
        <v>43833</v>
      </c>
      <c r="AK73" s="3287">
        <f t="shared" si="23"/>
        <v>2020</v>
      </c>
      <c r="AL73" s="3288">
        <f t="shared" si="24"/>
        <v>1</v>
      </c>
      <c r="AM73" s="3226" t="s">
        <v>4421</v>
      </c>
      <c r="AN73" s="3289">
        <v>1280000</v>
      </c>
      <c r="AO73" s="3299"/>
      <c r="AP73" s="3299"/>
      <c r="AQ73" s="3300"/>
      <c r="AR73" s="3292"/>
      <c r="AS73" s="3292"/>
      <c r="AT73" s="3292"/>
      <c r="AU73" s="3293" t="str">
        <f t="shared" si="12"/>
        <v/>
      </c>
      <c r="AV73" s="3293" t="str">
        <f t="shared" si="13"/>
        <v/>
      </c>
      <c r="AW73" s="3294"/>
      <c r="AX73" s="3236"/>
      <c r="AY73" s="3244"/>
      <c r="AZ73" s="3295" t="s">
        <v>4482</v>
      </c>
      <c r="BA73" s="3296" t="str">
        <f t="shared" si="25"/>
        <v>签约</v>
      </c>
      <c r="BB73" s="3226" t="s">
        <v>4455</v>
      </c>
      <c r="BC73" s="3226"/>
      <c r="BD73" s="3292">
        <f>VLOOKUP(B73,[3]Sheet1!A$1:B$65536,2,0)</f>
        <v>43754</v>
      </c>
      <c r="BE73" s="3297" t="s">
        <v>4449</v>
      </c>
      <c r="BG73" s="3297">
        <f>IFERROR(VLOOKUP(B73,[3]Sheet2!A$1:B$65536,2,FALSE),0)</f>
        <v>0</v>
      </c>
      <c r="BI73" s="3297">
        <f>IFERROR(VLOOKUP(B73,[3]Sheet2!A$1:C$65536,2,FALSE),0)</f>
        <v>0</v>
      </c>
      <c r="BJ73" s="3297">
        <f>IFERROR(VLOOKUP(B73,[3]Sheet2!A$1:C$65536,3,FALSE),0)</f>
        <v>0</v>
      </c>
    </row>
    <row r="74" spans="1:62" s="3297" customFormat="1" ht="20.25" customHeight="1">
      <c r="A74" s="3226">
        <v>72</v>
      </c>
      <c r="B74" s="3226" t="s">
        <v>4596</v>
      </c>
      <c r="C74" s="3227" t="s">
        <v>3333</v>
      </c>
      <c r="D74" s="3228" t="s">
        <v>4597</v>
      </c>
      <c r="E74" s="3229">
        <v>43735</v>
      </c>
      <c r="F74" s="3230">
        <v>20000</v>
      </c>
      <c r="G74" s="3231">
        <v>132.6</v>
      </c>
      <c r="H74" s="3231" t="str">
        <f t="shared" si="14"/>
        <v>普通住宅</v>
      </c>
      <c r="I74" s="3238">
        <v>1833480</v>
      </c>
      <c r="J74" s="3239">
        <v>43737</v>
      </c>
      <c r="K74" s="3284">
        <f t="shared" si="15"/>
        <v>9</v>
      </c>
      <c r="L74" s="3238">
        <v>1798480</v>
      </c>
      <c r="M74" s="3235">
        <f t="shared" si="16"/>
        <v>13563.197586726999</v>
      </c>
      <c r="N74" s="3236">
        <v>778480</v>
      </c>
      <c r="O74" s="3244">
        <f t="shared" si="17"/>
        <v>1798480</v>
      </c>
      <c r="P74" s="3244"/>
      <c r="Q74" s="3244"/>
      <c r="R74" s="3244">
        <f t="shared" si="18"/>
        <v>798480</v>
      </c>
      <c r="S74" s="3244">
        <f t="shared" si="19"/>
        <v>798480</v>
      </c>
      <c r="T74" s="3236"/>
      <c r="U74" s="3236"/>
      <c r="V74" s="3236">
        <v>1000000</v>
      </c>
      <c r="W74" s="3236"/>
      <c r="X74" s="3244">
        <f t="shared" si="20"/>
        <v>1798480</v>
      </c>
      <c r="Y74" s="3244">
        <f t="shared" si="21"/>
        <v>0</v>
      </c>
      <c r="Z74" s="3285">
        <f t="shared" si="22"/>
        <v>1</v>
      </c>
      <c r="AA74" s="3226" t="s">
        <v>4416</v>
      </c>
      <c r="AB74" s="3255" t="s">
        <v>4417</v>
      </c>
      <c r="AC74" s="3226" t="s">
        <v>4418</v>
      </c>
      <c r="AD74" s="3286" t="s">
        <v>4419</v>
      </c>
      <c r="AE74" s="3286" t="s">
        <v>4420</v>
      </c>
      <c r="AF74" s="3286"/>
      <c r="AG74" s="3286"/>
      <c r="AH74" s="3255">
        <v>43738</v>
      </c>
      <c r="AI74" s="3255">
        <v>43749</v>
      </c>
      <c r="AJ74" s="3255">
        <v>43761</v>
      </c>
      <c r="AK74" s="3287">
        <f t="shared" si="23"/>
        <v>2019</v>
      </c>
      <c r="AL74" s="3288">
        <f t="shared" si="24"/>
        <v>10</v>
      </c>
      <c r="AM74" s="3302" t="s">
        <v>4421</v>
      </c>
      <c r="AN74" s="3298">
        <v>1000000</v>
      </c>
      <c r="AO74" s="3300"/>
      <c r="AP74" s="3300"/>
      <c r="AQ74" s="3300"/>
      <c r="AR74" s="3292"/>
      <c r="AS74" s="3292"/>
      <c r="AT74" s="3292"/>
      <c r="AU74" s="3293" t="str">
        <f t="shared" si="12"/>
        <v/>
      </c>
      <c r="AV74" s="3293" t="str">
        <f t="shared" si="13"/>
        <v/>
      </c>
      <c r="AW74" s="3294"/>
      <c r="AX74" s="3236"/>
      <c r="AY74" s="3244"/>
      <c r="AZ74" s="3295" t="s">
        <v>4429</v>
      </c>
      <c r="BA74" s="3296" t="str">
        <f t="shared" si="25"/>
        <v>签约</v>
      </c>
      <c r="BB74" s="3226" t="s">
        <v>4423</v>
      </c>
      <c r="BC74" s="3226"/>
      <c r="BD74" s="3292">
        <f>VLOOKUP(B74,[3]Sheet1!A$1:B$65536,2,0)</f>
        <v>43749</v>
      </c>
      <c r="BE74" s="3297" t="s">
        <v>4449</v>
      </c>
      <c r="BG74" s="3297">
        <f>IFERROR(VLOOKUP(B74,[3]Sheet2!A$1:B$65536,2,FALSE),0)</f>
        <v>0</v>
      </c>
      <c r="BI74" s="3297">
        <f>IFERROR(VLOOKUP(B74,[3]Sheet2!A$1:C$65536,2,FALSE),0)</f>
        <v>0</v>
      </c>
      <c r="BJ74" s="3297">
        <f>IFERROR(VLOOKUP(B74,[3]Sheet2!A$1:C$65536,3,FALSE),0)</f>
        <v>0</v>
      </c>
    </row>
    <row r="75" spans="1:62" s="3309" customFormat="1" ht="20.25" customHeight="1">
      <c r="A75" s="3226">
        <v>73</v>
      </c>
      <c r="B75" s="3226" t="s">
        <v>4598</v>
      </c>
      <c r="C75" s="3227" t="s">
        <v>3333</v>
      </c>
      <c r="D75" s="3228" t="s">
        <v>4599</v>
      </c>
      <c r="E75" s="3229">
        <v>43735</v>
      </c>
      <c r="F75" s="3230">
        <v>20000</v>
      </c>
      <c r="G75" s="3231">
        <v>132.6</v>
      </c>
      <c r="H75" s="3231" t="str">
        <f t="shared" si="14"/>
        <v>普通住宅</v>
      </c>
      <c r="I75" s="3241">
        <v>1785634</v>
      </c>
      <c r="J75" s="3242">
        <v>43737</v>
      </c>
      <c r="K75" s="3284">
        <f t="shared" si="15"/>
        <v>9</v>
      </c>
      <c r="L75" s="3241">
        <v>1750634</v>
      </c>
      <c r="M75" s="3235">
        <f t="shared" si="16"/>
        <v>13202.368024132731</v>
      </c>
      <c r="N75" s="3243">
        <v>650634</v>
      </c>
      <c r="O75" s="3244">
        <f t="shared" si="17"/>
        <v>1750634</v>
      </c>
      <c r="P75" s="3247"/>
      <c r="Q75" s="3244"/>
      <c r="R75" s="3244">
        <f t="shared" si="18"/>
        <v>670634</v>
      </c>
      <c r="S75" s="3244">
        <f t="shared" si="19"/>
        <v>670634</v>
      </c>
      <c r="T75" s="3243"/>
      <c r="U75" s="3243"/>
      <c r="V75" s="3243">
        <v>1080000</v>
      </c>
      <c r="W75" s="3243"/>
      <c r="X75" s="3244">
        <f t="shared" si="20"/>
        <v>1750634</v>
      </c>
      <c r="Y75" s="3244">
        <f t="shared" si="21"/>
        <v>0</v>
      </c>
      <c r="Z75" s="3285">
        <f t="shared" si="22"/>
        <v>1</v>
      </c>
      <c r="AA75" s="3240" t="s">
        <v>4416</v>
      </c>
      <c r="AB75" s="3255" t="s">
        <v>4417</v>
      </c>
      <c r="AC75" s="3226" t="s">
        <v>4418</v>
      </c>
      <c r="AD75" s="3286" t="s">
        <v>4419</v>
      </c>
      <c r="AE75" s="3286" t="s">
        <v>4427</v>
      </c>
      <c r="AF75" s="3286"/>
      <c r="AG75" s="3303"/>
      <c r="AH75" s="3304">
        <v>43738</v>
      </c>
      <c r="AI75" s="3255">
        <v>43768</v>
      </c>
      <c r="AJ75" s="3255">
        <v>43833</v>
      </c>
      <c r="AK75" s="3287">
        <f t="shared" si="23"/>
        <v>2020</v>
      </c>
      <c r="AL75" s="3288">
        <f t="shared" si="24"/>
        <v>1</v>
      </c>
      <c r="AM75" s="3240" t="s">
        <v>4421</v>
      </c>
      <c r="AN75" s="3311">
        <v>1080000</v>
      </c>
      <c r="AO75" s="3312"/>
      <c r="AP75" s="3312"/>
      <c r="AQ75" s="3312"/>
      <c r="AR75" s="3307"/>
      <c r="AS75" s="3307"/>
      <c r="AT75" s="3292"/>
      <c r="AU75" s="3293" t="str">
        <f t="shared" ref="AU75:AU138" si="26">IF(ISBLANK(AT75),"",YEAR(AT75))</f>
        <v/>
      </c>
      <c r="AV75" s="3293" t="str">
        <f t="shared" ref="AV75:AV138" si="27">IF(ISBLANK(AT75),"",MONTH(AT75))</f>
        <v/>
      </c>
      <c r="AW75" s="3308"/>
      <c r="AX75" s="3243"/>
      <c r="AY75" s="3247"/>
      <c r="AZ75" s="3295" t="s">
        <v>4464</v>
      </c>
      <c r="BA75" s="3296" t="str">
        <f t="shared" si="25"/>
        <v>签约</v>
      </c>
      <c r="BB75" s="3226" t="s">
        <v>4455</v>
      </c>
      <c r="BC75" s="3226"/>
      <c r="BD75" s="3292">
        <f>VLOOKUP(B75,[3]Sheet1!A$1:B$65536,2,0)</f>
        <v>43750</v>
      </c>
      <c r="BE75" s="3297" t="s">
        <v>4449</v>
      </c>
      <c r="BG75" s="3297">
        <f>IFERROR(VLOOKUP(B75,[3]Sheet2!A$1:B$65536,2,FALSE),0)</f>
        <v>0</v>
      </c>
      <c r="BI75" s="3297">
        <f>IFERROR(VLOOKUP(B75,[3]Sheet2!A$1:C$65536,2,FALSE),0)</f>
        <v>0</v>
      </c>
      <c r="BJ75" s="3297">
        <f>IFERROR(VLOOKUP(B75,[3]Sheet2!A$1:C$65536,3,FALSE),0)</f>
        <v>0</v>
      </c>
    </row>
    <row r="76" spans="1:62" s="3309" customFormat="1" ht="20.25" customHeight="1">
      <c r="A76" s="3226">
        <v>74</v>
      </c>
      <c r="B76" s="3240" t="s">
        <v>4600</v>
      </c>
      <c r="C76" s="3227" t="s">
        <v>3333</v>
      </c>
      <c r="D76" s="3228" t="s">
        <v>4601</v>
      </c>
      <c r="E76" s="3229">
        <v>43735</v>
      </c>
      <c r="F76" s="3230">
        <v>20000</v>
      </c>
      <c r="G76" s="3240">
        <v>131.41</v>
      </c>
      <c r="H76" s="3231" t="str">
        <f t="shared" si="14"/>
        <v>普通住宅</v>
      </c>
      <c r="I76" s="3241">
        <v>1757898</v>
      </c>
      <c r="J76" s="3242">
        <v>43736</v>
      </c>
      <c r="K76" s="3284">
        <f t="shared" si="15"/>
        <v>9</v>
      </c>
      <c r="L76" s="3241">
        <v>1722898</v>
      </c>
      <c r="M76" s="3235">
        <f t="shared" si="16"/>
        <v>13110.859143139793</v>
      </c>
      <c r="N76" s="3241">
        <v>502898</v>
      </c>
      <c r="O76" s="3244">
        <f t="shared" si="17"/>
        <v>1722898</v>
      </c>
      <c r="P76" s="3247"/>
      <c r="Q76" s="3244"/>
      <c r="R76" s="3244">
        <f t="shared" si="18"/>
        <v>522898</v>
      </c>
      <c r="S76" s="3244">
        <f t="shared" si="19"/>
        <v>522898</v>
      </c>
      <c r="T76" s="3243"/>
      <c r="U76" s="3243"/>
      <c r="V76" s="3243">
        <v>1200000</v>
      </c>
      <c r="W76" s="3243"/>
      <c r="X76" s="3244">
        <f t="shared" si="20"/>
        <v>1722898</v>
      </c>
      <c r="Y76" s="3244">
        <f t="shared" si="21"/>
        <v>0</v>
      </c>
      <c r="Z76" s="3285">
        <f t="shared" si="22"/>
        <v>1</v>
      </c>
      <c r="AA76" s="3226" t="s">
        <v>4416</v>
      </c>
      <c r="AB76" s="3255" t="s">
        <v>4417</v>
      </c>
      <c r="AC76" s="3226" t="s">
        <v>4418</v>
      </c>
      <c r="AD76" s="3286" t="s">
        <v>4419</v>
      </c>
      <c r="AE76" s="3286" t="s">
        <v>4427</v>
      </c>
      <c r="AF76" s="3286"/>
      <c r="AG76" s="3303"/>
      <c r="AH76" s="3304">
        <v>43738</v>
      </c>
      <c r="AI76" s="3255">
        <v>43768</v>
      </c>
      <c r="AJ76" s="3304">
        <v>43803</v>
      </c>
      <c r="AK76" s="3287">
        <f t="shared" si="23"/>
        <v>2019</v>
      </c>
      <c r="AL76" s="3288">
        <f t="shared" si="24"/>
        <v>12</v>
      </c>
      <c r="AM76" s="3240" t="s">
        <v>4421</v>
      </c>
      <c r="AN76" s="3311">
        <v>1200000</v>
      </c>
      <c r="AO76" s="3312"/>
      <c r="AP76" s="3312"/>
      <c r="AQ76" s="3312"/>
      <c r="AR76" s="3307"/>
      <c r="AS76" s="3307"/>
      <c r="AT76" s="3292"/>
      <c r="AU76" s="3293" t="str">
        <f t="shared" si="26"/>
        <v/>
      </c>
      <c r="AV76" s="3293" t="str">
        <f t="shared" si="27"/>
        <v/>
      </c>
      <c r="AW76" s="3308"/>
      <c r="AX76" s="3243"/>
      <c r="AY76" s="3247"/>
      <c r="AZ76" s="3295" t="s">
        <v>4486</v>
      </c>
      <c r="BA76" s="3296" t="str">
        <f t="shared" si="25"/>
        <v>签约</v>
      </c>
      <c r="BB76" s="3226" t="s">
        <v>4423</v>
      </c>
      <c r="BC76" s="3226"/>
      <c r="BD76" s="3292">
        <f>VLOOKUP(B76,[3]Sheet1!A$1:B$65536,2,0)</f>
        <v>43749</v>
      </c>
      <c r="BE76" s="3297" t="s">
        <v>4367</v>
      </c>
      <c r="BG76" s="3297">
        <f>IFERROR(VLOOKUP(B76,[3]Sheet2!A$1:B$65536,2,FALSE),0)</f>
        <v>0</v>
      </c>
      <c r="BI76" s="3297">
        <f>IFERROR(VLOOKUP(B76,[3]Sheet2!A$1:C$65536,2,FALSE),0)</f>
        <v>0</v>
      </c>
      <c r="BJ76" s="3297">
        <f>IFERROR(VLOOKUP(B76,[3]Sheet2!A$1:C$65536,3,FALSE),0)</f>
        <v>0</v>
      </c>
    </row>
    <row r="77" spans="1:62" s="3297" customFormat="1" ht="20.25" customHeight="1">
      <c r="A77" s="3226">
        <v>75</v>
      </c>
      <c r="B77" s="3226" t="s">
        <v>4602</v>
      </c>
      <c r="C77" s="3227" t="s">
        <v>3333</v>
      </c>
      <c r="D77" s="3228" t="s">
        <v>4603</v>
      </c>
      <c r="E77" s="3229">
        <v>43735</v>
      </c>
      <c r="F77" s="3230">
        <v>20000</v>
      </c>
      <c r="G77" s="3231">
        <v>131.44999999999999</v>
      </c>
      <c r="H77" s="3231" t="str">
        <f t="shared" si="14"/>
        <v>普通住宅</v>
      </c>
      <c r="I77" s="3230">
        <v>1832960</v>
      </c>
      <c r="J77" s="3229">
        <v>43736</v>
      </c>
      <c r="K77" s="3284">
        <f t="shared" si="15"/>
        <v>9</v>
      </c>
      <c r="L77" s="3230">
        <v>1797960</v>
      </c>
      <c r="M77" s="3235">
        <f t="shared" si="16"/>
        <v>13677.90034233549</v>
      </c>
      <c r="N77" s="3236">
        <f>530960+247000</f>
        <v>777960</v>
      </c>
      <c r="O77" s="3244">
        <f t="shared" si="17"/>
        <v>1797960</v>
      </c>
      <c r="P77" s="3244"/>
      <c r="Q77" s="3244"/>
      <c r="R77" s="3244">
        <f t="shared" si="18"/>
        <v>797960</v>
      </c>
      <c r="S77" s="3244">
        <f t="shared" si="19"/>
        <v>797960</v>
      </c>
      <c r="T77" s="3236"/>
      <c r="U77" s="3236"/>
      <c r="V77" s="3236">
        <v>1000000</v>
      </c>
      <c r="W77" s="3236"/>
      <c r="X77" s="3244">
        <f t="shared" si="20"/>
        <v>1797960</v>
      </c>
      <c r="Y77" s="3244">
        <f t="shared" si="21"/>
        <v>0</v>
      </c>
      <c r="Z77" s="3285">
        <f t="shared" si="22"/>
        <v>1</v>
      </c>
      <c r="AA77" s="3226" t="s">
        <v>4416</v>
      </c>
      <c r="AB77" s="3255" t="s">
        <v>4417</v>
      </c>
      <c r="AC77" s="3226" t="s">
        <v>4418</v>
      </c>
      <c r="AD77" s="3286" t="s">
        <v>4419</v>
      </c>
      <c r="AE77" s="3286" t="s">
        <v>4420</v>
      </c>
      <c r="AF77" s="3286"/>
      <c r="AG77" s="3286"/>
      <c r="AH77" s="3255">
        <v>43736</v>
      </c>
      <c r="AI77" s="3255">
        <v>43757</v>
      </c>
      <c r="AJ77" s="3255">
        <v>43769</v>
      </c>
      <c r="AK77" s="3287">
        <f t="shared" si="23"/>
        <v>2019</v>
      </c>
      <c r="AL77" s="3288">
        <f t="shared" si="24"/>
        <v>10</v>
      </c>
      <c r="AM77" s="3226" t="s">
        <v>4428</v>
      </c>
      <c r="AN77" s="3289">
        <v>1000000</v>
      </c>
      <c r="AO77" s="3300"/>
      <c r="AP77" s="3300"/>
      <c r="AQ77" s="3300"/>
      <c r="AR77" s="3292"/>
      <c r="AS77" s="3292"/>
      <c r="AT77" s="3292"/>
      <c r="AU77" s="3293" t="str">
        <f t="shared" si="26"/>
        <v/>
      </c>
      <c r="AV77" s="3293" t="str">
        <f t="shared" si="27"/>
        <v/>
      </c>
      <c r="AW77" s="3294"/>
      <c r="AX77" s="3236"/>
      <c r="AY77" s="3244"/>
      <c r="AZ77" s="3295" t="s">
        <v>4604</v>
      </c>
      <c r="BA77" s="3296" t="str">
        <f t="shared" si="25"/>
        <v>签约</v>
      </c>
      <c r="BB77" s="3226" t="s">
        <v>4455</v>
      </c>
      <c r="BC77" s="3226"/>
      <c r="BD77" s="3292">
        <f>VLOOKUP(B77,[3]Sheet1!A$1:B$65536,2,0)</f>
        <v>43748</v>
      </c>
      <c r="BE77" s="3297" t="s">
        <v>4449</v>
      </c>
      <c r="BG77" s="3297">
        <f>IFERROR(VLOOKUP(B77,[3]Sheet2!A$1:B$65536,2,FALSE),0)</f>
        <v>0</v>
      </c>
      <c r="BI77" s="3297">
        <f>IFERROR(VLOOKUP(B77,[3]Sheet2!A$1:C$65536,2,FALSE),0)</f>
        <v>0</v>
      </c>
      <c r="BJ77" s="3297">
        <f>IFERROR(VLOOKUP(B77,[3]Sheet2!A$1:C$65536,3,FALSE),0)</f>
        <v>0</v>
      </c>
    </row>
    <row r="78" spans="1:62" s="3297" customFormat="1" ht="20.25" customHeight="1">
      <c r="A78" s="3226">
        <v>76</v>
      </c>
      <c r="B78" s="3240" t="s">
        <v>4605</v>
      </c>
      <c r="C78" s="3227" t="s">
        <v>3333</v>
      </c>
      <c r="D78" s="3228" t="s">
        <v>4606</v>
      </c>
      <c r="E78" s="3229">
        <v>43735</v>
      </c>
      <c r="F78" s="3230">
        <v>20000</v>
      </c>
      <c r="G78" s="3231">
        <v>131.44999999999999</v>
      </c>
      <c r="H78" s="3231" t="str">
        <f t="shared" si="14"/>
        <v>普通住宅</v>
      </c>
      <c r="I78" s="3238">
        <v>1826184</v>
      </c>
      <c r="J78" s="3239">
        <v>43736</v>
      </c>
      <c r="K78" s="3284">
        <f t="shared" si="15"/>
        <v>9</v>
      </c>
      <c r="L78" s="3238">
        <v>1791184</v>
      </c>
      <c r="M78" s="3235">
        <f t="shared" si="16"/>
        <v>13626.352225180679</v>
      </c>
      <c r="N78" s="3236">
        <v>521184</v>
      </c>
      <c r="O78" s="3244">
        <f t="shared" si="17"/>
        <v>1791184</v>
      </c>
      <c r="P78" s="3244"/>
      <c r="Q78" s="3244"/>
      <c r="R78" s="3244">
        <f t="shared" si="18"/>
        <v>541184</v>
      </c>
      <c r="S78" s="3244">
        <f t="shared" si="19"/>
        <v>541184</v>
      </c>
      <c r="T78" s="3236"/>
      <c r="U78" s="3236"/>
      <c r="V78" s="3236">
        <v>1250000</v>
      </c>
      <c r="W78" s="3236"/>
      <c r="X78" s="3244">
        <f t="shared" si="20"/>
        <v>1791184</v>
      </c>
      <c r="Y78" s="3244">
        <f t="shared" si="21"/>
        <v>0</v>
      </c>
      <c r="Z78" s="3285">
        <f t="shared" si="22"/>
        <v>1</v>
      </c>
      <c r="AA78" s="3226" t="s">
        <v>4416</v>
      </c>
      <c r="AB78" s="3255" t="s">
        <v>4417</v>
      </c>
      <c r="AC78" s="3226" t="s">
        <v>4418</v>
      </c>
      <c r="AD78" s="3286" t="s">
        <v>4419</v>
      </c>
      <c r="AE78" s="3286" t="s">
        <v>4420</v>
      </c>
      <c r="AF78" s="3286"/>
      <c r="AG78" s="3286"/>
      <c r="AH78" s="3255">
        <v>43738</v>
      </c>
      <c r="AI78" s="3255">
        <v>43747</v>
      </c>
      <c r="AJ78" s="3255">
        <v>43770</v>
      </c>
      <c r="AK78" s="3287">
        <f t="shared" si="23"/>
        <v>2019</v>
      </c>
      <c r="AL78" s="3288">
        <f t="shared" si="24"/>
        <v>11</v>
      </c>
      <c r="AM78" s="3226" t="s">
        <v>4474</v>
      </c>
      <c r="AN78" s="3289">
        <v>1250000</v>
      </c>
      <c r="AO78" s="3299"/>
      <c r="AP78" s="3299"/>
      <c r="AQ78" s="3300"/>
      <c r="AR78" s="3292"/>
      <c r="AS78" s="3292"/>
      <c r="AT78" s="3292"/>
      <c r="AU78" s="3293" t="str">
        <f t="shared" si="26"/>
        <v/>
      </c>
      <c r="AV78" s="3293" t="str">
        <f t="shared" si="27"/>
        <v/>
      </c>
      <c r="AW78" s="3294"/>
      <c r="AX78" s="3236"/>
      <c r="AY78" s="3244"/>
      <c r="AZ78" s="3295" t="s">
        <v>4507</v>
      </c>
      <c r="BA78" s="3296" t="str">
        <f t="shared" si="25"/>
        <v>签约</v>
      </c>
      <c r="BB78" s="3226" t="s">
        <v>4423</v>
      </c>
      <c r="BC78" s="3226"/>
      <c r="BD78" s="3292">
        <f>VLOOKUP(B78,[3]Sheet1!A$1:B$65536,2,0)</f>
        <v>43749</v>
      </c>
      <c r="BE78" s="3297" t="s">
        <v>4465</v>
      </c>
      <c r="BG78" s="3297">
        <f>IFERROR(VLOOKUP(B78,[3]Sheet2!A$1:B$65536,2,FALSE),0)</f>
        <v>0</v>
      </c>
      <c r="BI78" s="3297">
        <f>IFERROR(VLOOKUP(B78,[3]Sheet2!A$1:C$65536,2,FALSE),0)</f>
        <v>0</v>
      </c>
      <c r="BJ78" s="3297">
        <f>IFERROR(VLOOKUP(B78,[3]Sheet2!A$1:C$65536,3,FALSE),0)</f>
        <v>0</v>
      </c>
    </row>
    <row r="79" spans="1:62" s="3297" customFormat="1" ht="20.25" customHeight="1">
      <c r="A79" s="3226">
        <v>77</v>
      </c>
      <c r="B79" s="3226" t="s">
        <v>4607</v>
      </c>
      <c r="C79" s="3227" t="s">
        <v>3333</v>
      </c>
      <c r="D79" s="3228" t="s">
        <v>4589</v>
      </c>
      <c r="E79" s="3229">
        <v>43735</v>
      </c>
      <c r="F79" s="3230">
        <v>20000</v>
      </c>
      <c r="G79" s="3231">
        <v>131.44999999999999</v>
      </c>
      <c r="H79" s="3231" t="str">
        <f t="shared" si="14"/>
        <v>普通住宅</v>
      </c>
      <c r="I79" s="3230">
        <v>1819408</v>
      </c>
      <c r="J79" s="3229">
        <v>43738</v>
      </c>
      <c r="K79" s="3284">
        <f t="shared" si="15"/>
        <v>9</v>
      </c>
      <c r="L79" s="3230">
        <v>1784408</v>
      </c>
      <c r="M79" s="3235">
        <f t="shared" si="16"/>
        <v>13574.804108025866</v>
      </c>
      <c r="N79" s="3236">
        <f>524408+640000</f>
        <v>1164408</v>
      </c>
      <c r="O79" s="3244">
        <f t="shared" si="17"/>
        <v>1784408</v>
      </c>
      <c r="P79" s="3244"/>
      <c r="Q79" s="3244"/>
      <c r="R79" s="3244">
        <f t="shared" si="18"/>
        <v>1184408</v>
      </c>
      <c r="S79" s="3244">
        <f t="shared" si="19"/>
        <v>1184408</v>
      </c>
      <c r="T79" s="3236"/>
      <c r="U79" s="3236"/>
      <c r="V79" s="3236">
        <v>600000</v>
      </c>
      <c r="W79" s="3236"/>
      <c r="X79" s="3244">
        <f t="shared" si="20"/>
        <v>1784408</v>
      </c>
      <c r="Y79" s="3244">
        <f t="shared" si="21"/>
        <v>0</v>
      </c>
      <c r="Z79" s="3285">
        <f t="shared" si="22"/>
        <v>1</v>
      </c>
      <c r="AA79" s="3226" t="s">
        <v>4416</v>
      </c>
      <c r="AB79" s="3255" t="s">
        <v>4417</v>
      </c>
      <c r="AC79" s="3226" t="s">
        <v>4418</v>
      </c>
      <c r="AD79" s="3286" t="s">
        <v>4419</v>
      </c>
      <c r="AE79" s="3286" t="s">
        <v>4420</v>
      </c>
      <c r="AF79" s="3286"/>
      <c r="AG79" s="3286"/>
      <c r="AH79" s="3255">
        <v>43738</v>
      </c>
      <c r="AI79" s="3255">
        <v>43748</v>
      </c>
      <c r="AJ79" s="3255">
        <v>43761</v>
      </c>
      <c r="AK79" s="3287">
        <f t="shared" si="23"/>
        <v>2019</v>
      </c>
      <c r="AL79" s="3288">
        <f t="shared" si="24"/>
        <v>10</v>
      </c>
      <c r="AM79" s="3226" t="s">
        <v>4421</v>
      </c>
      <c r="AN79" s="3298">
        <v>600000</v>
      </c>
      <c r="AO79" s="3300"/>
      <c r="AP79" s="3300"/>
      <c r="AQ79" s="3300"/>
      <c r="AR79" s="3292"/>
      <c r="AS79" s="3292"/>
      <c r="AT79" s="3292"/>
      <c r="AU79" s="3293" t="str">
        <f t="shared" si="26"/>
        <v/>
      </c>
      <c r="AV79" s="3293" t="str">
        <f t="shared" si="27"/>
        <v/>
      </c>
      <c r="AW79" s="3294"/>
      <c r="AX79" s="3236"/>
      <c r="AY79" s="3244"/>
      <c r="AZ79" s="3295" t="s">
        <v>4464</v>
      </c>
      <c r="BA79" s="3296" t="str">
        <f t="shared" si="25"/>
        <v>签约</v>
      </c>
      <c r="BB79" s="3226" t="s">
        <v>4455</v>
      </c>
      <c r="BC79" s="3226"/>
      <c r="BD79" s="3292">
        <f>VLOOKUP(B79,[3]Sheet1!A$1:B$65536,2,0)</f>
        <v>43750</v>
      </c>
      <c r="BE79" s="3297" t="s">
        <v>4465</v>
      </c>
      <c r="BG79" s="3297">
        <f>IFERROR(VLOOKUP(B79,[3]Sheet2!A$1:B$65536,2,FALSE),0)</f>
        <v>0</v>
      </c>
      <c r="BI79" s="3297">
        <f>IFERROR(VLOOKUP(B79,[3]Sheet2!A$1:C$65536,2,FALSE),0)</f>
        <v>0</v>
      </c>
      <c r="BJ79" s="3297">
        <f>IFERROR(VLOOKUP(B79,[3]Sheet2!A$1:C$65536,3,FALSE),0)</f>
        <v>0</v>
      </c>
    </row>
    <row r="80" spans="1:62" s="3297" customFormat="1" ht="20.25" customHeight="1">
      <c r="A80" s="3226">
        <v>78</v>
      </c>
      <c r="B80" s="3240" t="s">
        <v>4608</v>
      </c>
      <c r="C80" s="3227" t="s">
        <v>3333</v>
      </c>
      <c r="D80" s="3228" t="s">
        <v>4609</v>
      </c>
      <c r="E80" s="3229">
        <v>43735</v>
      </c>
      <c r="F80" s="3230">
        <v>20000</v>
      </c>
      <c r="G80" s="3231">
        <v>131.44999999999999</v>
      </c>
      <c r="H80" s="3231" t="str">
        <f t="shared" si="14"/>
        <v>普通住宅</v>
      </c>
      <c r="I80" s="3230">
        <v>1812633</v>
      </c>
      <c r="J80" s="3229">
        <v>43738</v>
      </c>
      <c r="K80" s="3284">
        <f t="shared" si="15"/>
        <v>9</v>
      </c>
      <c r="L80" s="3230">
        <v>1777633</v>
      </c>
      <c r="M80" s="3235">
        <f t="shared" si="16"/>
        <v>13523.263598326361</v>
      </c>
      <c r="N80" s="3236">
        <f>657633+200000</f>
        <v>857633</v>
      </c>
      <c r="O80" s="3244">
        <f t="shared" si="17"/>
        <v>1777633</v>
      </c>
      <c r="P80" s="3244"/>
      <c r="Q80" s="3244"/>
      <c r="R80" s="3244">
        <f t="shared" si="18"/>
        <v>877633</v>
      </c>
      <c r="S80" s="3244">
        <f t="shared" si="19"/>
        <v>877633</v>
      </c>
      <c r="T80" s="3236"/>
      <c r="U80" s="3236"/>
      <c r="V80" s="3236">
        <v>900000</v>
      </c>
      <c r="W80" s="3236"/>
      <c r="X80" s="3244">
        <f t="shared" si="20"/>
        <v>1777633</v>
      </c>
      <c r="Y80" s="3244">
        <f t="shared" si="21"/>
        <v>0</v>
      </c>
      <c r="Z80" s="3285">
        <f t="shared" si="22"/>
        <v>1</v>
      </c>
      <c r="AA80" s="3226" t="s">
        <v>4416</v>
      </c>
      <c r="AB80" s="3255" t="s">
        <v>4417</v>
      </c>
      <c r="AC80" s="3226" t="s">
        <v>4418</v>
      </c>
      <c r="AD80" s="3286" t="s">
        <v>4419</v>
      </c>
      <c r="AE80" s="3286" t="s">
        <v>4420</v>
      </c>
      <c r="AF80" s="3286"/>
      <c r="AG80" s="3286"/>
      <c r="AH80" s="3255">
        <v>43738</v>
      </c>
      <c r="AI80" s="3255">
        <v>43746</v>
      </c>
      <c r="AJ80" s="3255">
        <v>43774</v>
      </c>
      <c r="AK80" s="3287">
        <f t="shared" si="23"/>
        <v>2019</v>
      </c>
      <c r="AL80" s="3288">
        <f t="shared" si="24"/>
        <v>11</v>
      </c>
      <c r="AM80" s="3226" t="s">
        <v>4421</v>
      </c>
      <c r="AN80" s="3289">
        <v>900000</v>
      </c>
      <c r="AO80" s="3299"/>
      <c r="AP80" s="3299"/>
      <c r="AQ80" s="3300"/>
      <c r="AR80" s="3292"/>
      <c r="AS80" s="3292"/>
      <c r="AT80" s="3292"/>
      <c r="AU80" s="3293" t="str">
        <f t="shared" si="26"/>
        <v/>
      </c>
      <c r="AV80" s="3293" t="str">
        <f t="shared" si="27"/>
        <v/>
      </c>
      <c r="AW80" s="3294"/>
      <c r="AX80" s="3236"/>
      <c r="AY80" s="3244"/>
      <c r="AZ80" s="3295" t="s">
        <v>4454</v>
      </c>
      <c r="BA80" s="3296" t="str">
        <f t="shared" si="25"/>
        <v>签约</v>
      </c>
      <c r="BB80" s="3226" t="s">
        <v>4455</v>
      </c>
      <c r="BC80" s="3226" t="s">
        <v>4430</v>
      </c>
      <c r="BD80" s="3292">
        <f>VLOOKUP(B80,[3]Sheet1!A$1:B$65536,2,0)</f>
        <v>43747</v>
      </c>
      <c r="BE80" s="3297" t="s">
        <v>4367</v>
      </c>
      <c r="BG80" s="3297">
        <f>IFERROR(VLOOKUP(B80,[3]Sheet2!A$1:B$65536,2,FALSE),0)</f>
        <v>0</v>
      </c>
      <c r="BI80" s="3297">
        <f>IFERROR(VLOOKUP(B80,[3]Sheet2!A$1:C$65536,2,FALSE),0)</f>
        <v>0</v>
      </c>
      <c r="BJ80" s="3297">
        <f>IFERROR(VLOOKUP(B80,[3]Sheet2!A$1:C$65536,3,FALSE),0)</f>
        <v>0</v>
      </c>
    </row>
    <row r="81" spans="1:256" s="3297" customFormat="1" ht="20.25" customHeight="1">
      <c r="A81" s="3226">
        <v>79</v>
      </c>
      <c r="B81" s="3226" t="s">
        <v>4610</v>
      </c>
      <c r="C81" s="3227" t="s">
        <v>3333</v>
      </c>
      <c r="D81" s="3228" t="s">
        <v>4611</v>
      </c>
      <c r="E81" s="3229">
        <v>43735</v>
      </c>
      <c r="F81" s="3230">
        <v>20000</v>
      </c>
      <c r="G81" s="3231">
        <v>131.44999999999999</v>
      </c>
      <c r="H81" s="3231" t="str">
        <f t="shared" si="14"/>
        <v>普通住宅</v>
      </c>
      <c r="I81" s="3230">
        <v>1805857</v>
      </c>
      <c r="J81" s="3229">
        <v>43736</v>
      </c>
      <c r="K81" s="3284">
        <f t="shared" si="15"/>
        <v>9</v>
      </c>
      <c r="L81" s="3230">
        <v>1770857</v>
      </c>
      <c r="M81" s="3235">
        <f t="shared" si="16"/>
        <v>13471.71548117155</v>
      </c>
      <c r="N81" s="3236">
        <v>520857</v>
      </c>
      <c r="O81" s="3244">
        <f t="shared" si="17"/>
        <v>1770857</v>
      </c>
      <c r="P81" s="3244"/>
      <c r="Q81" s="3244"/>
      <c r="R81" s="3244">
        <f t="shared" si="18"/>
        <v>540857</v>
      </c>
      <c r="S81" s="3244">
        <f t="shared" si="19"/>
        <v>540857</v>
      </c>
      <c r="T81" s="3236"/>
      <c r="U81" s="3236"/>
      <c r="V81" s="3236">
        <v>1230000</v>
      </c>
      <c r="W81" s="3236"/>
      <c r="X81" s="3244">
        <f t="shared" si="20"/>
        <v>1770857</v>
      </c>
      <c r="Y81" s="3244">
        <f t="shared" si="21"/>
        <v>0</v>
      </c>
      <c r="Z81" s="3285">
        <f t="shared" si="22"/>
        <v>1</v>
      </c>
      <c r="AA81" s="3226" t="s">
        <v>4416</v>
      </c>
      <c r="AB81" s="3226" t="s">
        <v>4417</v>
      </c>
      <c r="AC81" s="3226" t="s">
        <v>4418</v>
      </c>
      <c r="AD81" s="3286" t="s">
        <v>4419</v>
      </c>
      <c r="AE81" s="3286" t="s">
        <v>4427</v>
      </c>
      <c r="AF81" s="3286"/>
      <c r="AG81" s="3286"/>
      <c r="AH81" s="3255">
        <v>43736</v>
      </c>
      <c r="AI81" s="3255">
        <v>43748</v>
      </c>
      <c r="AJ81" s="3255">
        <v>43803</v>
      </c>
      <c r="AK81" s="3287">
        <f t="shared" si="23"/>
        <v>2019</v>
      </c>
      <c r="AL81" s="3288">
        <f t="shared" si="24"/>
        <v>12</v>
      </c>
      <c r="AM81" s="3226" t="s">
        <v>4421</v>
      </c>
      <c r="AN81" s="3289">
        <v>1230000</v>
      </c>
      <c r="AO81" s="3300"/>
      <c r="AP81" s="3300"/>
      <c r="AQ81" s="3300"/>
      <c r="AR81" s="3292"/>
      <c r="AS81" s="3292"/>
      <c r="AT81" s="3292"/>
      <c r="AU81" s="3293" t="str">
        <f t="shared" si="26"/>
        <v/>
      </c>
      <c r="AV81" s="3293" t="str">
        <f t="shared" si="27"/>
        <v/>
      </c>
      <c r="AW81" s="3294"/>
      <c r="AX81" s="3236"/>
      <c r="AY81" s="3244"/>
      <c r="AZ81" s="3295" t="s">
        <v>4429</v>
      </c>
      <c r="BA81" s="3296" t="str">
        <f t="shared" si="25"/>
        <v>签约</v>
      </c>
      <c r="BB81" s="3226" t="s">
        <v>4423</v>
      </c>
      <c r="BC81" s="3226"/>
      <c r="BD81" s="3292">
        <f>VLOOKUP(B81,[3]Sheet1!A$1:B$65536,2,0)</f>
        <v>43748</v>
      </c>
      <c r="BE81" s="3297" t="s">
        <v>4367</v>
      </c>
      <c r="BG81" s="3297">
        <f>IFERROR(VLOOKUP(B81,[3]Sheet2!A$1:B$65536,2,FALSE),0)</f>
        <v>0</v>
      </c>
      <c r="BI81" s="3297">
        <f>IFERROR(VLOOKUP(B81,[3]Sheet2!A$1:C$65536,2,FALSE),0)</f>
        <v>0</v>
      </c>
      <c r="BJ81" s="3297">
        <f>IFERROR(VLOOKUP(B81,[3]Sheet2!A$1:C$65536,3,FALSE),0)</f>
        <v>0</v>
      </c>
    </row>
    <row r="82" spans="1:256" s="3297" customFormat="1" ht="20.25" customHeight="1">
      <c r="A82" s="3226">
        <v>80</v>
      </c>
      <c r="B82" s="3240" t="s">
        <v>4612</v>
      </c>
      <c r="C82" s="3227" t="s">
        <v>3333</v>
      </c>
      <c r="D82" s="3228" t="s">
        <v>4613</v>
      </c>
      <c r="E82" s="3229">
        <v>43735</v>
      </c>
      <c r="F82" s="3230">
        <v>20000</v>
      </c>
      <c r="G82" s="3231">
        <v>131.44999999999999</v>
      </c>
      <c r="H82" s="3231" t="str">
        <f t="shared" si="14"/>
        <v>普通住宅</v>
      </c>
      <c r="I82" s="3232">
        <v>1799081</v>
      </c>
      <c r="J82" s="3233">
        <v>43736</v>
      </c>
      <c r="K82" s="3284">
        <f t="shared" si="15"/>
        <v>9</v>
      </c>
      <c r="L82" s="3232">
        <v>1779081</v>
      </c>
      <c r="M82" s="3235">
        <f t="shared" si="16"/>
        <v>13534.279193609738</v>
      </c>
      <c r="N82" s="3236">
        <v>1159081</v>
      </c>
      <c r="O82" s="3244">
        <f t="shared" si="17"/>
        <v>1779081</v>
      </c>
      <c r="P82" s="3244"/>
      <c r="Q82" s="3244"/>
      <c r="R82" s="3244">
        <f t="shared" si="18"/>
        <v>1179081</v>
      </c>
      <c r="S82" s="3244">
        <f t="shared" si="19"/>
        <v>1179081</v>
      </c>
      <c r="T82" s="3236"/>
      <c r="U82" s="3236"/>
      <c r="V82" s="3236"/>
      <c r="W82" s="3236">
        <v>600000</v>
      </c>
      <c r="X82" s="3244">
        <f t="shared" si="20"/>
        <v>1779081</v>
      </c>
      <c r="Y82" s="3244">
        <f t="shared" si="21"/>
        <v>0</v>
      </c>
      <c r="Z82" s="3285">
        <f t="shared" si="22"/>
        <v>1</v>
      </c>
      <c r="AA82" s="3226" t="s">
        <v>4416</v>
      </c>
      <c r="AB82" s="3255" t="s">
        <v>4417</v>
      </c>
      <c r="AC82" s="3226" t="s">
        <v>4545</v>
      </c>
      <c r="AD82" s="3286"/>
      <c r="AE82" s="3286"/>
      <c r="AF82" s="3286"/>
      <c r="AG82" s="3286"/>
      <c r="AH82" s="3255"/>
      <c r="AI82" s="3255"/>
      <c r="AJ82" s="3255"/>
      <c r="AK82" s="3287" t="str">
        <f t="shared" si="23"/>
        <v/>
      </c>
      <c r="AL82" s="3288" t="str">
        <f t="shared" si="24"/>
        <v/>
      </c>
      <c r="AM82" s="3226"/>
      <c r="AN82" s="3289"/>
      <c r="AO82" s="3300" t="s">
        <v>4419</v>
      </c>
      <c r="AP82" s="3300" t="s">
        <v>4427</v>
      </c>
      <c r="AQ82" s="3300"/>
      <c r="AR82" s="3292">
        <v>43760</v>
      </c>
      <c r="AS82" s="3292">
        <v>43760</v>
      </c>
      <c r="AT82" s="3292">
        <v>43853</v>
      </c>
      <c r="AU82" s="3293">
        <f t="shared" si="26"/>
        <v>2020</v>
      </c>
      <c r="AV82" s="3293">
        <f t="shared" si="27"/>
        <v>1</v>
      </c>
      <c r="AW82" s="3294" t="s">
        <v>4453</v>
      </c>
      <c r="AX82" s="3236">
        <v>600000</v>
      </c>
      <c r="AY82" s="3244"/>
      <c r="AZ82" s="3295" t="s">
        <v>4482</v>
      </c>
      <c r="BA82" s="3296" t="str">
        <f t="shared" si="25"/>
        <v>签约</v>
      </c>
      <c r="BB82" s="3226" t="s">
        <v>4455</v>
      </c>
      <c r="BC82" s="3226"/>
      <c r="BD82" s="3292">
        <f>VLOOKUP(B82,[3]Sheet1!A$1:B$65536,2,0)</f>
        <v>43748</v>
      </c>
      <c r="BE82" s="3297" t="s">
        <v>4465</v>
      </c>
      <c r="BG82" s="3297">
        <f>IFERROR(VLOOKUP(B82,[3]Sheet2!A$1:B$65536,2,FALSE),0)</f>
        <v>0</v>
      </c>
      <c r="BI82" s="3297">
        <f>IFERROR(VLOOKUP(B82,[3]Sheet2!A$1:C$65536,2,FALSE),0)</f>
        <v>0</v>
      </c>
      <c r="BJ82" s="3297">
        <f>IFERROR(VLOOKUP(B82,[3]Sheet2!A$1:C$65536,3,FALSE),0)</f>
        <v>0</v>
      </c>
    </row>
    <row r="83" spans="1:256" s="3297" customFormat="1" ht="20.25" customHeight="1">
      <c r="A83" s="3226">
        <v>81</v>
      </c>
      <c r="B83" s="3226" t="s">
        <v>4614</v>
      </c>
      <c r="C83" s="3227" t="s">
        <v>3333</v>
      </c>
      <c r="D83" s="3228" t="s">
        <v>4615</v>
      </c>
      <c r="E83" s="3229">
        <v>43735</v>
      </c>
      <c r="F83" s="3230">
        <v>20000</v>
      </c>
      <c r="G83" s="3231">
        <v>131.44999999999999</v>
      </c>
      <c r="H83" s="3231" t="str">
        <f t="shared" si="14"/>
        <v>普通住宅</v>
      </c>
      <c r="I83" s="3230">
        <v>1765202</v>
      </c>
      <c r="J83" s="3229">
        <v>43737</v>
      </c>
      <c r="K83" s="3284">
        <f t="shared" si="15"/>
        <v>9</v>
      </c>
      <c r="L83" s="3230">
        <v>1730202</v>
      </c>
      <c r="M83" s="3235">
        <f t="shared" si="16"/>
        <v>13162.434385697985</v>
      </c>
      <c r="N83" s="3236">
        <f>500202+200000</f>
        <v>700202</v>
      </c>
      <c r="O83" s="3244">
        <f t="shared" si="17"/>
        <v>1730202</v>
      </c>
      <c r="P83" s="3244"/>
      <c r="Q83" s="3244"/>
      <c r="R83" s="3244">
        <f t="shared" si="18"/>
        <v>720202</v>
      </c>
      <c r="S83" s="3244">
        <f t="shared" si="19"/>
        <v>720202</v>
      </c>
      <c r="T83" s="3236"/>
      <c r="U83" s="3236"/>
      <c r="V83" s="3236">
        <v>1010000</v>
      </c>
      <c r="W83" s="3236"/>
      <c r="X83" s="3244">
        <f t="shared" si="20"/>
        <v>1730202</v>
      </c>
      <c r="Y83" s="3244">
        <f t="shared" si="21"/>
        <v>0</v>
      </c>
      <c r="Z83" s="3285">
        <f t="shared" si="22"/>
        <v>1</v>
      </c>
      <c r="AA83" s="3226" t="s">
        <v>4416</v>
      </c>
      <c r="AB83" s="3255" t="s">
        <v>4417</v>
      </c>
      <c r="AC83" s="3226" t="s">
        <v>4418</v>
      </c>
      <c r="AD83" s="3286" t="s">
        <v>4419</v>
      </c>
      <c r="AE83" s="3286" t="s">
        <v>4427</v>
      </c>
      <c r="AF83" s="3286"/>
      <c r="AG83" s="3286"/>
      <c r="AH83" s="3255">
        <v>43738</v>
      </c>
      <c r="AI83" s="3255">
        <v>43797</v>
      </c>
      <c r="AJ83" s="3255">
        <v>43833</v>
      </c>
      <c r="AK83" s="3287">
        <f t="shared" si="23"/>
        <v>2020</v>
      </c>
      <c r="AL83" s="3288">
        <f t="shared" si="24"/>
        <v>1</v>
      </c>
      <c r="AM83" s="3302" t="s">
        <v>4421</v>
      </c>
      <c r="AN83" s="3289">
        <v>1010000</v>
      </c>
      <c r="AO83" s="3299"/>
      <c r="AP83" s="3299"/>
      <c r="AQ83" s="3300"/>
      <c r="AR83" s="3292"/>
      <c r="AS83" s="3292"/>
      <c r="AT83" s="3292"/>
      <c r="AU83" s="3293" t="str">
        <f t="shared" si="26"/>
        <v/>
      </c>
      <c r="AV83" s="3293" t="str">
        <f t="shared" si="27"/>
        <v/>
      </c>
      <c r="AW83" s="3294"/>
      <c r="AX83" s="3236"/>
      <c r="AY83" s="3244"/>
      <c r="AZ83" s="3295" t="s">
        <v>4445</v>
      </c>
      <c r="BA83" s="3296" t="str">
        <f t="shared" si="25"/>
        <v>签约</v>
      </c>
      <c r="BB83" s="3226" t="s">
        <v>4423</v>
      </c>
      <c r="BC83" s="3226"/>
      <c r="BD83" s="3292">
        <f>VLOOKUP(B83,[3]Sheet1!A$1:B$65536,2,0)</f>
        <v>43749</v>
      </c>
      <c r="BE83" s="3297" t="s">
        <v>4367</v>
      </c>
      <c r="BG83" s="3297">
        <f>IFERROR(VLOOKUP(B83,[3]Sheet2!A$1:B$65536,2,FALSE),0)</f>
        <v>0</v>
      </c>
      <c r="BI83" s="3297">
        <f>IFERROR(VLOOKUP(B83,[3]Sheet2!A$1:C$65536,2,FALSE),0)</f>
        <v>0</v>
      </c>
      <c r="BJ83" s="3297">
        <f>IFERROR(VLOOKUP(B83,[3]Sheet2!A$1:C$65536,3,FALSE),0)</f>
        <v>0</v>
      </c>
    </row>
    <row r="84" spans="1:256" s="3309" customFormat="1" ht="20.25" customHeight="1">
      <c r="A84" s="3240">
        <v>82</v>
      </c>
      <c r="B84" s="3240" t="s">
        <v>4616</v>
      </c>
      <c r="C84" s="3227" t="s">
        <v>3333</v>
      </c>
      <c r="D84" s="3245" t="s">
        <v>4617</v>
      </c>
      <c r="E84" s="3242">
        <v>43735</v>
      </c>
      <c r="F84" s="3241">
        <v>20000</v>
      </c>
      <c r="G84" s="3240">
        <v>131.44999999999999</v>
      </c>
      <c r="H84" s="3240" t="str">
        <f t="shared" si="14"/>
        <v>普通住宅</v>
      </c>
      <c r="I84" s="3241">
        <v>1724547</v>
      </c>
      <c r="J84" s="3242">
        <v>43760</v>
      </c>
      <c r="K84" s="3314">
        <f t="shared" si="15"/>
        <v>10</v>
      </c>
      <c r="L84" s="3241">
        <v>1689547</v>
      </c>
      <c r="M84" s="3247">
        <f t="shared" si="16"/>
        <v>12853.153290224422</v>
      </c>
      <c r="N84" s="3243">
        <f>609547+47000</f>
        <v>656547</v>
      </c>
      <c r="O84" s="3247">
        <f t="shared" si="17"/>
        <v>1689547</v>
      </c>
      <c r="P84" s="3247"/>
      <c r="Q84" s="3247"/>
      <c r="R84" s="3247">
        <f t="shared" si="18"/>
        <v>676547</v>
      </c>
      <c r="S84" s="3247">
        <f t="shared" si="19"/>
        <v>676547</v>
      </c>
      <c r="T84" s="3243"/>
      <c r="U84" s="3243"/>
      <c r="V84" s="3243">
        <v>1013000</v>
      </c>
      <c r="W84" s="3243"/>
      <c r="X84" s="3247">
        <f t="shared" si="20"/>
        <v>1689547</v>
      </c>
      <c r="Y84" s="3247">
        <f t="shared" si="21"/>
        <v>0</v>
      </c>
      <c r="Z84" s="3315">
        <f t="shared" si="22"/>
        <v>1</v>
      </c>
      <c r="AA84" s="3240" t="s">
        <v>4416</v>
      </c>
      <c r="AB84" s="3304" t="s">
        <v>4417</v>
      </c>
      <c r="AC84" s="3240" t="s">
        <v>4418</v>
      </c>
      <c r="AD84" s="3303" t="s">
        <v>4419</v>
      </c>
      <c r="AE84" s="3303" t="s">
        <v>4427</v>
      </c>
      <c r="AF84" s="3303"/>
      <c r="AG84" s="3303"/>
      <c r="AH84" s="3304">
        <v>43758</v>
      </c>
      <c r="AI84" s="3304">
        <v>43785</v>
      </c>
      <c r="AJ84" s="3304">
        <v>43810</v>
      </c>
      <c r="AK84" s="3316">
        <f t="shared" si="23"/>
        <v>2019</v>
      </c>
      <c r="AL84" s="3317">
        <f t="shared" si="24"/>
        <v>12</v>
      </c>
      <c r="AM84" s="3240" t="s">
        <v>4433</v>
      </c>
      <c r="AN84" s="3311">
        <v>1013000</v>
      </c>
      <c r="AO84" s="3312"/>
      <c r="AP84" s="3312"/>
      <c r="AQ84" s="3312"/>
      <c r="AR84" s="3307"/>
      <c r="AS84" s="3307"/>
      <c r="AT84" s="3292"/>
      <c r="AU84" s="3293" t="str">
        <f t="shared" si="26"/>
        <v/>
      </c>
      <c r="AV84" s="3293" t="str">
        <f t="shared" si="27"/>
        <v/>
      </c>
      <c r="AW84" s="3308"/>
      <c r="AX84" s="3243"/>
      <c r="AY84" s="3247"/>
      <c r="AZ84" s="3295" t="s">
        <v>4464</v>
      </c>
      <c r="BA84" s="3296" t="str">
        <f t="shared" si="25"/>
        <v>签约</v>
      </c>
      <c r="BB84" s="3240" t="s">
        <v>4455</v>
      </c>
      <c r="BC84" s="3226"/>
      <c r="BD84" s="3292">
        <f>VLOOKUP(B84,[3]Sheet1!A$1:B$65536,2,0)</f>
        <v>43789</v>
      </c>
      <c r="BE84" s="3297" t="s">
        <v>4367</v>
      </c>
      <c r="BF84" s="3318"/>
      <c r="BG84" s="3297">
        <f>IFERROR(VLOOKUP(B84,[3]Sheet2!A$1:B$65536,2,FALSE),0)</f>
        <v>0</v>
      </c>
      <c r="BH84" s="3318"/>
      <c r="BI84" s="3297">
        <f>IFERROR(VLOOKUP(B84,[3]Sheet2!A$1:C$65536,2,FALSE),0)</f>
        <v>0</v>
      </c>
      <c r="BJ84" s="3297">
        <f>IFERROR(VLOOKUP(B84,[3]Sheet2!A$1:C$65536,3,FALSE),0)</f>
        <v>0</v>
      </c>
      <c r="BK84" s="3318"/>
      <c r="BL84" s="3318"/>
      <c r="BM84" s="3318"/>
      <c r="BN84" s="3318"/>
      <c r="BO84" s="3318"/>
      <c r="BP84" s="3318"/>
      <c r="BQ84" s="3318"/>
      <c r="BR84" s="3318"/>
      <c r="BS84" s="3318"/>
      <c r="BT84" s="3318"/>
      <c r="BU84" s="3318"/>
      <c r="BV84" s="3318"/>
      <c r="BW84" s="3318"/>
      <c r="BX84" s="3318"/>
      <c r="BY84" s="3318"/>
      <c r="BZ84" s="3318"/>
      <c r="CA84" s="3318"/>
      <c r="CB84" s="3318"/>
      <c r="CC84" s="3318"/>
      <c r="CD84" s="3318"/>
      <c r="CE84" s="3318"/>
      <c r="CF84" s="3318"/>
      <c r="CG84" s="3318"/>
      <c r="CH84" s="3318"/>
      <c r="CI84" s="3318"/>
      <c r="CJ84" s="3318"/>
      <c r="CK84" s="3318"/>
      <c r="CL84" s="3318"/>
      <c r="CM84" s="3318"/>
      <c r="CN84" s="3318"/>
      <c r="CO84" s="3318"/>
      <c r="CP84" s="3318"/>
      <c r="CQ84" s="3318"/>
      <c r="CR84" s="3318"/>
      <c r="CS84" s="3318"/>
      <c r="CT84" s="3318"/>
      <c r="CU84" s="3318"/>
      <c r="CV84" s="3318"/>
      <c r="CW84" s="3318"/>
      <c r="CX84" s="3318"/>
      <c r="CY84" s="3318"/>
      <c r="CZ84" s="3318"/>
      <c r="DA84" s="3318"/>
      <c r="DB84" s="3318"/>
      <c r="DC84" s="3318"/>
      <c r="DD84" s="3318"/>
      <c r="DE84" s="3318"/>
      <c r="DF84" s="3318"/>
      <c r="DG84" s="3318"/>
      <c r="DH84" s="3318"/>
      <c r="DI84" s="3318"/>
      <c r="DJ84" s="3318"/>
      <c r="DK84" s="3318"/>
      <c r="DL84" s="3318"/>
      <c r="DM84" s="3318"/>
      <c r="DN84" s="3318"/>
      <c r="DO84" s="3318"/>
      <c r="DP84" s="3318"/>
      <c r="DQ84" s="3318"/>
      <c r="DR84" s="3318"/>
      <c r="DS84" s="3318"/>
      <c r="DT84" s="3318"/>
      <c r="DU84" s="3318"/>
      <c r="DV84" s="3318"/>
      <c r="DW84" s="3318"/>
      <c r="DX84" s="3318"/>
      <c r="DY84" s="3318"/>
      <c r="DZ84" s="3318"/>
      <c r="EA84" s="3318"/>
      <c r="EB84" s="3318"/>
      <c r="EC84" s="3318"/>
      <c r="ED84" s="3318"/>
      <c r="EE84" s="3318"/>
      <c r="EF84" s="3318"/>
      <c r="EG84" s="3318"/>
      <c r="EH84" s="3318"/>
      <c r="EI84" s="3318"/>
      <c r="EJ84" s="3318"/>
      <c r="EK84" s="3318"/>
      <c r="EL84" s="3318"/>
      <c r="EM84" s="3318"/>
      <c r="EN84" s="3318"/>
      <c r="EO84" s="3318"/>
      <c r="EP84" s="3318"/>
      <c r="EQ84" s="3318"/>
      <c r="ER84" s="3318"/>
      <c r="ES84" s="3318"/>
      <c r="ET84" s="3318"/>
      <c r="EU84" s="3318"/>
      <c r="EV84" s="3318"/>
      <c r="EW84" s="3318"/>
      <c r="EX84" s="3318"/>
      <c r="EY84" s="3318"/>
      <c r="EZ84" s="3318"/>
      <c r="FA84" s="3318"/>
      <c r="FB84" s="3318"/>
      <c r="FC84" s="3318"/>
      <c r="FD84" s="3318"/>
      <c r="FE84" s="3318"/>
      <c r="FF84" s="3318"/>
      <c r="FG84" s="3318"/>
      <c r="FH84" s="3318"/>
      <c r="FI84" s="3318"/>
      <c r="FJ84" s="3318"/>
      <c r="FK84" s="3318"/>
      <c r="FL84" s="3318"/>
      <c r="FM84" s="3318"/>
      <c r="FN84" s="3318"/>
      <c r="FO84" s="3318"/>
      <c r="FP84" s="3318"/>
      <c r="FQ84" s="3318"/>
      <c r="FR84" s="3318"/>
      <c r="FS84" s="3318"/>
      <c r="FT84" s="3318"/>
      <c r="FU84" s="3318"/>
      <c r="FV84" s="3318"/>
      <c r="FW84" s="3318"/>
      <c r="FX84" s="3318"/>
      <c r="FY84" s="3318"/>
      <c r="FZ84" s="3318"/>
      <c r="GA84" s="3318"/>
      <c r="GB84" s="3318"/>
      <c r="GC84" s="3318"/>
      <c r="GD84" s="3318"/>
      <c r="GE84" s="3318"/>
      <c r="GF84" s="3318"/>
      <c r="GG84" s="3318"/>
      <c r="GH84" s="3318"/>
      <c r="GI84" s="3318"/>
      <c r="GJ84" s="3318"/>
      <c r="GK84" s="3318"/>
      <c r="GL84" s="3318"/>
      <c r="GM84" s="3318"/>
      <c r="GN84" s="3318"/>
      <c r="GO84" s="3318"/>
      <c r="GP84" s="3318"/>
      <c r="GQ84" s="3318"/>
      <c r="GR84" s="3318"/>
      <c r="GS84" s="3318"/>
      <c r="GT84" s="3318"/>
      <c r="GU84" s="3318"/>
      <c r="GV84" s="3318"/>
      <c r="GW84" s="3318"/>
      <c r="GX84" s="3318"/>
      <c r="GY84" s="3318"/>
      <c r="GZ84" s="3318"/>
      <c r="HA84" s="3318"/>
      <c r="HB84" s="3318"/>
      <c r="HC84" s="3318"/>
      <c r="HD84" s="3318"/>
      <c r="HE84" s="3318"/>
      <c r="HF84" s="3318"/>
      <c r="HG84" s="3318"/>
      <c r="HH84" s="3318"/>
      <c r="HI84" s="3318"/>
      <c r="HJ84" s="3318"/>
      <c r="HK84" s="3318"/>
      <c r="HL84" s="3318"/>
      <c r="HM84" s="3318"/>
      <c r="HN84" s="3318"/>
      <c r="HO84" s="3318"/>
      <c r="HP84" s="3318"/>
      <c r="HQ84" s="3318"/>
      <c r="HR84" s="3318"/>
      <c r="HS84" s="3318"/>
      <c r="HT84" s="3318"/>
      <c r="HU84" s="3318"/>
      <c r="HV84" s="3318"/>
      <c r="HW84" s="3318"/>
      <c r="HX84" s="3318"/>
      <c r="HY84" s="3318"/>
      <c r="HZ84" s="3318"/>
      <c r="IA84" s="3318"/>
      <c r="IB84" s="3318"/>
      <c r="IC84" s="3318"/>
      <c r="ID84" s="3318"/>
      <c r="IE84" s="3318"/>
      <c r="IF84" s="3318"/>
      <c r="IG84" s="3318"/>
      <c r="IH84" s="3318"/>
      <c r="II84" s="3318"/>
      <c r="IJ84" s="3318"/>
      <c r="IK84" s="3318"/>
      <c r="IL84" s="3318"/>
      <c r="IM84" s="3318"/>
      <c r="IN84" s="3318"/>
      <c r="IO84" s="3318"/>
      <c r="IP84" s="3318"/>
      <c r="IQ84" s="3318"/>
      <c r="IR84" s="3318"/>
      <c r="IS84" s="3318"/>
      <c r="IT84" s="3318"/>
      <c r="IU84" s="3318"/>
      <c r="IV84" s="3318"/>
    </row>
    <row r="85" spans="1:256" s="3297" customFormat="1" ht="20.25" customHeight="1">
      <c r="A85" s="3226">
        <v>83</v>
      </c>
      <c r="B85" s="3226" t="s">
        <v>4618</v>
      </c>
      <c r="C85" s="3227" t="s">
        <v>3333</v>
      </c>
      <c r="D85" s="3228" t="s">
        <v>4619</v>
      </c>
      <c r="E85" s="3229">
        <v>43735</v>
      </c>
      <c r="F85" s="3230">
        <v>20000</v>
      </c>
      <c r="G85" s="3231">
        <v>131.37</v>
      </c>
      <c r="H85" s="3231" t="str">
        <f t="shared" si="14"/>
        <v>普通住宅</v>
      </c>
      <c r="I85" s="3230">
        <v>1662566</v>
      </c>
      <c r="J85" s="3229">
        <v>43738</v>
      </c>
      <c r="K85" s="3284">
        <f t="shared" si="15"/>
        <v>9</v>
      </c>
      <c r="L85" s="3230">
        <v>1627566</v>
      </c>
      <c r="M85" s="3235">
        <f t="shared" si="16"/>
        <v>12389.175610870061</v>
      </c>
      <c r="N85" s="3236">
        <v>477566</v>
      </c>
      <c r="O85" s="3244">
        <f t="shared" si="17"/>
        <v>1627566</v>
      </c>
      <c r="P85" s="3244"/>
      <c r="Q85" s="3244"/>
      <c r="R85" s="3244">
        <f t="shared" si="18"/>
        <v>497566</v>
      </c>
      <c r="S85" s="3244">
        <f t="shared" si="19"/>
        <v>497566</v>
      </c>
      <c r="T85" s="3236"/>
      <c r="U85" s="3236"/>
      <c r="V85" s="3236">
        <v>1130000</v>
      </c>
      <c r="W85" s="3236"/>
      <c r="X85" s="3244">
        <f t="shared" si="20"/>
        <v>1627566</v>
      </c>
      <c r="Y85" s="3244">
        <f t="shared" si="21"/>
        <v>0</v>
      </c>
      <c r="Z85" s="3285">
        <f t="shared" si="22"/>
        <v>1</v>
      </c>
      <c r="AA85" s="3226" t="s">
        <v>4416</v>
      </c>
      <c r="AB85" s="3255" t="s">
        <v>4417</v>
      </c>
      <c r="AC85" s="3226" t="s">
        <v>4418</v>
      </c>
      <c r="AD85" s="3286" t="s">
        <v>4419</v>
      </c>
      <c r="AE85" s="3286" t="s">
        <v>4427</v>
      </c>
      <c r="AF85" s="3286"/>
      <c r="AG85" s="3286"/>
      <c r="AH85" s="3255">
        <v>43738</v>
      </c>
      <c r="AI85" s="3255">
        <v>43777</v>
      </c>
      <c r="AJ85" s="3255">
        <v>43832</v>
      </c>
      <c r="AK85" s="3287">
        <f t="shared" si="23"/>
        <v>2020</v>
      </c>
      <c r="AL85" s="3288">
        <f t="shared" si="24"/>
        <v>1</v>
      </c>
      <c r="AM85" s="3302" t="s">
        <v>4428</v>
      </c>
      <c r="AN85" s="3289">
        <v>1130000</v>
      </c>
      <c r="AO85" s="3299"/>
      <c r="AP85" s="3299"/>
      <c r="AQ85" s="3300"/>
      <c r="AR85" s="3292"/>
      <c r="AS85" s="3292"/>
      <c r="AT85" s="3292"/>
      <c r="AU85" s="3293" t="str">
        <f t="shared" si="26"/>
        <v/>
      </c>
      <c r="AV85" s="3293" t="str">
        <f t="shared" si="27"/>
        <v/>
      </c>
      <c r="AW85" s="3294"/>
      <c r="AX85" s="3236"/>
      <c r="AY85" s="3244"/>
      <c r="AZ85" s="3295" t="s">
        <v>4445</v>
      </c>
      <c r="BA85" s="3296" t="str">
        <f t="shared" si="25"/>
        <v>签约</v>
      </c>
      <c r="BB85" s="3226" t="s">
        <v>4423</v>
      </c>
      <c r="BC85" s="3226"/>
      <c r="BD85" s="3292">
        <f>VLOOKUP(B85,[3]Sheet1!A$1:B$65536,2,0)</f>
        <v>43750</v>
      </c>
      <c r="BE85" s="3297" t="s">
        <v>4449</v>
      </c>
      <c r="BG85" s="3297">
        <f>IFERROR(VLOOKUP(B85,[3]Sheet2!A$1:B$65536,2,FALSE),0)</f>
        <v>0</v>
      </c>
      <c r="BI85" s="3297">
        <f>IFERROR(VLOOKUP(B85,[3]Sheet2!A$1:C$65536,2,FALSE),0)</f>
        <v>0</v>
      </c>
      <c r="BJ85" s="3297">
        <f>IFERROR(VLOOKUP(B85,[3]Sheet2!A$1:C$65536,3,FALSE),0)</f>
        <v>0</v>
      </c>
    </row>
    <row r="86" spans="1:256" s="3297" customFormat="1" ht="20.25" customHeight="1">
      <c r="A86" s="3226">
        <v>84</v>
      </c>
      <c r="B86" s="3240" t="s">
        <v>4620</v>
      </c>
      <c r="C86" s="3227" t="s">
        <v>3333</v>
      </c>
      <c r="D86" s="3228" t="s">
        <v>4621</v>
      </c>
      <c r="E86" s="3229">
        <v>43735</v>
      </c>
      <c r="F86" s="3230">
        <v>20000</v>
      </c>
      <c r="G86" s="3231">
        <v>131.44999999999999</v>
      </c>
      <c r="H86" s="3231" t="str">
        <f t="shared" si="14"/>
        <v>普通住宅</v>
      </c>
      <c r="I86" s="3238">
        <v>1762821</v>
      </c>
      <c r="J86" s="3239">
        <v>43738</v>
      </c>
      <c r="K86" s="3284">
        <f t="shared" si="15"/>
        <v>9</v>
      </c>
      <c r="L86" s="3238">
        <v>1727821</v>
      </c>
      <c r="M86" s="3235">
        <f t="shared" si="16"/>
        <v>13144.321034613922</v>
      </c>
      <c r="N86" s="3238">
        <v>507821</v>
      </c>
      <c r="O86" s="3244">
        <f t="shared" si="17"/>
        <v>1727821</v>
      </c>
      <c r="P86" s="3244"/>
      <c r="Q86" s="3244"/>
      <c r="R86" s="3244">
        <f t="shared" si="18"/>
        <v>527821</v>
      </c>
      <c r="S86" s="3244">
        <f t="shared" si="19"/>
        <v>527821</v>
      </c>
      <c r="T86" s="3236"/>
      <c r="U86" s="3236"/>
      <c r="V86" s="3236">
        <v>1200000</v>
      </c>
      <c r="W86" s="3236"/>
      <c r="X86" s="3244">
        <f t="shared" si="20"/>
        <v>1727821</v>
      </c>
      <c r="Y86" s="3244">
        <f t="shared" si="21"/>
        <v>0</v>
      </c>
      <c r="Z86" s="3285">
        <f t="shared" si="22"/>
        <v>1</v>
      </c>
      <c r="AA86" s="3226" t="s">
        <v>4416</v>
      </c>
      <c r="AB86" s="3255" t="s">
        <v>4417</v>
      </c>
      <c r="AC86" s="3226" t="s">
        <v>4418</v>
      </c>
      <c r="AD86" s="3286" t="s">
        <v>4419</v>
      </c>
      <c r="AE86" s="3286" t="s">
        <v>4427</v>
      </c>
      <c r="AF86" s="3286"/>
      <c r="AG86" s="3286"/>
      <c r="AH86" s="3255">
        <v>43738</v>
      </c>
      <c r="AI86" s="3255">
        <v>43757</v>
      </c>
      <c r="AJ86" s="3255">
        <v>43833</v>
      </c>
      <c r="AK86" s="3287">
        <f t="shared" si="23"/>
        <v>2020</v>
      </c>
      <c r="AL86" s="3288">
        <f t="shared" si="24"/>
        <v>1</v>
      </c>
      <c r="AM86" s="3226" t="s">
        <v>4421</v>
      </c>
      <c r="AN86" s="3289">
        <v>1200000</v>
      </c>
      <c r="AO86" s="3299"/>
      <c r="AP86" s="3299"/>
      <c r="AQ86" s="3300"/>
      <c r="AR86" s="3292"/>
      <c r="AS86" s="3292"/>
      <c r="AT86" s="3292"/>
      <c r="AU86" s="3293" t="str">
        <f t="shared" si="26"/>
        <v/>
      </c>
      <c r="AV86" s="3293" t="str">
        <f t="shared" si="27"/>
        <v/>
      </c>
      <c r="AW86" s="3294"/>
      <c r="AX86" s="3236"/>
      <c r="AY86" s="3244"/>
      <c r="AZ86" s="3295" t="s">
        <v>4437</v>
      </c>
      <c r="BA86" s="3296" t="str">
        <f t="shared" si="25"/>
        <v>签约</v>
      </c>
      <c r="BB86" s="3226" t="s">
        <v>4423</v>
      </c>
      <c r="BC86" s="3226"/>
      <c r="BD86" s="3292">
        <f>VLOOKUP(B86,[3]Sheet1!A$1:B$65536,2,0)</f>
        <v>43748</v>
      </c>
      <c r="BE86" s="3297" t="s">
        <v>4449</v>
      </c>
      <c r="BG86" s="3297">
        <f>IFERROR(VLOOKUP(B86,[3]Sheet2!A$1:B$65536,2,FALSE),0)</f>
        <v>0</v>
      </c>
      <c r="BI86" s="3297">
        <f>IFERROR(VLOOKUP(B86,[3]Sheet2!A$1:C$65536,2,FALSE),0)</f>
        <v>0</v>
      </c>
      <c r="BJ86" s="3297">
        <f>IFERROR(VLOOKUP(B86,[3]Sheet2!A$1:C$65536,3,FALSE),0)</f>
        <v>0</v>
      </c>
    </row>
    <row r="87" spans="1:256" s="3297" customFormat="1" ht="20.25" customHeight="1">
      <c r="A87" s="3226">
        <v>85</v>
      </c>
      <c r="B87" s="3226" t="s">
        <v>4622</v>
      </c>
      <c r="C87" s="3227" t="s">
        <v>3333</v>
      </c>
      <c r="D87" s="3228" t="s">
        <v>4623</v>
      </c>
      <c r="E87" s="3229">
        <v>43735</v>
      </c>
      <c r="F87" s="3230">
        <v>20000</v>
      </c>
      <c r="G87" s="3231">
        <v>131.44999999999999</v>
      </c>
      <c r="H87" s="3231" t="str">
        <f t="shared" si="14"/>
        <v>普通住宅</v>
      </c>
      <c r="I87" s="3230">
        <v>1837355</v>
      </c>
      <c r="J87" s="3229">
        <v>43737</v>
      </c>
      <c r="K87" s="3284">
        <f t="shared" si="15"/>
        <v>9</v>
      </c>
      <c r="L87" s="3230">
        <v>1817355</v>
      </c>
      <c r="M87" s="3235">
        <f t="shared" si="16"/>
        <v>13825.446937999241</v>
      </c>
      <c r="N87" s="3236">
        <v>707355</v>
      </c>
      <c r="O87" s="3244">
        <f t="shared" si="17"/>
        <v>1817355</v>
      </c>
      <c r="P87" s="3244"/>
      <c r="Q87" s="3244"/>
      <c r="R87" s="3244">
        <f t="shared" si="18"/>
        <v>727355</v>
      </c>
      <c r="S87" s="3244">
        <f t="shared" si="19"/>
        <v>727355</v>
      </c>
      <c r="T87" s="3236"/>
      <c r="U87" s="3236"/>
      <c r="V87" s="3236">
        <v>790000</v>
      </c>
      <c r="W87" s="3236">
        <v>300000</v>
      </c>
      <c r="X87" s="3244">
        <f t="shared" si="20"/>
        <v>1817355</v>
      </c>
      <c r="Y87" s="3244">
        <f t="shared" si="21"/>
        <v>0</v>
      </c>
      <c r="Z87" s="3285">
        <f t="shared" si="22"/>
        <v>1</v>
      </c>
      <c r="AA87" s="3226" t="s">
        <v>4416</v>
      </c>
      <c r="AB87" s="3255" t="s">
        <v>4417</v>
      </c>
      <c r="AC87" s="3226" t="s">
        <v>4460</v>
      </c>
      <c r="AD87" s="3286" t="s">
        <v>4419</v>
      </c>
      <c r="AE87" s="3286" t="s">
        <v>4427</v>
      </c>
      <c r="AF87" s="3286"/>
      <c r="AG87" s="3286"/>
      <c r="AH87" s="3255">
        <v>43759</v>
      </c>
      <c r="AI87" s="3255">
        <v>43759</v>
      </c>
      <c r="AJ87" s="3255">
        <v>43782</v>
      </c>
      <c r="AK87" s="3287">
        <f t="shared" si="23"/>
        <v>2019</v>
      </c>
      <c r="AL87" s="3288">
        <f t="shared" si="24"/>
        <v>11</v>
      </c>
      <c r="AM87" s="3226" t="s">
        <v>4534</v>
      </c>
      <c r="AN87" s="3289">
        <v>790000</v>
      </c>
      <c r="AO87" s="3300" t="s">
        <v>4419</v>
      </c>
      <c r="AP87" s="3300" t="s">
        <v>4427</v>
      </c>
      <c r="AQ87" s="3300"/>
      <c r="AR87" s="3292">
        <v>43759</v>
      </c>
      <c r="AS87" s="3292">
        <v>43759</v>
      </c>
      <c r="AT87" s="3292">
        <v>43853</v>
      </c>
      <c r="AU87" s="3293">
        <f t="shared" si="26"/>
        <v>2020</v>
      </c>
      <c r="AV87" s="3293">
        <f t="shared" si="27"/>
        <v>1</v>
      </c>
      <c r="AW87" s="3294" t="s">
        <v>4453</v>
      </c>
      <c r="AX87" s="3236">
        <v>300000</v>
      </c>
      <c r="AY87" s="3244"/>
      <c r="AZ87" s="3295" t="s">
        <v>4454</v>
      </c>
      <c r="BA87" s="3296" t="str">
        <f t="shared" si="25"/>
        <v>签约</v>
      </c>
      <c r="BB87" s="3226" t="s">
        <v>4455</v>
      </c>
      <c r="BC87" s="3226"/>
      <c r="BD87" s="3292">
        <f>VLOOKUP(B87,[3]Sheet1!A$1:B$65536,2,0)</f>
        <v>43749</v>
      </c>
      <c r="BE87" s="3297" t="s">
        <v>4449</v>
      </c>
      <c r="BG87" s="3297">
        <f>IFERROR(VLOOKUP(B87,[3]Sheet2!A$1:B$65536,2,FALSE),0)</f>
        <v>0</v>
      </c>
      <c r="BI87" s="3297">
        <f>IFERROR(VLOOKUP(B87,[3]Sheet2!A$1:C$65536,2,FALSE),0)</f>
        <v>0</v>
      </c>
      <c r="BJ87" s="3297">
        <f>IFERROR(VLOOKUP(B87,[3]Sheet2!A$1:C$65536,3,FALSE),0)</f>
        <v>0</v>
      </c>
    </row>
    <row r="88" spans="1:256" s="3297" customFormat="1" ht="20.25" customHeight="1">
      <c r="A88" s="3226">
        <v>86</v>
      </c>
      <c r="B88" s="3240" t="s">
        <v>4624</v>
      </c>
      <c r="C88" s="3227" t="s">
        <v>3333</v>
      </c>
      <c r="D88" s="3228" t="s">
        <v>4625</v>
      </c>
      <c r="E88" s="3229">
        <v>43735</v>
      </c>
      <c r="F88" s="3230">
        <v>20000</v>
      </c>
      <c r="G88" s="3231">
        <v>131.44999999999999</v>
      </c>
      <c r="H88" s="3231" t="str">
        <f t="shared" si="14"/>
        <v>普通住宅</v>
      </c>
      <c r="I88" s="3230">
        <v>1830579</v>
      </c>
      <c r="J88" s="3229">
        <v>43736</v>
      </c>
      <c r="K88" s="3284">
        <f t="shared" si="15"/>
        <v>9</v>
      </c>
      <c r="L88" s="3230">
        <v>1785579</v>
      </c>
      <c r="M88" s="3235">
        <f t="shared" si="16"/>
        <v>13583.712438189426</v>
      </c>
      <c r="N88" s="3236">
        <v>1765579</v>
      </c>
      <c r="O88" s="3244">
        <f t="shared" si="17"/>
        <v>1785579</v>
      </c>
      <c r="P88" s="3244"/>
      <c r="Q88" s="3244"/>
      <c r="R88" s="3244">
        <f t="shared" si="18"/>
        <v>1785579</v>
      </c>
      <c r="S88" s="3244">
        <f t="shared" si="19"/>
        <v>1785579</v>
      </c>
      <c r="T88" s="3236"/>
      <c r="U88" s="3236"/>
      <c r="V88" s="3236"/>
      <c r="W88" s="3236"/>
      <c r="X88" s="3244">
        <f t="shared" si="20"/>
        <v>1785579</v>
      </c>
      <c r="Y88" s="3244">
        <f t="shared" si="21"/>
        <v>0</v>
      </c>
      <c r="Z88" s="3285">
        <f t="shared" si="22"/>
        <v>1</v>
      </c>
      <c r="AA88" s="3226" t="s">
        <v>4416</v>
      </c>
      <c r="AB88" s="3255" t="s">
        <v>4444</v>
      </c>
      <c r="AC88" s="3226"/>
      <c r="AD88" s="3286"/>
      <c r="AE88" s="3286"/>
      <c r="AF88" s="3286"/>
      <c r="AG88" s="3286"/>
      <c r="AH88" s="3255"/>
      <c r="AI88" s="3255"/>
      <c r="AJ88" s="3255"/>
      <c r="AK88" s="3287" t="str">
        <f t="shared" si="23"/>
        <v/>
      </c>
      <c r="AL88" s="3288" t="str">
        <f t="shared" si="24"/>
        <v/>
      </c>
      <c r="AM88" s="3226"/>
      <c r="AN88" s="3289"/>
      <c r="AO88" s="3300"/>
      <c r="AP88" s="3300"/>
      <c r="AQ88" s="3300"/>
      <c r="AR88" s="3292"/>
      <c r="AS88" s="3292"/>
      <c r="AT88" s="3292"/>
      <c r="AU88" s="3293" t="str">
        <f t="shared" si="26"/>
        <v/>
      </c>
      <c r="AV88" s="3293" t="str">
        <f t="shared" si="27"/>
        <v/>
      </c>
      <c r="AW88" s="3294"/>
      <c r="AX88" s="3236"/>
      <c r="AY88" s="3244"/>
      <c r="AZ88" s="3295" t="s">
        <v>4441</v>
      </c>
      <c r="BA88" s="3296" t="str">
        <f t="shared" si="25"/>
        <v>签约</v>
      </c>
      <c r="BB88" s="3226" t="s">
        <v>4423</v>
      </c>
      <c r="BC88" s="3226" t="s">
        <v>4430</v>
      </c>
      <c r="BD88" s="3292">
        <f>VLOOKUP(B88,[3]Sheet1!A$1:B$65536,2,0)</f>
        <v>43750</v>
      </c>
      <c r="BE88" s="3297" t="s">
        <v>4367</v>
      </c>
      <c r="BG88" s="3297">
        <f>IFERROR(VLOOKUP(B88,[3]Sheet2!A$1:B$65536,2,FALSE),0)</f>
        <v>0</v>
      </c>
      <c r="BI88" s="3297">
        <f>IFERROR(VLOOKUP(B88,[3]Sheet2!A$1:C$65536,2,FALSE),0)</f>
        <v>0</v>
      </c>
      <c r="BJ88" s="3297">
        <f>IFERROR(VLOOKUP(B88,[3]Sheet2!A$1:C$65536,3,FALSE),0)</f>
        <v>0</v>
      </c>
    </row>
    <row r="89" spans="1:256" s="3297" customFormat="1" ht="20.25" customHeight="1">
      <c r="A89" s="3226">
        <v>87</v>
      </c>
      <c r="B89" s="3226" t="s">
        <v>4626</v>
      </c>
      <c r="C89" s="3227" t="s">
        <v>3333</v>
      </c>
      <c r="D89" s="3228" t="s">
        <v>4627</v>
      </c>
      <c r="E89" s="3229">
        <v>43735</v>
      </c>
      <c r="F89" s="3230">
        <v>20000</v>
      </c>
      <c r="G89" s="3231">
        <v>131.44999999999999</v>
      </c>
      <c r="H89" s="3231" t="str">
        <f t="shared" si="14"/>
        <v>普通住宅</v>
      </c>
      <c r="I89" s="3238">
        <v>1823803</v>
      </c>
      <c r="J89" s="3239">
        <v>43738</v>
      </c>
      <c r="K89" s="3284">
        <f t="shared" si="15"/>
        <v>9</v>
      </c>
      <c r="L89" s="3238">
        <v>1725439</v>
      </c>
      <c r="M89" s="3235">
        <f t="shared" si="16"/>
        <v>13126.200076074554</v>
      </c>
      <c r="N89" s="3236">
        <v>1705439</v>
      </c>
      <c r="O89" s="3244">
        <f t="shared" si="17"/>
        <v>1725439</v>
      </c>
      <c r="P89" s="3244"/>
      <c r="Q89" s="3244"/>
      <c r="R89" s="3244">
        <f t="shared" si="18"/>
        <v>1725439</v>
      </c>
      <c r="S89" s="3244">
        <f t="shared" si="19"/>
        <v>0</v>
      </c>
      <c r="T89" s="3236">
        <v>1725439</v>
      </c>
      <c r="U89" s="3236"/>
      <c r="V89" s="3236"/>
      <c r="W89" s="3236"/>
      <c r="X89" s="3244">
        <f t="shared" si="20"/>
        <v>1725439</v>
      </c>
      <c r="Y89" s="3244">
        <f t="shared" si="21"/>
        <v>0</v>
      </c>
      <c r="Z89" s="3285">
        <f t="shared" si="22"/>
        <v>1</v>
      </c>
      <c r="AA89" s="3226" t="s">
        <v>4416</v>
      </c>
      <c r="AB89" s="3255" t="s">
        <v>4444</v>
      </c>
      <c r="AC89" s="3226"/>
      <c r="AD89" s="3226"/>
      <c r="AE89" s="3226"/>
      <c r="AF89" s="3286"/>
      <c r="AG89" s="3286"/>
      <c r="AH89" s="3255"/>
      <c r="AI89" s="3255"/>
      <c r="AJ89" s="3255"/>
      <c r="AK89" s="3287" t="str">
        <f t="shared" si="23"/>
        <v/>
      </c>
      <c r="AL89" s="3288" t="str">
        <f t="shared" si="24"/>
        <v/>
      </c>
      <c r="AM89" s="3226"/>
      <c r="AN89" s="3289"/>
      <c r="AO89" s="3299"/>
      <c r="AP89" s="3299"/>
      <c r="AQ89" s="3300"/>
      <c r="AR89" s="3292"/>
      <c r="AS89" s="3292"/>
      <c r="AT89" s="3292"/>
      <c r="AU89" s="3293" t="str">
        <f t="shared" si="26"/>
        <v/>
      </c>
      <c r="AV89" s="3293" t="str">
        <f t="shared" si="27"/>
        <v/>
      </c>
      <c r="AW89" s="3294"/>
      <c r="AX89" s="3236"/>
      <c r="AY89" s="3244"/>
      <c r="AZ89" s="3295" t="s">
        <v>4429</v>
      </c>
      <c r="BA89" s="3296" t="str">
        <f t="shared" si="25"/>
        <v>签约</v>
      </c>
      <c r="BB89" s="3226" t="s">
        <v>4423</v>
      </c>
      <c r="BC89" s="3226"/>
      <c r="BD89" s="3292"/>
      <c r="BE89" s="3297" t="s">
        <v>4434</v>
      </c>
      <c r="BG89" s="3297">
        <f>IFERROR(VLOOKUP(B89,[3]Sheet2!A$1:B$65536,2,FALSE),0)</f>
        <v>0</v>
      </c>
      <c r="BI89" s="3297">
        <f>IFERROR(VLOOKUP(B89,[3]Sheet2!A$1:C$65536,2,FALSE),0)</f>
        <v>0</v>
      </c>
      <c r="BJ89" s="3297">
        <f>IFERROR(VLOOKUP(B89,[3]Sheet2!A$1:C$65536,3,FALSE),0)</f>
        <v>0</v>
      </c>
    </row>
    <row r="90" spans="1:256" s="3297" customFormat="1" ht="20.25" customHeight="1">
      <c r="A90" s="3226">
        <v>88</v>
      </c>
      <c r="B90" s="3240" t="s">
        <v>4628</v>
      </c>
      <c r="C90" s="3227" t="s">
        <v>3333</v>
      </c>
      <c r="D90" s="3228" t="s">
        <v>4629</v>
      </c>
      <c r="E90" s="3229">
        <v>43735</v>
      </c>
      <c r="F90" s="3230">
        <v>20000</v>
      </c>
      <c r="G90" s="3231">
        <v>131.44999999999999</v>
      </c>
      <c r="H90" s="3231" t="str">
        <f t="shared" si="14"/>
        <v>普通住宅</v>
      </c>
      <c r="I90" s="3238">
        <v>1817027</v>
      </c>
      <c r="J90" s="3239">
        <v>43738</v>
      </c>
      <c r="K90" s="3284">
        <f t="shared" si="15"/>
        <v>9</v>
      </c>
      <c r="L90" s="3238">
        <v>1782027</v>
      </c>
      <c r="M90" s="3235">
        <f t="shared" si="16"/>
        <v>13556.690756941804</v>
      </c>
      <c r="N90" s="3236">
        <v>562027</v>
      </c>
      <c r="O90" s="3244">
        <f t="shared" si="17"/>
        <v>1782027</v>
      </c>
      <c r="P90" s="3244"/>
      <c r="Q90" s="3244"/>
      <c r="R90" s="3244">
        <f t="shared" si="18"/>
        <v>582027</v>
      </c>
      <c r="S90" s="3244">
        <f t="shared" si="19"/>
        <v>582027</v>
      </c>
      <c r="T90" s="3236"/>
      <c r="U90" s="3236"/>
      <c r="V90" s="3236">
        <v>1200000</v>
      </c>
      <c r="W90" s="3236"/>
      <c r="X90" s="3244">
        <f t="shared" si="20"/>
        <v>1782027</v>
      </c>
      <c r="Y90" s="3244">
        <f t="shared" si="21"/>
        <v>0</v>
      </c>
      <c r="Z90" s="3285">
        <f t="shared" si="22"/>
        <v>1</v>
      </c>
      <c r="AA90" s="3226" t="s">
        <v>4416</v>
      </c>
      <c r="AB90" s="3255" t="s">
        <v>4417</v>
      </c>
      <c r="AC90" s="3226" t="s">
        <v>4418</v>
      </c>
      <c r="AD90" s="3286" t="s">
        <v>4419</v>
      </c>
      <c r="AE90" s="3286" t="s">
        <v>4427</v>
      </c>
      <c r="AF90" s="3286"/>
      <c r="AG90" s="3286"/>
      <c r="AH90" s="3255">
        <v>43747</v>
      </c>
      <c r="AI90" s="3255">
        <v>43759</v>
      </c>
      <c r="AJ90" s="3255">
        <v>43833</v>
      </c>
      <c r="AK90" s="3287">
        <f t="shared" si="23"/>
        <v>2020</v>
      </c>
      <c r="AL90" s="3288">
        <f t="shared" si="24"/>
        <v>1</v>
      </c>
      <c r="AM90" s="3226" t="s">
        <v>4421</v>
      </c>
      <c r="AN90" s="3289">
        <v>1200000</v>
      </c>
      <c r="AO90" s="3299"/>
      <c r="AP90" s="3299"/>
      <c r="AQ90" s="3300"/>
      <c r="AR90" s="3292"/>
      <c r="AS90" s="3292"/>
      <c r="AT90" s="3292"/>
      <c r="AU90" s="3293" t="str">
        <f t="shared" si="26"/>
        <v/>
      </c>
      <c r="AV90" s="3293" t="str">
        <f t="shared" si="27"/>
        <v/>
      </c>
      <c r="AW90" s="3294"/>
      <c r="AX90" s="3236"/>
      <c r="AY90" s="3244"/>
      <c r="AZ90" s="3295" t="s">
        <v>4422</v>
      </c>
      <c r="BA90" s="3296" t="str">
        <f t="shared" si="25"/>
        <v>签约</v>
      </c>
      <c r="BB90" s="3226" t="s">
        <v>4423</v>
      </c>
      <c r="BC90" s="3226"/>
      <c r="BD90" s="3292">
        <f>VLOOKUP(B90,[3]Sheet1!A$1:B$65536,2,0)</f>
        <v>43752</v>
      </c>
      <c r="BE90" s="3297" t="s">
        <v>4424</v>
      </c>
      <c r="BG90" s="3297">
        <f>IFERROR(VLOOKUP(B90,[3]Sheet2!A$1:B$65536,2,FALSE),0)</f>
        <v>0</v>
      </c>
      <c r="BI90" s="3297">
        <f>IFERROR(VLOOKUP(B90,[3]Sheet2!A$1:C$65536,2,FALSE),0)</f>
        <v>0</v>
      </c>
      <c r="BJ90" s="3297">
        <f>IFERROR(VLOOKUP(B90,[3]Sheet2!A$1:C$65536,3,FALSE),0)</f>
        <v>0</v>
      </c>
    </row>
    <row r="91" spans="1:256" s="3297" customFormat="1" ht="20.25" customHeight="1">
      <c r="A91" s="3226">
        <v>89</v>
      </c>
      <c r="B91" s="3226" t="s">
        <v>4630</v>
      </c>
      <c r="C91" s="3227" t="s">
        <v>3333</v>
      </c>
      <c r="D91" s="3228" t="s">
        <v>4631</v>
      </c>
      <c r="E91" s="3229">
        <v>43735</v>
      </c>
      <c r="F91" s="3230">
        <v>20000</v>
      </c>
      <c r="G91" s="3231">
        <v>131.44999999999999</v>
      </c>
      <c r="H91" s="3231" t="str">
        <f t="shared" si="14"/>
        <v>普通住宅</v>
      </c>
      <c r="I91" s="3230">
        <v>1810252</v>
      </c>
      <c r="J91" s="3229">
        <v>43738</v>
      </c>
      <c r="K91" s="3284">
        <f t="shared" si="15"/>
        <v>9</v>
      </c>
      <c r="L91" s="3230">
        <v>1775252</v>
      </c>
      <c r="M91" s="3235">
        <f t="shared" si="16"/>
        <v>13505.150247242298</v>
      </c>
      <c r="N91" s="3236">
        <v>555252</v>
      </c>
      <c r="O91" s="3244">
        <f t="shared" si="17"/>
        <v>1775252</v>
      </c>
      <c r="P91" s="3244"/>
      <c r="Q91" s="3244"/>
      <c r="R91" s="3244">
        <f t="shared" si="18"/>
        <v>575252</v>
      </c>
      <c r="S91" s="3244">
        <f t="shared" si="19"/>
        <v>575252</v>
      </c>
      <c r="T91" s="3236"/>
      <c r="U91" s="3236"/>
      <c r="V91" s="3236">
        <v>1200000</v>
      </c>
      <c r="W91" s="3236"/>
      <c r="X91" s="3244">
        <f t="shared" si="20"/>
        <v>1775252</v>
      </c>
      <c r="Y91" s="3244">
        <f t="shared" si="21"/>
        <v>0</v>
      </c>
      <c r="Z91" s="3285">
        <f t="shared" si="22"/>
        <v>1</v>
      </c>
      <c r="AA91" s="3226" t="s">
        <v>4416</v>
      </c>
      <c r="AB91" s="3255" t="s">
        <v>4417</v>
      </c>
      <c r="AC91" s="3226" t="s">
        <v>4418</v>
      </c>
      <c r="AD91" s="3286" t="s">
        <v>4419</v>
      </c>
      <c r="AE91" s="3286" t="s">
        <v>4420</v>
      </c>
      <c r="AF91" s="3286"/>
      <c r="AG91" s="3286"/>
      <c r="AH91" s="3255">
        <v>43737</v>
      </c>
      <c r="AI91" s="3255">
        <v>43768</v>
      </c>
      <c r="AJ91" s="3255">
        <v>43777</v>
      </c>
      <c r="AK91" s="3287">
        <f t="shared" si="23"/>
        <v>2019</v>
      </c>
      <c r="AL91" s="3288">
        <f t="shared" si="24"/>
        <v>11</v>
      </c>
      <c r="AM91" s="3226" t="s">
        <v>4421</v>
      </c>
      <c r="AN91" s="3289">
        <v>1200000</v>
      </c>
      <c r="AO91" s="3300"/>
      <c r="AP91" s="3300"/>
      <c r="AQ91" s="3300"/>
      <c r="AR91" s="3292"/>
      <c r="AS91" s="3292"/>
      <c r="AT91" s="3292"/>
      <c r="AU91" s="3293" t="str">
        <f t="shared" si="26"/>
        <v/>
      </c>
      <c r="AV91" s="3293" t="str">
        <f t="shared" si="27"/>
        <v/>
      </c>
      <c r="AW91" s="3294"/>
      <c r="AX91" s="3236"/>
      <c r="AY91" s="3244"/>
      <c r="AZ91" s="3295" t="s">
        <v>4507</v>
      </c>
      <c r="BA91" s="3296" t="str">
        <f t="shared" si="25"/>
        <v>签约</v>
      </c>
      <c r="BB91" s="3226" t="s">
        <v>4423</v>
      </c>
      <c r="BC91" s="3226"/>
      <c r="BD91" s="3292">
        <f>VLOOKUP(B91,[3]Sheet1!A$1:B$65536,2,0)</f>
        <v>43749</v>
      </c>
      <c r="BE91" s="3297" t="s">
        <v>4424</v>
      </c>
      <c r="BG91" s="3297">
        <f>IFERROR(VLOOKUP(B91,[3]Sheet2!A$1:B$65536,2,FALSE),0)</f>
        <v>0</v>
      </c>
      <c r="BI91" s="3297">
        <f>IFERROR(VLOOKUP(B91,[3]Sheet2!A$1:C$65536,2,FALSE),0)</f>
        <v>0</v>
      </c>
      <c r="BJ91" s="3297">
        <f>IFERROR(VLOOKUP(B91,[3]Sheet2!A$1:C$65536,3,FALSE),0)</f>
        <v>0</v>
      </c>
    </row>
    <row r="92" spans="1:256" s="3297" customFormat="1" ht="20.25" customHeight="1">
      <c r="A92" s="3226">
        <v>90</v>
      </c>
      <c r="B92" s="3240" t="s">
        <v>4632</v>
      </c>
      <c r="C92" s="3227" t="s">
        <v>3333</v>
      </c>
      <c r="D92" s="3228" t="s">
        <v>4633</v>
      </c>
      <c r="E92" s="3229">
        <v>43735</v>
      </c>
      <c r="F92" s="3230">
        <v>20000</v>
      </c>
      <c r="G92" s="3231">
        <v>131.44999999999999</v>
      </c>
      <c r="H92" s="3231" t="str">
        <f t="shared" si="14"/>
        <v>普通住宅</v>
      </c>
      <c r="I92" s="3230">
        <v>1803476</v>
      </c>
      <c r="J92" s="3229">
        <v>43738</v>
      </c>
      <c r="K92" s="3284">
        <f t="shared" si="15"/>
        <v>9</v>
      </c>
      <c r="L92" s="3230">
        <v>1715422</v>
      </c>
      <c r="M92" s="3235">
        <f t="shared" si="16"/>
        <v>13049.996196272348</v>
      </c>
      <c r="N92" s="3236">
        <f>100000+395422</f>
        <v>495422</v>
      </c>
      <c r="O92" s="3244">
        <f t="shared" si="17"/>
        <v>1715422</v>
      </c>
      <c r="P92" s="3244"/>
      <c r="Q92" s="3244"/>
      <c r="R92" s="3244">
        <f t="shared" si="18"/>
        <v>515422</v>
      </c>
      <c r="S92" s="3244">
        <f t="shared" si="19"/>
        <v>515422</v>
      </c>
      <c r="T92" s="3236"/>
      <c r="U92" s="3236"/>
      <c r="V92" s="3236">
        <v>1200000</v>
      </c>
      <c r="W92" s="3236"/>
      <c r="X92" s="3244">
        <f t="shared" si="20"/>
        <v>1715422</v>
      </c>
      <c r="Y92" s="3244">
        <f t="shared" si="21"/>
        <v>0</v>
      </c>
      <c r="Z92" s="3285">
        <f t="shared" si="22"/>
        <v>1</v>
      </c>
      <c r="AA92" s="3226" t="s">
        <v>4416</v>
      </c>
      <c r="AB92" s="3255" t="s">
        <v>4417</v>
      </c>
      <c r="AC92" s="3226" t="s">
        <v>4418</v>
      </c>
      <c r="AD92" s="3286" t="s">
        <v>4419</v>
      </c>
      <c r="AE92" s="3286" t="s">
        <v>4427</v>
      </c>
      <c r="AF92" s="3286"/>
      <c r="AG92" s="3286"/>
      <c r="AH92" s="3255">
        <v>43797</v>
      </c>
      <c r="AI92" s="3255">
        <v>43815</v>
      </c>
      <c r="AJ92" s="3255">
        <v>43832</v>
      </c>
      <c r="AK92" s="3287">
        <f t="shared" si="23"/>
        <v>2020</v>
      </c>
      <c r="AL92" s="3288">
        <f t="shared" si="24"/>
        <v>1</v>
      </c>
      <c r="AM92" s="3226" t="s">
        <v>4634</v>
      </c>
      <c r="AN92" s="3289">
        <v>1200000</v>
      </c>
      <c r="AO92" s="3300"/>
      <c r="AP92" s="3300"/>
      <c r="AQ92" s="3300"/>
      <c r="AR92" s="3292"/>
      <c r="AS92" s="3292"/>
      <c r="AT92" s="3292"/>
      <c r="AU92" s="3293" t="str">
        <f t="shared" si="26"/>
        <v/>
      </c>
      <c r="AV92" s="3293" t="str">
        <f t="shared" si="27"/>
        <v/>
      </c>
      <c r="AW92" s="3294"/>
      <c r="AX92" s="3236"/>
      <c r="AY92" s="3244"/>
      <c r="AZ92" s="3295" t="s">
        <v>4507</v>
      </c>
      <c r="BA92" s="3296" t="str">
        <f t="shared" si="25"/>
        <v>签约</v>
      </c>
      <c r="BB92" s="3226" t="s">
        <v>4423</v>
      </c>
      <c r="BC92" s="3226"/>
      <c r="BD92" s="3292">
        <f>VLOOKUP(B92,[3]Sheet1!A$1:B$65536,2,0)</f>
        <v>43802</v>
      </c>
      <c r="BE92" s="3297" t="s">
        <v>4434</v>
      </c>
      <c r="BG92" s="3297">
        <f>IFERROR(VLOOKUP(B92,[3]Sheet2!A$1:B$65536,2,FALSE),0)</f>
        <v>0</v>
      </c>
      <c r="BI92" s="3297">
        <f>IFERROR(VLOOKUP(B92,[3]Sheet2!A$1:C$65536,2,FALSE),0)</f>
        <v>0</v>
      </c>
      <c r="BJ92" s="3297">
        <f>IFERROR(VLOOKUP(B92,[3]Sheet2!A$1:C$65536,3,FALSE),0)</f>
        <v>0</v>
      </c>
    </row>
    <row r="93" spans="1:256" s="3297" customFormat="1" ht="20.25" customHeight="1">
      <c r="A93" s="3226">
        <v>91</v>
      </c>
      <c r="B93" s="3226" t="s">
        <v>4635</v>
      </c>
      <c r="C93" s="3227" t="s">
        <v>3333</v>
      </c>
      <c r="D93" s="3228" t="s">
        <v>4636</v>
      </c>
      <c r="E93" s="3229">
        <v>43735</v>
      </c>
      <c r="F93" s="3230">
        <v>20000</v>
      </c>
      <c r="G93" s="3231">
        <v>131.44999999999999</v>
      </c>
      <c r="H93" s="3231" t="str">
        <f t="shared" si="14"/>
        <v>普通住宅</v>
      </c>
      <c r="I93" s="3230">
        <v>1769597</v>
      </c>
      <c r="J93" s="3229">
        <v>43738</v>
      </c>
      <c r="K93" s="3284">
        <f t="shared" si="15"/>
        <v>9</v>
      </c>
      <c r="L93" s="3230">
        <v>1724597</v>
      </c>
      <c r="M93" s="3235">
        <f t="shared" si="16"/>
        <v>13119.794598706734</v>
      </c>
      <c r="N93" s="3236">
        <v>1704597</v>
      </c>
      <c r="O93" s="3244">
        <f t="shared" si="17"/>
        <v>1724597</v>
      </c>
      <c r="P93" s="3244"/>
      <c r="Q93" s="3244"/>
      <c r="R93" s="3244">
        <f t="shared" si="18"/>
        <v>1724597</v>
      </c>
      <c r="S93" s="3244">
        <f t="shared" si="19"/>
        <v>1724597</v>
      </c>
      <c r="T93" s="3236"/>
      <c r="U93" s="3236"/>
      <c r="V93" s="3236"/>
      <c r="W93" s="3236"/>
      <c r="X93" s="3244">
        <f t="shared" si="20"/>
        <v>1724597</v>
      </c>
      <c r="Y93" s="3244">
        <f t="shared" si="21"/>
        <v>0</v>
      </c>
      <c r="Z93" s="3285">
        <f t="shared" si="22"/>
        <v>1</v>
      </c>
      <c r="AA93" s="3226" t="s">
        <v>4416</v>
      </c>
      <c r="AB93" s="3255" t="s">
        <v>4444</v>
      </c>
      <c r="AC93" s="3226"/>
      <c r="AD93" s="3226"/>
      <c r="AE93" s="3226"/>
      <c r="AF93" s="3286"/>
      <c r="AG93" s="3286"/>
      <c r="AH93" s="3226"/>
      <c r="AI93" s="3255"/>
      <c r="AJ93" s="3255"/>
      <c r="AK93" s="3287" t="str">
        <f t="shared" si="23"/>
        <v/>
      </c>
      <c r="AL93" s="3288" t="str">
        <f t="shared" si="24"/>
        <v/>
      </c>
      <c r="AM93" s="3226"/>
      <c r="AN93" s="3289"/>
      <c r="AO93" s="3300"/>
      <c r="AP93" s="3300"/>
      <c r="AQ93" s="3300"/>
      <c r="AR93" s="3292"/>
      <c r="AS93" s="3292"/>
      <c r="AT93" s="3292"/>
      <c r="AU93" s="3293" t="str">
        <f t="shared" si="26"/>
        <v/>
      </c>
      <c r="AV93" s="3293" t="str">
        <f t="shared" si="27"/>
        <v/>
      </c>
      <c r="AW93" s="3294"/>
      <c r="AX93" s="3236"/>
      <c r="AY93" s="3244"/>
      <c r="AZ93" s="3295" t="s">
        <v>4454</v>
      </c>
      <c r="BA93" s="3296" t="str">
        <f t="shared" si="25"/>
        <v>签约</v>
      </c>
      <c r="BB93" s="3226" t="s">
        <v>4455</v>
      </c>
      <c r="BC93" s="3226"/>
      <c r="BD93" s="3292">
        <f>VLOOKUP(B93,[3]Sheet1!A$1:B$65536,2,0)</f>
        <v>43749</v>
      </c>
      <c r="BE93" s="3297" t="s">
        <v>4465</v>
      </c>
      <c r="BG93" s="3297">
        <f>IFERROR(VLOOKUP(B93,[3]Sheet2!A$1:B$65536,2,FALSE),0)</f>
        <v>0</v>
      </c>
      <c r="BI93" s="3297">
        <f>IFERROR(VLOOKUP(B93,[3]Sheet2!A$1:C$65536,2,FALSE),0)</f>
        <v>0</v>
      </c>
      <c r="BJ93" s="3297">
        <f>IFERROR(VLOOKUP(B93,[3]Sheet2!A$1:C$65536,3,FALSE),0)</f>
        <v>0</v>
      </c>
    </row>
    <row r="94" spans="1:256" s="3297" customFormat="1" ht="20.25" customHeight="1">
      <c r="A94" s="3226">
        <v>92</v>
      </c>
      <c r="B94" s="3240" t="s">
        <v>4637</v>
      </c>
      <c r="C94" s="3227" t="s">
        <v>3333</v>
      </c>
      <c r="D94" s="3228" t="s">
        <v>4638</v>
      </c>
      <c r="E94" s="3229">
        <v>43735</v>
      </c>
      <c r="F94" s="3230">
        <v>20000</v>
      </c>
      <c r="G94" s="3231">
        <v>131.44999999999999</v>
      </c>
      <c r="H94" s="3231" t="str">
        <f t="shared" si="14"/>
        <v>普通住宅</v>
      </c>
      <c r="I94" s="3238">
        <v>1728942</v>
      </c>
      <c r="J94" s="3239">
        <v>43738</v>
      </c>
      <c r="K94" s="3284">
        <f t="shared" si="15"/>
        <v>9</v>
      </c>
      <c r="L94" s="3238">
        <v>1708942</v>
      </c>
      <c r="M94" s="3235">
        <f t="shared" si="16"/>
        <v>13000.699885888171</v>
      </c>
      <c r="N94" s="3236">
        <v>688942</v>
      </c>
      <c r="O94" s="3244">
        <f t="shared" si="17"/>
        <v>1708942</v>
      </c>
      <c r="P94" s="3244"/>
      <c r="Q94" s="3244"/>
      <c r="R94" s="3244">
        <f t="shared" si="18"/>
        <v>708942</v>
      </c>
      <c r="S94" s="3244">
        <f t="shared" si="19"/>
        <v>708942</v>
      </c>
      <c r="T94" s="3236"/>
      <c r="U94" s="3236"/>
      <c r="V94" s="3236">
        <v>400000</v>
      </c>
      <c r="W94" s="3236">
        <v>600000</v>
      </c>
      <c r="X94" s="3244">
        <f t="shared" si="20"/>
        <v>1708942</v>
      </c>
      <c r="Y94" s="3244">
        <f t="shared" si="21"/>
        <v>0</v>
      </c>
      <c r="Z94" s="3285">
        <f t="shared" si="22"/>
        <v>1</v>
      </c>
      <c r="AA94" s="3226" t="s">
        <v>4416</v>
      </c>
      <c r="AB94" s="3255" t="s">
        <v>4417</v>
      </c>
      <c r="AC94" s="3226" t="s">
        <v>4460</v>
      </c>
      <c r="AD94" s="3286" t="s">
        <v>4419</v>
      </c>
      <c r="AE94" s="3286" t="s">
        <v>4427</v>
      </c>
      <c r="AF94" s="3286"/>
      <c r="AG94" s="3286"/>
      <c r="AH94" s="3255">
        <v>43769</v>
      </c>
      <c r="AI94" s="3255">
        <v>43769</v>
      </c>
      <c r="AJ94" s="3255">
        <v>43801</v>
      </c>
      <c r="AK94" s="3287">
        <f t="shared" si="23"/>
        <v>2019</v>
      </c>
      <c r="AL94" s="3288">
        <f t="shared" si="24"/>
        <v>12</v>
      </c>
      <c r="AM94" s="3302" t="s">
        <v>4534</v>
      </c>
      <c r="AN94" s="3298">
        <v>400000</v>
      </c>
      <c r="AO94" s="3300" t="s">
        <v>4419</v>
      </c>
      <c r="AP94" s="3300" t="s">
        <v>4427</v>
      </c>
      <c r="AQ94" s="3300"/>
      <c r="AR94" s="3292">
        <v>43769</v>
      </c>
      <c r="AS94" s="3292">
        <v>43769</v>
      </c>
      <c r="AT94" s="3292">
        <v>43853</v>
      </c>
      <c r="AU94" s="3293">
        <f t="shared" si="26"/>
        <v>2020</v>
      </c>
      <c r="AV94" s="3293">
        <f t="shared" si="27"/>
        <v>1</v>
      </c>
      <c r="AW94" s="3294" t="s">
        <v>4453</v>
      </c>
      <c r="AX94" s="3236">
        <v>600000</v>
      </c>
      <c r="AY94" s="3244"/>
      <c r="AZ94" s="3295" t="s">
        <v>4437</v>
      </c>
      <c r="BA94" s="3296" t="str">
        <f t="shared" si="25"/>
        <v>签约</v>
      </c>
      <c r="BB94" s="3226" t="s">
        <v>4423</v>
      </c>
      <c r="BC94" s="3226"/>
      <c r="BD94" s="3292">
        <f>VLOOKUP(B94,[3]Sheet1!A$1:B$65536,2,0)</f>
        <v>43748</v>
      </c>
      <c r="BE94" s="3297" t="s">
        <v>4367</v>
      </c>
      <c r="BG94" s="3297">
        <f>IFERROR(VLOOKUP(B94,[3]Sheet2!A$1:B$65536,2,FALSE),0)</f>
        <v>0</v>
      </c>
      <c r="BI94" s="3297">
        <f>IFERROR(VLOOKUP(B94,[3]Sheet2!A$1:C$65536,2,FALSE),0)</f>
        <v>0</v>
      </c>
      <c r="BJ94" s="3297">
        <f>IFERROR(VLOOKUP(B94,[3]Sheet2!A$1:C$65536,3,FALSE),0)</f>
        <v>0</v>
      </c>
    </row>
    <row r="95" spans="1:256" s="3297" customFormat="1" ht="20.25" customHeight="1">
      <c r="A95" s="3226">
        <v>93</v>
      </c>
      <c r="B95" s="3226" t="s">
        <v>4639</v>
      </c>
      <c r="C95" s="3227" t="s">
        <v>3333</v>
      </c>
      <c r="D95" s="3228" t="s">
        <v>4619</v>
      </c>
      <c r="E95" s="3229">
        <v>43735</v>
      </c>
      <c r="F95" s="3230">
        <v>20000</v>
      </c>
      <c r="G95" s="3231">
        <v>131.44999999999999</v>
      </c>
      <c r="H95" s="3231" t="str">
        <f t="shared" si="14"/>
        <v>普通住宅</v>
      </c>
      <c r="I95" s="3230">
        <v>1667960</v>
      </c>
      <c r="J95" s="3229">
        <v>43738</v>
      </c>
      <c r="K95" s="3284">
        <f t="shared" si="15"/>
        <v>9</v>
      </c>
      <c r="L95" s="3230">
        <v>1632960</v>
      </c>
      <c r="M95" s="3235">
        <f t="shared" si="16"/>
        <v>12422.670216812478</v>
      </c>
      <c r="N95" s="3236">
        <v>472960</v>
      </c>
      <c r="O95" s="3244">
        <f t="shared" si="17"/>
        <v>1632960</v>
      </c>
      <c r="P95" s="3244"/>
      <c r="Q95" s="3244"/>
      <c r="R95" s="3244">
        <f t="shared" si="18"/>
        <v>492960</v>
      </c>
      <c r="S95" s="3244">
        <f t="shared" si="19"/>
        <v>492960</v>
      </c>
      <c r="T95" s="3236"/>
      <c r="U95" s="3236"/>
      <c r="V95" s="3236">
        <v>1140000</v>
      </c>
      <c r="W95" s="3236"/>
      <c r="X95" s="3244">
        <f t="shared" si="20"/>
        <v>1632960</v>
      </c>
      <c r="Y95" s="3244">
        <f t="shared" si="21"/>
        <v>0</v>
      </c>
      <c r="Z95" s="3285">
        <f t="shared" si="22"/>
        <v>1</v>
      </c>
      <c r="AA95" s="3226" t="s">
        <v>4416</v>
      </c>
      <c r="AB95" s="3255" t="s">
        <v>4417</v>
      </c>
      <c r="AC95" s="3226" t="s">
        <v>4418</v>
      </c>
      <c r="AD95" s="3286" t="s">
        <v>4539</v>
      </c>
      <c r="AE95" s="3286" t="s">
        <v>4427</v>
      </c>
      <c r="AF95" s="3286"/>
      <c r="AG95" s="3286"/>
      <c r="AH95" s="3255">
        <v>43783</v>
      </c>
      <c r="AI95" s="3255">
        <v>43783</v>
      </c>
      <c r="AJ95" s="3255">
        <v>43804</v>
      </c>
      <c r="AK95" s="3287">
        <f t="shared" si="23"/>
        <v>2019</v>
      </c>
      <c r="AL95" s="3288">
        <f t="shared" si="24"/>
        <v>12</v>
      </c>
      <c r="AM95" s="3302" t="s">
        <v>4433</v>
      </c>
      <c r="AN95" s="3298">
        <v>1140000</v>
      </c>
      <c r="AO95" s="3300"/>
      <c r="AP95" s="3300"/>
      <c r="AQ95" s="3300"/>
      <c r="AR95" s="3292"/>
      <c r="AS95" s="3292"/>
      <c r="AT95" s="3292"/>
      <c r="AU95" s="3293" t="str">
        <f t="shared" si="26"/>
        <v/>
      </c>
      <c r="AV95" s="3293" t="str">
        <f t="shared" si="27"/>
        <v/>
      </c>
      <c r="AW95" s="3294"/>
      <c r="AX95" s="3236"/>
      <c r="AY95" s="3244"/>
      <c r="AZ95" s="3295" t="s">
        <v>4445</v>
      </c>
      <c r="BA95" s="3296" t="str">
        <f t="shared" si="25"/>
        <v>签约</v>
      </c>
      <c r="BB95" s="3226" t="s">
        <v>4423</v>
      </c>
      <c r="BC95" s="3226"/>
      <c r="BD95" s="3292">
        <f>VLOOKUP(B95,[3]Sheet1!A$1:B$65536,2,0)</f>
        <v>43750</v>
      </c>
      <c r="BE95" s="3297" t="s">
        <v>4449</v>
      </c>
      <c r="BG95" s="3297">
        <f>IFERROR(VLOOKUP(B95,[3]Sheet2!A$1:B$65536,2,FALSE),0)</f>
        <v>0</v>
      </c>
      <c r="BI95" s="3297">
        <f>IFERROR(VLOOKUP(B95,[3]Sheet2!A$1:C$65536,2,FALSE),0)</f>
        <v>0</v>
      </c>
      <c r="BJ95" s="3297">
        <f>IFERROR(VLOOKUP(B95,[3]Sheet2!A$1:C$65536,3,FALSE),0)</f>
        <v>0</v>
      </c>
    </row>
    <row r="96" spans="1:256" s="3297" customFormat="1" ht="20.25" customHeight="1">
      <c r="A96" s="3226">
        <v>94</v>
      </c>
      <c r="B96" s="3226" t="s">
        <v>4640</v>
      </c>
      <c r="C96" s="3227" t="s">
        <v>3333</v>
      </c>
      <c r="D96" s="3228" t="s">
        <v>4641</v>
      </c>
      <c r="E96" s="3229">
        <v>43743</v>
      </c>
      <c r="F96" s="3230">
        <v>20000</v>
      </c>
      <c r="G96" s="3231">
        <v>131.44999999999999</v>
      </c>
      <c r="H96" s="3231" t="str">
        <f t="shared" si="14"/>
        <v>普通住宅</v>
      </c>
      <c r="I96" s="3230">
        <v>1767216</v>
      </c>
      <c r="J96" s="3229">
        <v>43748</v>
      </c>
      <c r="K96" s="3284">
        <f t="shared" si="15"/>
        <v>10</v>
      </c>
      <c r="L96" s="3230">
        <v>1732216</v>
      </c>
      <c r="M96" s="3235">
        <f t="shared" si="16"/>
        <v>13177.755800684672</v>
      </c>
      <c r="N96" s="3236">
        <f>532216+350000</f>
        <v>882216</v>
      </c>
      <c r="O96" s="3244">
        <f t="shared" si="17"/>
        <v>1732216</v>
      </c>
      <c r="P96" s="3244"/>
      <c r="Q96" s="3244"/>
      <c r="R96" s="3244">
        <f t="shared" si="18"/>
        <v>902216</v>
      </c>
      <c r="S96" s="3244">
        <f t="shared" si="19"/>
        <v>902216</v>
      </c>
      <c r="T96" s="3236"/>
      <c r="U96" s="3236"/>
      <c r="V96" s="3236">
        <v>830000</v>
      </c>
      <c r="W96" s="3236"/>
      <c r="X96" s="3244">
        <f t="shared" si="20"/>
        <v>1732216</v>
      </c>
      <c r="Y96" s="3244">
        <f t="shared" si="21"/>
        <v>0</v>
      </c>
      <c r="Z96" s="3285">
        <f t="shared" si="22"/>
        <v>1</v>
      </c>
      <c r="AA96" s="3226" t="s">
        <v>4416</v>
      </c>
      <c r="AB96" s="3255" t="s">
        <v>4417</v>
      </c>
      <c r="AC96" s="3226" t="s">
        <v>4418</v>
      </c>
      <c r="AD96" s="3286" t="s">
        <v>4419</v>
      </c>
      <c r="AE96" s="3286" t="s">
        <v>4420</v>
      </c>
      <c r="AF96" s="3286"/>
      <c r="AG96" s="3286"/>
      <c r="AH96" s="3255">
        <v>43748</v>
      </c>
      <c r="AI96" s="3255">
        <v>43768</v>
      </c>
      <c r="AJ96" s="3255">
        <v>43777</v>
      </c>
      <c r="AK96" s="3287">
        <f t="shared" si="23"/>
        <v>2019</v>
      </c>
      <c r="AL96" s="3288">
        <f t="shared" si="24"/>
        <v>11</v>
      </c>
      <c r="AM96" s="3226" t="s">
        <v>4474</v>
      </c>
      <c r="AN96" s="3289">
        <v>830000</v>
      </c>
      <c r="AO96" s="3299"/>
      <c r="AP96" s="3299"/>
      <c r="AQ96" s="3300"/>
      <c r="AR96" s="3292"/>
      <c r="AS96" s="3292"/>
      <c r="AT96" s="3292"/>
      <c r="AU96" s="3293" t="str">
        <f t="shared" si="26"/>
        <v/>
      </c>
      <c r="AV96" s="3293" t="str">
        <f t="shared" si="27"/>
        <v/>
      </c>
      <c r="AW96" s="3294"/>
      <c r="AX96" s="3236"/>
      <c r="AY96" s="3244"/>
      <c r="AZ96" s="3295" t="s">
        <v>4441</v>
      </c>
      <c r="BA96" s="3296" t="str">
        <f t="shared" si="25"/>
        <v>签约</v>
      </c>
      <c r="BB96" s="3226" t="s">
        <v>4423</v>
      </c>
      <c r="BC96" s="3226"/>
      <c r="BD96" s="3292">
        <f>VLOOKUP(B96,[3]Sheet1!A$1:B$65536,2,0)</f>
        <v>43752</v>
      </c>
      <c r="BE96" s="3297" t="s">
        <v>4424</v>
      </c>
      <c r="BG96" s="3297">
        <f>IFERROR(VLOOKUP(B96,[3]Sheet2!A$1:B$65536,2,FALSE),0)</f>
        <v>0</v>
      </c>
      <c r="BI96" s="3297">
        <f>IFERROR(VLOOKUP(B96,[3]Sheet2!A$1:C$65536,2,FALSE),0)</f>
        <v>0</v>
      </c>
      <c r="BJ96" s="3297">
        <f>IFERROR(VLOOKUP(B96,[3]Sheet2!A$1:C$65536,3,FALSE),0)</f>
        <v>0</v>
      </c>
    </row>
    <row r="97" spans="1:62" s="3297" customFormat="1" ht="20.25" customHeight="1">
      <c r="A97" s="3226">
        <v>95</v>
      </c>
      <c r="B97" s="3226" t="s">
        <v>4642</v>
      </c>
      <c r="C97" s="3227" t="s">
        <v>3333</v>
      </c>
      <c r="D97" s="3228" t="s">
        <v>4643</v>
      </c>
      <c r="E97" s="3229">
        <v>43735</v>
      </c>
      <c r="F97" s="3230">
        <v>20000</v>
      </c>
      <c r="G97" s="3231">
        <v>131.44999999999999</v>
      </c>
      <c r="H97" s="3231" t="str">
        <f t="shared" si="14"/>
        <v>普通住宅</v>
      </c>
      <c r="I97" s="3238">
        <v>1841750</v>
      </c>
      <c r="J97" s="3239">
        <v>43738</v>
      </c>
      <c r="K97" s="3284">
        <f t="shared" si="15"/>
        <v>9</v>
      </c>
      <c r="L97" s="3238">
        <v>1796750</v>
      </c>
      <c r="M97" s="3235">
        <f t="shared" si="16"/>
        <v>13668.695321414987</v>
      </c>
      <c r="N97" s="3236">
        <v>1776750</v>
      </c>
      <c r="O97" s="3244">
        <f t="shared" si="17"/>
        <v>1796750</v>
      </c>
      <c r="P97" s="3244"/>
      <c r="Q97" s="3244"/>
      <c r="R97" s="3244">
        <f t="shared" si="18"/>
        <v>1796750</v>
      </c>
      <c r="S97" s="3244">
        <f t="shared" si="19"/>
        <v>1796750</v>
      </c>
      <c r="T97" s="3236"/>
      <c r="U97" s="3236"/>
      <c r="V97" s="3236"/>
      <c r="W97" s="3236"/>
      <c r="X97" s="3244">
        <f t="shared" si="20"/>
        <v>1796750</v>
      </c>
      <c r="Y97" s="3244">
        <f t="shared" si="21"/>
        <v>0</v>
      </c>
      <c r="Z97" s="3285">
        <f t="shared" si="22"/>
        <v>1</v>
      </c>
      <c r="AA97" s="3226" t="s">
        <v>4416</v>
      </c>
      <c r="AB97" s="3255" t="s">
        <v>4444</v>
      </c>
      <c r="AC97" s="3226"/>
      <c r="AD97" s="3226"/>
      <c r="AE97" s="3226"/>
      <c r="AF97" s="3286"/>
      <c r="AG97" s="3286"/>
      <c r="AH97" s="3226"/>
      <c r="AI97" s="3255"/>
      <c r="AJ97" s="3255"/>
      <c r="AK97" s="3287" t="str">
        <f t="shared" si="23"/>
        <v/>
      </c>
      <c r="AL97" s="3288" t="str">
        <f t="shared" si="24"/>
        <v/>
      </c>
      <c r="AM97" s="3226"/>
      <c r="AN97" s="3289"/>
      <c r="AO97" s="3300"/>
      <c r="AP97" s="3300"/>
      <c r="AQ97" s="3300"/>
      <c r="AR97" s="3292"/>
      <c r="AS97" s="3292"/>
      <c r="AT97" s="3292"/>
      <c r="AU97" s="3293" t="str">
        <f t="shared" si="26"/>
        <v/>
      </c>
      <c r="AV97" s="3293" t="str">
        <f t="shared" si="27"/>
        <v/>
      </c>
      <c r="AW97" s="3294"/>
      <c r="AX97" s="3236"/>
      <c r="AY97" s="3244"/>
      <c r="AZ97" s="3295" t="s">
        <v>4454</v>
      </c>
      <c r="BA97" s="3296" t="str">
        <f t="shared" si="25"/>
        <v>签约</v>
      </c>
      <c r="BB97" s="3226" t="s">
        <v>4455</v>
      </c>
      <c r="BC97" s="3226"/>
      <c r="BD97" s="3292">
        <f>VLOOKUP(B97,[3]Sheet1!A$1:B$65536,2,0)</f>
        <v>43749</v>
      </c>
      <c r="BE97" s="3297" t="s">
        <v>4465</v>
      </c>
      <c r="BG97" s="3297">
        <f>IFERROR(VLOOKUP(B97,[3]Sheet2!A$1:B$65536,2,FALSE),0)</f>
        <v>0</v>
      </c>
      <c r="BI97" s="3297">
        <f>IFERROR(VLOOKUP(B97,[3]Sheet2!A$1:C$65536,2,FALSE),0)</f>
        <v>0</v>
      </c>
      <c r="BJ97" s="3297">
        <f>IFERROR(VLOOKUP(B97,[3]Sheet2!A$1:C$65536,3,FALSE),0)</f>
        <v>0</v>
      </c>
    </row>
    <row r="98" spans="1:62" s="3297" customFormat="1" ht="20.25" customHeight="1">
      <c r="A98" s="3226">
        <v>96</v>
      </c>
      <c r="B98" s="3226" t="s">
        <v>4644</v>
      </c>
      <c r="C98" s="3227" t="s">
        <v>3333</v>
      </c>
      <c r="D98" s="3248" t="s">
        <v>3518</v>
      </c>
      <c r="E98" s="3229">
        <v>43735</v>
      </c>
      <c r="F98" s="3230">
        <v>20000</v>
      </c>
      <c r="G98" s="3231">
        <v>131.44999999999999</v>
      </c>
      <c r="H98" s="3231" t="str">
        <f t="shared" si="14"/>
        <v>普通住宅</v>
      </c>
      <c r="I98" s="3230">
        <v>1834974</v>
      </c>
      <c r="J98" s="3229">
        <v>43736</v>
      </c>
      <c r="K98" s="3284">
        <f t="shared" si="15"/>
        <v>9</v>
      </c>
      <c r="L98" s="3230">
        <v>1799974</v>
      </c>
      <c r="M98" s="3235">
        <f t="shared" si="16"/>
        <v>13693.221757322177</v>
      </c>
      <c r="N98" s="3236">
        <v>1079974</v>
      </c>
      <c r="O98" s="3244">
        <f t="shared" si="17"/>
        <v>1799974</v>
      </c>
      <c r="P98" s="3244"/>
      <c r="Q98" s="3244"/>
      <c r="R98" s="3244">
        <f t="shared" si="18"/>
        <v>1099974</v>
      </c>
      <c r="S98" s="3244">
        <f t="shared" si="19"/>
        <v>1099974</v>
      </c>
      <c r="T98" s="3236"/>
      <c r="U98" s="3236"/>
      <c r="V98" s="3236">
        <v>700000</v>
      </c>
      <c r="W98" s="3236"/>
      <c r="X98" s="3244">
        <f t="shared" si="20"/>
        <v>1799974</v>
      </c>
      <c r="Y98" s="3244">
        <f t="shared" si="21"/>
        <v>0</v>
      </c>
      <c r="Z98" s="3285">
        <f t="shared" si="22"/>
        <v>1</v>
      </c>
      <c r="AA98" s="3226" t="s">
        <v>4416</v>
      </c>
      <c r="AB98" s="3255" t="s">
        <v>4417</v>
      </c>
      <c r="AC98" s="3226" t="s">
        <v>4418</v>
      </c>
      <c r="AD98" s="3286" t="s">
        <v>4419</v>
      </c>
      <c r="AE98" s="3286" t="s">
        <v>4427</v>
      </c>
      <c r="AF98" s="3286"/>
      <c r="AG98" s="3286"/>
      <c r="AH98" s="3255">
        <v>43736</v>
      </c>
      <c r="AI98" s="3255">
        <v>43768</v>
      </c>
      <c r="AJ98" s="3255">
        <v>43882</v>
      </c>
      <c r="AK98" s="3287">
        <f t="shared" si="23"/>
        <v>2020</v>
      </c>
      <c r="AL98" s="3288">
        <f t="shared" si="24"/>
        <v>2</v>
      </c>
      <c r="AM98" s="3226" t="s">
        <v>4433</v>
      </c>
      <c r="AN98" s="3289">
        <v>700000</v>
      </c>
      <c r="AO98" s="3299"/>
      <c r="AP98" s="3299"/>
      <c r="AQ98" s="3300"/>
      <c r="AR98" s="3292"/>
      <c r="AS98" s="3292"/>
      <c r="AT98" s="3292"/>
      <c r="AU98" s="3293" t="str">
        <f t="shared" si="26"/>
        <v/>
      </c>
      <c r="AV98" s="3293" t="str">
        <f t="shared" si="27"/>
        <v/>
      </c>
      <c r="AW98" s="3294"/>
      <c r="AX98" s="3236"/>
      <c r="AY98" s="3244"/>
      <c r="AZ98" s="3295" t="s">
        <v>4437</v>
      </c>
      <c r="BA98" s="3296" t="str">
        <f t="shared" si="25"/>
        <v>签约</v>
      </c>
      <c r="BB98" s="3226" t="s">
        <v>4423</v>
      </c>
      <c r="BC98" s="3226"/>
      <c r="BD98" s="3292">
        <f>VLOOKUP(B98,[3]Sheet1!A$1:B$65536,2,0)</f>
        <v>43748</v>
      </c>
      <c r="BE98" s="3297" t="s">
        <v>4367</v>
      </c>
      <c r="BG98" s="3297">
        <f>IFERROR(VLOOKUP(B98,[3]Sheet2!A$1:B$65536,2,FALSE),0)</f>
        <v>0</v>
      </c>
      <c r="BI98" s="3297">
        <f>IFERROR(VLOOKUP(B98,[3]Sheet2!A$1:C$65536,2,FALSE),0)</f>
        <v>0</v>
      </c>
      <c r="BJ98" s="3297">
        <f>IFERROR(VLOOKUP(B98,[3]Sheet2!A$1:C$65536,3,FALSE),0)</f>
        <v>0</v>
      </c>
    </row>
    <row r="99" spans="1:62" s="3297" customFormat="1" ht="20.25" customHeight="1">
      <c r="A99" s="3226">
        <v>97</v>
      </c>
      <c r="B99" s="3226" t="s">
        <v>4645</v>
      </c>
      <c r="C99" s="3227" t="s">
        <v>3333</v>
      </c>
      <c r="D99" s="3228" t="s">
        <v>4646</v>
      </c>
      <c r="E99" s="3229">
        <v>43735</v>
      </c>
      <c r="F99" s="3230">
        <v>20000</v>
      </c>
      <c r="G99" s="3231">
        <v>131.44999999999999</v>
      </c>
      <c r="H99" s="3231" t="str">
        <f t="shared" si="14"/>
        <v>普通住宅</v>
      </c>
      <c r="I99" s="3230">
        <v>1828198</v>
      </c>
      <c r="J99" s="3229">
        <v>43736</v>
      </c>
      <c r="K99" s="3284">
        <f t="shared" si="15"/>
        <v>9</v>
      </c>
      <c r="L99" s="3230">
        <v>1808198</v>
      </c>
      <c r="M99" s="3235">
        <f t="shared" si="16"/>
        <v>13755.785469760367</v>
      </c>
      <c r="N99" s="3236">
        <v>588198</v>
      </c>
      <c r="O99" s="3244">
        <f t="shared" si="17"/>
        <v>1808198</v>
      </c>
      <c r="P99" s="3244"/>
      <c r="Q99" s="3244"/>
      <c r="R99" s="3244">
        <f t="shared" si="18"/>
        <v>608198</v>
      </c>
      <c r="S99" s="3244">
        <f t="shared" si="19"/>
        <v>608198</v>
      </c>
      <c r="T99" s="3236"/>
      <c r="U99" s="3236"/>
      <c r="V99" s="3236">
        <v>600000</v>
      </c>
      <c r="W99" s="3236">
        <v>600000</v>
      </c>
      <c r="X99" s="3244">
        <f t="shared" si="20"/>
        <v>1808198</v>
      </c>
      <c r="Y99" s="3244">
        <f t="shared" si="21"/>
        <v>0</v>
      </c>
      <c r="Z99" s="3285">
        <f t="shared" si="22"/>
        <v>1</v>
      </c>
      <c r="AA99" s="3226" t="s">
        <v>4416</v>
      </c>
      <c r="AB99" s="3255" t="s">
        <v>4417</v>
      </c>
      <c r="AC99" s="3226" t="s">
        <v>4460</v>
      </c>
      <c r="AD99" s="3286" t="s">
        <v>4419</v>
      </c>
      <c r="AE99" s="3286" t="s">
        <v>4427</v>
      </c>
      <c r="AF99" s="3286"/>
      <c r="AG99" s="3286"/>
      <c r="AH99" s="3255">
        <v>43775</v>
      </c>
      <c r="AI99" s="3255">
        <v>43775</v>
      </c>
      <c r="AJ99" s="3255">
        <v>43836</v>
      </c>
      <c r="AK99" s="3287">
        <f t="shared" si="23"/>
        <v>2020</v>
      </c>
      <c r="AL99" s="3288">
        <f t="shared" si="24"/>
        <v>1</v>
      </c>
      <c r="AM99" s="3302" t="s">
        <v>4534</v>
      </c>
      <c r="AN99" s="3298">
        <v>600000</v>
      </c>
      <c r="AO99" s="3300" t="s">
        <v>4419</v>
      </c>
      <c r="AP99" s="3300" t="s">
        <v>4427</v>
      </c>
      <c r="AQ99" s="3300"/>
      <c r="AR99" s="3292">
        <v>43775</v>
      </c>
      <c r="AS99" s="3292">
        <v>43775</v>
      </c>
      <c r="AT99" s="3292">
        <v>43882</v>
      </c>
      <c r="AU99" s="3293">
        <f t="shared" si="26"/>
        <v>2020</v>
      </c>
      <c r="AV99" s="3293">
        <f t="shared" si="27"/>
        <v>2</v>
      </c>
      <c r="AW99" s="3294" t="s">
        <v>4453</v>
      </c>
      <c r="AX99" s="3236">
        <v>600000</v>
      </c>
      <c r="AY99" s="3244"/>
      <c r="AZ99" s="3295" t="s">
        <v>4422</v>
      </c>
      <c r="BA99" s="3296" t="str">
        <f t="shared" si="25"/>
        <v>签约</v>
      </c>
      <c r="BB99" s="3226" t="s">
        <v>4423</v>
      </c>
      <c r="BC99" s="3226"/>
      <c r="BD99" s="3292">
        <f>VLOOKUP(B99,[3]Sheet1!A$1:B$65536,2,0)</f>
        <v>43749</v>
      </c>
      <c r="BE99" s="3297" t="s">
        <v>4542</v>
      </c>
      <c r="BG99" s="3297">
        <f>IFERROR(VLOOKUP(B99,[3]Sheet2!A$1:B$65536,2,FALSE),0)</f>
        <v>0</v>
      </c>
      <c r="BI99" s="3297">
        <f>IFERROR(VLOOKUP(B99,[3]Sheet2!A$1:C$65536,2,FALSE),0)</f>
        <v>0</v>
      </c>
      <c r="BJ99" s="3297">
        <f>IFERROR(VLOOKUP(B99,[3]Sheet2!A$1:C$65536,3,FALSE),0)</f>
        <v>0</v>
      </c>
    </row>
    <row r="100" spans="1:62" s="3297" customFormat="1" ht="20.25" customHeight="1">
      <c r="A100" s="3226">
        <v>98</v>
      </c>
      <c r="B100" s="3226" t="s">
        <v>4647</v>
      </c>
      <c r="C100" s="3227" t="s">
        <v>3333</v>
      </c>
      <c r="D100" s="3228" t="s">
        <v>4629</v>
      </c>
      <c r="E100" s="3229">
        <v>43735</v>
      </c>
      <c r="F100" s="3230">
        <v>20000</v>
      </c>
      <c r="G100" s="3231">
        <v>131.44999999999999</v>
      </c>
      <c r="H100" s="3231" t="str">
        <f t="shared" si="14"/>
        <v>普通住宅</v>
      </c>
      <c r="I100" s="3238">
        <v>1821422</v>
      </c>
      <c r="J100" s="3239">
        <v>43738</v>
      </c>
      <c r="K100" s="3284">
        <f t="shared" si="15"/>
        <v>9</v>
      </c>
      <c r="L100" s="3238">
        <v>1786422</v>
      </c>
      <c r="M100" s="3235">
        <f t="shared" si="16"/>
        <v>13590.125523012553</v>
      </c>
      <c r="N100" s="3236">
        <v>566422</v>
      </c>
      <c r="O100" s="3244">
        <f t="shared" si="17"/>
        <v>1786422</v>
      </c>
      <c r="P100" s="3244"/>
      <c r="Q100" s="3244"/>
      <c r="R100" s="3244">
        <f t="shared" si="18"/>
        <v>586422</v>
      </c>
      <c r="S100" s="3244">
        <f t="shared" si="19"/>
        <v>586422</v>
      </c>
      <c r="T100" s="3236"/>
      <c r="U100" s="3236"/>
      <c r="V100" s="3236">
        <v>1200000</v>
      </c>
      <c r="W100" s="3236"/>
      <c r="X100" s="3244">
        <f t="shared" si="20"/>
        <v>1786422</v>
      </c>
      <c r="Y100" s="3244">
        <f t="shared" si="21"/>
        <v>0</v>
      </c>
      <c r="Z100" s="3285">
        <f t="shared" si="22"/>
        <v>1</v>
      </c>
      <c r="AA100" s="3226" t="s">
        <v>4416</v>
      </c>
      <c r="AB100" s="3255" t="s">
        <v>4417</v>
      </c>
      <c r="AC100" s="3226" t="s">
        <v>4418</v>
      </c>
      <c r="AD100" s="3286" t="s">
        <v>4419</v>
      </c>
      <c r="AE100" s="3286" t="s">
        <v>4427</v>
      </c>
      <c r="AF100" s="3286"/>
      <c r="AG100" s="3286"/>
      <c r="AH100" s="3255">
        <v>43747</v>
      </c>
      <c r="AI100" s="3255">
        <v>43757</v>
      </c>
      <c r="AJ100" s="3255">
        <v>43787</v>
      </c>
      <c r="AK100" s="3287">
        <f t="shared" si="23"/>
        <v>2019</v>
      </c>
      <c r="AL100" s="3288">
        <f t="shared" si="24"/>
        <v>11</v>
      </c>
      <c r="AM100" s="3226" t="s">
        <v>4474</v>
      </c>
      <c r="AN100" s="3298">
        <v>1200000</v>
      </c>
      <c r="AO100" s="3300"/>
      <c r="AP100" s="3300"/>
      <c r="AQ100" s="3300"/>
      <c r="AR100" s="3292"/>
      <c r="AS100" s="3292"/>
      <c r="AT100" s="3292"/>
      <c r="AU100" s="3293" t="str">
        <f t="shared" si="26"/>
        <v/>
      </c>
      <c r="AV100" s="3293" t="str">
        <f t="shared" si="27"/>
        <v/>
      </c>
      <c r="AW100" s="3294"/>
      <c r="AX100" s="3236"/>
      <c r="AY100" s="3244"/>
      <c r="AZ100" s="3295" t="s">
        <v>4422</v>
      </c>
      <c r="BA100" s="3296" t="str">
        <f t="shared" si="25"/>
        <v>签约</v>
      </c>
      <c r="BB100" s="3226" t="s">
        <v>4423</v>
      </c>
      <c r="BC100" s="3226"/>
      <c r="BD100" s="3292">
        <f>VLOOKUP(B100,[3]Sheet1!A$1:B$65536,2,0)</f>
        <v>43752</v>
      </c>
      <c r="BE100" s="3297" t="s">
        <v>4424</v>
      </c>
      <c r="BG100" s="3297">
        <f>IFERROR(VLOOKUP(B100,[3]Sheet2!A$1:B$65536,2,FALSE),0)</f>
        <v>0</v>
      </c>
      <c r="BI100" s="3297">
        <f>IFERROR(VLOOKUP(B100,[3]Sheet2!A$1:C$65536,2,FALSE),0)</f>
        <v>0</v>
      </c>
      <c r="BJ100" s="3297">
        <f>IFERROR(VLOOKUP(B100,[3]Sheet2!A$1:C$65536,3,FALSE),0)</f>
        <v>0</v>
      </c>
    </row>
    <row r="101" spans="1:62" s="3297" customFormat="1" ht="20.25" customHeight="1">
      <c r="A101" s="3226">
        <v>99</v>
      </c>
      <c r="B101" s="3226" t="s">
        <v>4648</v>
      </c>
      <c r="C101" s="3227" t="s">
        <v>3333</v>
      </c>
      <c r="D101" s="3228" t="s">
        <v>4649</v>
      </c>
      <c r="E101" s="3229">
        <v>43735</v>
      </c>
      <c r="F101" s="3230">
        <v>20000</v>
      </c>
      <c r="G101" s="3231">
        <v>131.44999999999999</v>
      </c>
      <c r="H101" s="3231" t="str">
        <f t="shared" si="14"/>
        <v>普通住宅</v>
      </c>
      <c r="I101" s="3232">
        <v>1814647</v>
      </c>
      <c r="J101" s="3233">
        <v>43738</v>
      </c>
      <c r="K101" s="3284">
        <f t="shared" si="15"/>
        <v>9</v>
      </c>
      <c r="L101" s="3232">
        <v>1769647</v>
      </c>
      <c r="M101" s="3235">
        <f t="shared" si="16"/>
        <v>13462.510460251047</v>
      </c>
      <c r="N101" s="3236">
        <f>569647+1180000</f>
        <v>1749647</v>
      </c>
      <c r="O101" s="3244">
        <f t="shared" si="17"/>
        <v>1769647</v>
      </c>
      <c r="P101" s="3244"/>
      <c r="Q101" s="3244"/>
      <c r="R101" s="3244">
        <f t="shared" si="18"/>
        <v>1769647</v>
      </c>
      <c r="S101" s="3244">
        <f t="shared" si="19"/>
        <v>1769647</v>
      </c>
      <c r="T101" s="3236"/>
      <c r="U101" s="3236"/>
      <c r="V101" s="3236"/>
      <c r="W101" s="3236"/>
      <c r="X101" s="3244">
        <f t="shared" si="20"/>
        <v>1769647</v>
      </c>
      <c r="Y101" s="3244">
        <f t="shared" si="21"/>
        <v>0</v>
      </c>
      <c r="Z101" s="3285">
        <f t="shared" si="22"/>
        <v>1</v>
      </c>
      <c r="AA101" s="3226" t="s">
        <v>4416</v>
      </c>
      <c r="AB101" s="3255" t="s">
        <v>4444</v>
      </c>
      <c r="AC101" s="3226"/>
      <c r="AD101" s="3286"/>
      <c r="AE101" s="3286"/>
      <c r="AF101" s="3286"/>
      <c r="AG101" s="3286"/>
      <c r="AH101" s="3255"/>
      <c r="AI101" s="3255"/>
      <c r="AJ101" s="3255"/>
      <c r="AK101" s="3287" t="str">
        <f t="shared" si="23"/>
        <v/>
      </c>
      <c r="AL101" s="3288" t="str">
        <f t="shared" si="24"/>
        <v/>
      </c>
      <c r="AM101" s="3226"/>
      <c r="AN101" s="3289"/>
      <c r="AO101" s="3300"/>
      <c r="AP101" s="3300"/>
      <c r="AQ101" s="3300"/>
      <c r="AR101" s="3292"/>
      <c r="AS101" s="3292"/>
      <c r="AT101" s="3292"/>
      <c r="AU101" s="3293" t="str">
        <f t="shared" si="26"/>
        <v/>
      </c>
      <c r="AV101" s="3293" t="str">
        <f t="shared" si="27"/>
        <v/>
      </c>
      <c r="AW101" s="3294"/>
      <c r="AX101" s="3236"/>
      <c r="AY101" s="3244"/>
      <c r="AZ101" s="3295" t="s">
        <v>4422</v>
      </c>
      <c r="BA101" s="3296" t="str">
        <f t="shared" si="25"/>
        <v>签约</v>
      </c>
      <c r="BB101" s="3226" t="s">
        <v>4423</v>
      </c>
      <c r="BC101" s="3226"/>
      <c r="BD101" s="3292">
        <f>VLOOKUP(B101,[3]Sheet1!A$1:B$65536,2,0)</f>
        <v>43761</v>
      </c>
      <c r="BE101" s="3297" t="s">
        <v>4424</v>
      </c>
      <c r="BG101" s="3297">
        <f>IFERROR(VLOOKUP(B101,[3]Sheet2!A$1:B$65536,2,FALSE),0)</f>
        <v>0</v>
      </c>
      <c r="BI101" s="3297">
        <f>IFERROR(VLOOKUP(B101,[3]Sheet2!A$1:C$65536,2,FALSE),0)</f>
        <v>0</v>
      </c>
      <c r="BJ101" s="3297">
        <f>IFERROR(VLOOKUP(B101,[3]Sheet2!A$1:C$65536,3,FALSE),0)</f>
        <v>0</v>
      </c>
    </row>
    <row r="102" spans="1:62" s="3297" customFormat="1" ht="20.25" customHeight="1">
      <c r="A102" s="3226">
        <v>100</v>
      </c>
      <c r="B102" s="3226" t="s">
        <v>3524</v>
      </c>
      <c r="C102" s="3227" t="s">
        <v>3333</v>
      </c>
      <c r="D102" s="3228" t="s">
        <v>4650</v>
      </c>
      <c r="E102" s="3229">
        <v>43735</v>
      </c>
      <c r="F102" s="3230">
        <v>20000</v>
      </c>
      <c r="G102" s="3231">
        <v>131.44999999999999</v>
      </c>
      <c r="H102" s="3231" t="str">
        <f t="shared" si="14"/>
        <v>普通住宅</v>
      </c>
      <c r="I102" s="3230">
        <v>1807871</v>
      </c>
      <c r="J102" s="3229">
        <v>43738</v>
      </c>
      <c r="K102" s="3284">
        <f t="shared" si="15"/>
        <v>9</v>
      </c>
      <c r="L102" s="3230">
        <v>1772871</v>
      </c>
      <c r="M102" s="3235">
        <f t="shared" si="16"/>
        <v>13487.036896158237</v>
      </c>
      <c r="N102" s="3236">
        <v>512871</v>
      </c>
      <c r="O102" s="3244">
        <f t="shared" si="17"/>
        <v>1772871</v>
      </c>
      <c r="P102" s="3244"/>
      <c r="Q102" s="3244"/>
      <c r="R102" s="3244">
        <f t="shared" si="18"/>
        <v>532871</v>
      </c>
      <c r="S102" s="3244">
        <f t="shared" si="19"/>
        <v>532871</v>
      </c>
      <c r="T102" s="3236"/>
      <c r="U102" s="3236"/>
      <c r="V102" s="3236">
        <v>1240000</v>
      </c>
      <c r="W102" s="3236"/>
      <c r="X102" s="3244">
        <f t="shared" si="20"/>
        <v>1772871</v>
      </c>
      <c r="Y102" s="3244">
        <f t="shared" si="21"/>
        <v>0</v>
      </c>
      <c r="Z102" s="3285">
        <f t="shared" si="22"/>
        <v>1</v>
      </c>
      <c r="AA102" s="3226" t="s">
        <v>4416</v>
      </c>
      <c r="AB102" s="3255" t="s">
        <v>4417</v>
      </c>
      <c r="AC102" s="3226" t="s">
        <v>4418</v>
      </c>
      <c r="AD102" s="3286" t="s">
        <v>4419</v>
      </c>
      <c r="AE102" s="3286" t="s">
        <v>4427</v>
      </c>
      <c r="AF102" s="3286"/>
      <c r="AG102" s="3286"/>
      <c r="AH102" s="3255">
        <v>43766</v>
      </c>
      <c r="AI102" s="3255">
        <v>43775</v>
      </c>
      <c r="AJ102" s="3255">
        <v>43843</v>
      </c>
      <c r="AK102" s="3287">
        <f t="shared" si="23"/>
        <v>2020</v>
      </c>
      <c r="AL102" s="3288">
        <f t="shared" si="24"/>
        <v>1</v>
      </c>
      <c r="AM102" s="3226" t="s">
        <v>4433</v>
      </c>
      <c r="AN102" s="3289">
        <v>1240000</v>
      </c>
      <c r="AO102" s="3299"/>
      <c r="AP102" s="3299"/>
      <c r="AQ102" s="3300"/>
      <c r="AR102" s="3292"/>
      <c r="AS102" s="3292"/>
      <c r="AT102" s="3292"/>
      <c r="AU102" s="3293" t="str">
        <f t="shared" si="26"/>
        <v/>
      </c>
      <c r="AV102" s="3293" t="str">
        <f t="shared" si="27"/>
        <v/>
      </c>
      <c r="AW102" s="3294"/>
      <c r="AX102" s="3236"/>
      <c r="AY102" s="3244"/>
      <c r="AZ102" s="3295" t="s">
        <v>4441</v>
      </c>
      <c r="BA102" s="3296" t="str">
        <f t="shared" si="25"/>
        <v>签约</v>
      </c>
      <c r="BB102" s="3226" t="s">
        <v>4423</v>
      </c>
      <c r="BC102" s="3226"/>
      <c r="BD102" s="3292">
        <f>VLOOKUP(B102,[3]Sheet1!A$1:B$65536,2,0)</f>
        <v>43750</v>
      </c>
      <c r="BE102" s="3297" t="s">
        <v>4449</v>
      </c>
      <c r="BG102" s="3297">
        <f>IFERROR(VLOOKUP(B102,[3]Sheet2!A$1:B$65536,2,FALSE),0)</f>
        <v>0</v>
      </c>
      <c r="BI102" s="3297">
        <f>IFERROR(VLOOKUP(B102,[3]Sheet2!A$1:C$65536,2,FALSE),0)</f>
        <v>0</v>
      </c>
      <c r="BJ102" s="3297">
        <f>IFERROR(VLOOKUP(B102,[3]Sheet2!A$1:C$65536,3,FALSE),0)</f>
        <v>0</v>
      </c>
    </row>
    <row r="103" spans="1:62" s="3297" customFormat="1" ht="20.25" customHeight="1">
      <c r="A103" s="3226">
        <v>101</v>
      </c>
      <c r="B103" s="3226" t="s">
        <v>3526</v>
      </c>
      <c r="C103" s="3227" t="s">
        <v>3333</v>
      </c>
      <c r="D103" s="3228" t="s">
        <v>4651</v>
      </c>
      <c r="E103" s="3229">
        <v>43735</v>
      </c>
      <c r="F103" s="3230">
        <v>20000</v>
      </c>
      <c r="G103" s="3231">
        <v>131.44999999999999</v>
      </c>
      <c r="H103" s="3231" t="str">
        <f t="shared" si="14"/>
        <v>普通住宅</v>
      </c>
      <c r="I103" s="3230">
        <v>1773992</v>
      </c>
      <c r="J103" s="3229">
        <v>43737</v>
      </c>
      <c r="K103" s="3284">
        <f t="shared" si="15"/>
        <v>9</v>
      </c>
      <c r="L103" s="3230">
        <v>1738992</v>
      </c>
      <c r="M103" s="3235">
        <f t="shared" si="16"/>
        <v>13229.303917839485</v>
      </c>
      <c r="N103" s="3236">
        <v>508992</v>
      </c>
      <c r="O103" s="3244">
        <f t="shared" si="17"/>
        <v>1738992</v>
      </c>
      <c r="P103" s="3244"/>
      <c r="Q103" s="3244"/>
      <c r="R103" s="3244">
        <f t="shared" si="18"/>
        <v>528992</v>
      </c>
      <c r="S103" s="3244">
        <f t="shared" si="19"/>
        <v>528992</v>
      </c>
      <c r="T103" s="3236"/>
      <c r="U103" s="3236"/>
      <c r="V103" s="3236">
        <v>1210000</v>
      </c>
      <c r="W103" s="3236"/>
      <c r="X103" s="3244">
        <f t="shared" si="20"/>
        <v>1738992</v>
      </c>
      <c r="Y103" s="3244">
        <f t="shared" si="21"/>
        <v>0</v>
      </c>
      <c r="Z103" s="3285">
        <f t="shared" si="22"/>
        <v>1</v>
      </c>
      <c r="AA103" s="3226" t="s">
        <v>4416</v>
      </c>
      <c r="AB103" s="3255" t="s">
        <v>4417</v>
      </c>
      <c r="AC103" s="3226" t="s">
        <v>4418</v>
      </c>
      <c r="AD103" s="3286" t="s">
        <v>4419</v>
      </c>
      <c r="AE103" s="3286" t="s">
        <v>4420</v>
      </c>
      <c r="AF103" s="3286"/>
      <c r="AG103" s="3286"/>
      <c r="AH103" s="3255">
        <v>43737</v>
      </c>
      <c r="AI103" s="3255">
        <v>43747</v>
      </c>
      <c r="AJ103" s="3255">
        <v>43775</v>
      </c>
      <c r="AK103" s="3287">
        <f t="shared" si="23"/>
        <v>2019</v>
      </c>
      <c r="AL103" s="3288">
        <f t="shared" si="24"/>
        <v>11</v>
      </c>
      <c r="AM103" s="3226" t="s">
        <v>4474</v>
      </c>
      <c r="AN103" s="3289">
        <v>1210000</v>
      </c>
      <c r="AO103" s="3299"/>
      <c r="AP103" s="3299"/>
      <c r="AQ103" s="3300"/>
      <c r="AR103" s="3292"/>
      <c r="AS103" s="3292"/>
      <c r="AT103" s="3292"/>
      <c r="AU103" s="3293" t="str">
        <f t="shared" si="26"/>
        <v/>
      </c>
      <c r="AV103" s="3293" t="str">
        <f t="shared" si="27"/>
        <v/>
      </c>
      <c r="AW103" s="3294"/>
      <c r="AX103" s="3236"/>
      <c r="AY103" s="3244"/>
      <c r="AZ103" s="3295" t="s">
        <v>4464</v>
      </c>
      <c r="BA103" s="3296" t="str">
        <f t="shared" si="25"/>
        <v>签约</v>
      </c>
      <c r="BB103" s="3226" t="s">
        <v>4455</v>
      </c>
      <c r="BC103" s="3226" t="s">
        <v>4430</v>
      </c>
      <c r="BD103" s="3292">
        <f>VLOOKUP(B103,[3]Sheet1!A$1:B$65536,2,0)</f>
        <v>43750</v>
      </c>
      <c r="BE103" s="3297" t="s">
        <v>4367</v>
      </c>
      <c r="BG103" s="3297">
        <f>IFERROR(VLOOKUP(B103,[3]Sheet2!A$1:B$65536,2,FALSE),0)</f>
        <v>0</v>
      </c>
      <c r="BI103" s="3297">
        <f>IFERROR(VLOOKUP(B103,[3]Sheet2!A$1:C$65536,2,FALSE),0)</f>
        <v>0</v>
      </c>
      <c r="BJ103" s="3297">
        <f>IFERROR(VLOOKUP(B103,[3]Sheet2!A$1:C$65536,3,FALSE),0)</f>
        <v>0</v>
      </c>
    </row>
    <row r="104" spans="1:62" s="3297" customFormat="1" ht="20.25" customHeight="1">
      <c r="A104" s="3226">
        <v>102</v>
      </c>
      <c r="B104" s="3226" t="s">
        <v>4652</v>
      </c>
      <c r="C104" s="3227" t="s">
        <v>3333</v>
      </c>
      <c r="D104" s="3228" t="s">
        <v>4653</v>
      </c>
      <c r="E104" s="3229">
        <v>43735</v>
      </c>
      <c r="F104" s="3230">
        <v>20000</v>
      </c>
      <c r="G104" s="3231">
        <v>131.44999999999999</v>
      </c>
      <c r="H104" s="3231" t="str">
        <f t="shared" si="14"/>
        <v>普通住宅</v>
      </c>
      <c r="I104" s="3238">
        <v>1733337</v>
      </c>
      <c r="J104" s="3239">
        <v>43738</v>
      </c>
      <c r="K104" s="3284">
        <f t="shared" si="15"/>
        <v>9</v>
      </c>
      <c r="L104" s="3238">
        <v>1698337</v>
      </c>
      <c r="M104" s="3235">
        <f t="shared" si="16"/>
        <v>12920.02282236592</v>
      </c>
      <c r="N104" s="3236">
        <v>988337</v>
      </c>
      <c r="O104" s="3244">
        <f t="shared" si="17"/>
        <v>1698337</v>
      </c>
      <c r="P104" s="3244"/>
      <c r="Q104" s="3244"/>
      <c r="R104" s="3244">
        <f t="shared" si="18"/>
        <v>1008337</v>
      </c>
      <c r="S104" s="3244">
        <f t="shared" si="19"/>
        <v>1008337</v>
      </c>
      <c r="T104" s="3236"/>
      <c r="U104" s="3236"/>
      <c r="V104" s="3236">
        <v>690000</v>
      </c>
      <c r="W104" s="3236"/>
      <c r="X104" s="3244">
        <f t="shared" si="20"/>
        <v>1698337</v>
      </c>
      <c r="Y104" s="3244">
        <f t="shared" si="21"/>
        <v>0</v>
      </c>
      <c r="Z104" s="3285">
        <f t="shared" si="22"/>
        <v>1</v>
      </c>
      <c r="AA104" s="3226" t="s">
        <v>4416</v>
      </c>
      <c r="AB104" s="3255" t="s">
        <v>4417</v>
      </c>
      <c r="AC104" s="3226" t="s">
        <v>4418</v>
      </c>
      <c r="AD104" s="3286" t="s">
        <v>4419</v>
      </c>
      <c r="AE104" s="3286" t="s">
        <v>4427</v>
      </c>
      <c r="AF104" s="3286"/>
      <c r="AG104" s="3286"/>
      <c r="AH104" s="3255">
        <v>43759</v>
      </c>
      <c r="AI104" s="3255">
        <v>43797</v>
      </c>
      <c r="AJ104" s="3255">
        <v>43833</v>
      </c>
      <c r="AK104" s="3287">
        <f t="shared" si="23"/>
        <v>2020</v>
      </c>
      <c r="AL104" s="3288">
        <f t="shared" si="24"/>
        <v>1</v>
      </c>
      <c r="AM104" s="3226" t="s">
        <v>4421</v>
      </c>
      <c r="AN104" s="3289">
        <v>690000</v>
      </c>
      <c r="AO104" s="3299"/>
      <c r="AP104" s="3299"/>
      <c r="AQ104" s="3300"/>
      <c r="AR104" s="3292"/>
      <c r="AS104" s="3292"/>
      <c r="AT104" s="3292"/>
      <c r="AU104" s="3293" t="str">
        <f t="shared" si="26"/>
        <v/>
      </c>
      <c r="AV104" s="3293" t="str">
        <f t="shared" si="27"/>
        <v/>
      </c>
      <c r="AW104" s="3294"/>
      <c r="AX104" s="3236"/>
      <c r="AY104" s="3244"/>
      <c r="AZ104" s="3295" t="s">
        <v>4422</v>
      </c>
      <c r="BA104" s="3296" t="str">
        <f t="shared" si="25"/>
        <v>签约</v>
      </c>
      <c r="BB104" s="3226" t="s">
        <v>4423</v>
      </c>
      <c r="BC104" s="3226"/>
      <c r="BD104" s="3292">
        <f>VLOOKUP(B104,[3]Sheet1!A$1:B$65536,2,0)</f>
        <v>43780</v>
      </c>
      <c r="BE104" s="3297" t="s">
        <v>4424</v>
      </c>
      <c r="BG104" s="3297">
        <f>IFERROR(VLOOKUP(B104,[3]Sheet2!A$1:B$65536,2,FALSE),0)</f>
        <v>0</v>
      </c>
      <c r="BI104" s="3297">
        <f>IFERROR(VLOOKUP(B104,[3]Sheet2!A$1:C$65536,2,FALSE),0)</f>
        <v>0</v>
      </c>
      <c r="BJ104" s="3297">
        <f>IFERROR(VLOOKUP(B104,[3]Sheet2!A$1:C$65536,3,FALSE),0)</f>
        <v>0</v>
      </c>
    </row>
    <row r="105" spans="1:62" s="3297" customFormat="1" ht="20.25" customHeight="1">
      <c r="A105" s="3226">
        <v>103</v>
      </c>
      <c r="B105" s="3226" t="s">
        <v>4654</v>
      </c>
      <c r="C105" s="3227" t="s">
        <v>3333</v>
      </c>
      <c r="D105" s="3228" t="s">
        <v>4619</v>
      </c>
      <c r="E105" s="3229">
        <v>43735</v>
      </c>
      <c r="F105" s="3230">
        <v>20000</v>
      </c>
      <c r="G105" s="3231">
        <v>131.44999999999999</v>
      </c>
      <c r="H105" s="3231" t="str">
        <f t="shared" si="14"/>
        <v>普通住宅</v>
      </c>
      <c r="I105" s="3230">
        <v>1672355</v>
      </c>
      <c r="J105" s="3229">
        <v>43738</v>
      </c>
      <c r="K105" s="3284">
        <f t="shared" si="15"/>
        <v>9</v>
      </c>
      <c r="L105" s="3230">
        <v>1637355</v>
      </c>
      <c r="M105" s="3235">
        <f t="shared" si="16"/>
        <v>12456.104982883227</v>
      </c>
      <c r="N105" s="3236">
        <v>477355</v>
      </c>
      <c r="O105" s="3244">
        <f t="shared" si="17"/>
        <v>1637355</v>
      </c>
      <c r="P105" s="3244"/>
      <c r="Q105" s="3244"/>
      <c r="R105" s="3244">
        <f t="shared" si="18"/>
        <v>497355</v>
      </c>
      <c r="S105" s="3244">
        <f t="shared" si="19"/>
        <v>497355</v>
      </c>
      <c r="T105" s="3236"/>
      <c r="U105" s="3236"/>
      <c r="V105" s="3236">
        <v>1140000</v>
      </c>
      <c r="W105" s="3236"/>
      <c r="X105" s="3244">
        <f t="shared" si="20"/>
        <v>1637355</v>
      </c>
      <c r="Y105" s="3244">
        <f t="shared" si="21"/>
        <v>0</v>
      </c>
      <c r="Z105" s="3285">
        <f t="shared" si="22"/>
        <v>1</v>
      </c>
      <c r="AA105" s="3226" t="s">
        <v>4416</v>
      </c>
      <c r="AB105" s="3255" t="s">
        <v>4417</v>
      </c>
      <c r="AC105" s="3226" t="s">
        <v>4418</v>
      </c>
      <c r="AD105" s="3286" t="s">
        <v>4419</v>
      </c>
      <c r="AE105" s="3286" t="s">
        <v>4427</v>
      </c>
      <c r="AF105" s="3286"/>
      <c r="AG105" s="3286"/>
      <c r="AH105" s="3255">
        <v>43738</v>
      </c>
      <c r="AI105" s="3255">
        <v>43783</v>
      </c>
      <c r="AJ105" s="3255">
        <v>43803</v>
      </c>
      <c r="AK105" s="3287">
        <f t="shared" si="23"/>
        <v>2019</v>
      </c>
      <c r="AL105" s="3288">
        <f t="shared" si="24"/>
        <v>12</v>
      </c>
      <c r="AM105" s="3302" t="s">
        <v>4471</v>
      </c>
      <c r="AN105" s="3298">
        <v>1140000</v>
      </c>
      <c r="AO105" s="3300"/>
      <c r="AP105" s="3300"/>
      <c r="AQ105" s="3300"/>
      <c r="AR105" s="3292"/>
      <c r="AS105" s="3292"/>
      <c r="AT105" s="3292"/>
      <c r="AU105" s="3293" t="str">
        <f t="shared" si="26"/>
        <v/>
      </c>
      <c r="AV105" s="3293" t="str">
        <f t="shared" si="27"/>
        <v/>
      </c>
      <c r="AW105" s="3294"/>
      <c r="AX105" s="3236"/>
      <c r="AY105" s="3244"/>
      <c r="AZ105" s="3295" t="s">
        <v>4445</v>
      </c>
      <c r="BA105" s="3296" t="str">
        <f t="shared" si="25"/>
        <v>签约</v>
      </c>
      <c r="BB105" s="3226" t="s">
        <v>4423</v>
      </c>
      <c r="BC105" s="3226"/>
      <c r="BD105" s="3292">
        <f>VLOOKUP(B105,[3]Sheet1!A$1:B$65536,2,0)</f>
        <v>43749</v>
      </c>
      <c r="BE105" s="3297" t="s">
        <v>4449</v>
      </c>
      <c r="BG105" s="3297">
        <f>IFERROR(VLOOKUP(B105,[3]Sheet2!A$1:B$65536,2,FALSE),0)</f>
        <v>0</v>
      </c>
      <c r="BI105" s="3297">
        <f>IFERROR(VLOOKUP(B105,[3]Sheet2!A$1:C$65536,2,FALSE),0)</f>
        <v>0</v>
      </c>
      <c r="BJ105" s="3297">
        <f>IFERROR(VLOOKUP(B105,[3]Sheet2!A$1:C$65536,3,FALSE),0)</f>
        <v>0</v>
      </c>
    </row>
    <row r="106" spans="1:62" s="3297" customFormat="1" ht="20.25" customHeight="1">
      <c r="A106" s="3226">
        <v>104</v>
      </c>
      <c r="B106" s="3240" t="s">
        <v>4655</v>
      </c>
      <c r="C106" s="3227" t="s">
        <v>3333</v>
      </c>
      <c r="D106" s="3228" t="s">
        <v>4656</v>
      </c>
      <c r="E106" s="3229">
        <v>43735</v>
      </c>
      <c r="F106" s="3230">
        <v>20000</v>
      </c>
      <c r="G106" s="3231">
        <v>131.41</v>
      </c>
      <c r="H106" s="3231" t="str">
        <f t="shared" si="14"/>
        <v>普通住宅</v>
      </c>
      <c r="I106" s="3230">
        <v>1771078</v>
      </c>
      <c r="J106" s="3229">
        <v>43738</v>
      </c>
      <c r="K106" s="3284">
        <f t="shared" si="15"/>
        <v>9</v>
      </c>
      <c r="L106" s="3230">
        <v>1751078</v>
      </c>
      <c r="M106" s="3235">
        <f t="shared" si="16"/>
        <v>13325.3024883951</v>
      </c>
      <c r="N106" s="3238">
        <v>511078</v>
      </c>
      <c r="O106" s="3244">
        <f t="shared" si="17"/>
        <v>1751078</v>
      </c>
      <c r="P106" s="3244"/>
      <c r="Q106" s="3244"/>
      <c r="R106" s="3244">
        <f t="shared" si="18"/>
        <v>531078</v>
      </c>
      <c r="S106" s="3244">
        <f t="shared" si="19"/>
        <v>531078</v>
      </c>
      <c r="T106" s="3236"/>
      <c r="U106" s="3236"/>
      <c r="V106" s="3236">
        <v>920000</v>
      </c>
      <c r="W106" s="3236">
        <v>300000</v>
      </c>
      <c r="X106" s="3244">
        <f t="shared" si="20"/>
        <v>1751078</v>
      </c>
      <c r="Y106" s="3244">
        <f t="shared" si="21"/>
        <v>0</v>
      </c>
      <c r="Z106" s="3285">
        <f t="shared" si="22"/>
        <v>1</v>
      </c>
      <c r="AA106" s="3226" t="s">
        <v>4416</v>
      </c>
      <c r="AB106" s="3255" t="s">
        <v>4417</v>
      </c>
      <c r="AC106" s="3226" t="s">
        <v>4460</v>
      </c>
      <c r="AD106" s="3286" t="s">
        <v>4419</v>
      </c>
      <c r="AE106" s="3286" t="s">
        <v>4427</v>
      </c>
      <c r="AF106" s="3286"/>
      <c r="AG106" s="3286"/>
      <c r="AH106" s="3255">
        <v>43738</v>
      </c>
      <c r="AI106" s="3255">
        <v>43754</v>
      </c>
      <c r="AJ106" s="3255">
        <v>43789</v>
      </c>
      <c r="AK106" s="3287">
        <f t="shared" si="23"/>
        <v>2019</v>
      </c>
      <c r="AL106" s="3288">
        <f t="shared" si="24"/>
        <v>11</v>
      </c>
      <c r="AM106" s="3302" t="s">
        <v>4474</v>
      </c>
      <c r="AN106" s="3298">
        <v>920000</v>
      </c>
      <c r="AO106" s="3300" t="s">
        <v>4419</v>
      </c>
      <c r="AP106" s="3300" t="s">
        <v>4427</v>
      </c>
      <c r="AQ106" s="3300"/>
      <c r="AR106" s="3292">
        <v>43797</v>
      </c>
      <c r="AS106" s="3292">
        <v>43797</v>
      </c>
      <c r="AT106" s="3292">
        <v>43853</v>
      </c>
      <c r="AU106" s="3293">
        <f t="shared" si="26"/>
        <v>2020</v>
      </c>
      <c r="AV106" s="3293">
        <f t="shared" si="27"/>
        <v>1</v>
      </c>
      <c r="AW106" s="3294" t="s">
        <v>4657</v>
      </c>
      <c r="AX106" s="3236">
        <v>300000</v>
      </c>
      <c r="AY106" s="3244"/>
      <c r="AZ106" s="3295" t="s">
        <v>4454</v>
      </c>
      <c r="BA106" s="3296" t="str">
        <f t="shared" si="25"/>
        <v>签约</v>
      </c>
      <c r="BB106" s="3226" t="s">
        <v>4455</v>
      </c>
      <c r="BC106" s="3226"/>
      <c r="BD106" s="3292">
        <f>VLOOKUP(B106,[3]Sheet1!A$1:B$65536,2,0)</f>
        <v>43748</v>
      </c>
      <c r="BE106" s="3297" t="s">
        <v>4367</v>
      </c>
      <c r="BG106" s="3297">
        <f>IFERROR(VLOOKUP(B106,[3]Sheet2!A$1:B$65536,2,FALSE),0)</f>
        <v>0</v>
      </c>
      <c r="BI106" s="3297">
        <f>IFERROR(VLOOKUP(B106,[3]Sheet2!A$1:C$65536,2,FALSE),0)</f>
        <v>0</v>
      </c>
      <c r="BJ106" s="3297">
        <f>IFERROR(VLOOKUP(B106,[3]Sheet2!A$1:C$65536,3,FALSE),0)</f>
        <v>0</v>
      </c>
    </row>
    <row r="107" spans="1:62" s="3297" customFormat="1" ht="20.25" customHeight="1">
      <c r="A107" s="3226">
        <v>105</v>
      </c>
      <c r="B107" s="3226" t="s">
        <v>4658</v>
      </c>
      <c r="C107" s="3227" t="s">
        <v>3333</v>
      </c>
      <c r="D107" s="3248" t="s">
        <v>3534</v>
      </c>
      <c r="E107" s="3229">
        <v>43735</v>
      </c>
      <c r="F107" s="3230">
        <v>20000</v>
      </c>
      <c r="G107" s="3231">
        <v>131.44999999999999</v>
      </c>
      <c r="H107" s="3231" t="str">
        <f t="shared" si="14"/>
        <v>普通住宅</v>
      </c>
      <c r="I107" s="3230">
        <v>1846144</v>
      </c>
      <c r="J107" s="3229">
        <v>43735</v>
      </c>
      <c r="K107" s="3284">
        <f t="shared" si="15"/>
        <v>9</v>
      </c>
      <c r="L107" s="3230">
        <v>1811144</v>
      </c>
      <c r="M107" s="3235">
        <f t="shared" si="16"/>
        <v>13778.197033092432</v>
      </c>
      <c r="N107" s="3236">
        <f>711144+420000</f>
        <v>1131144</v>
      </c>
      <c r="O107" s="3244">
        <f t="shared" si="17"/>
        <v>1811144</v>
      </c>
      <c r="P107" s="3244"/>
      <c r="Q107" s="3244"/>
      <c r="R107" s="3244">
        <f t="shared" si="18"/>
        <v>1151144</v>
      </c>
      <c r="S107" s="3244">
        <f t="shared" si="19"/>
        <v>1151144</v>
      </c>
      <c r="T107" s="3236"/>
      <c r="U107" s="3236"/>
      <c r="V107" s="3236">
        <v>660000</v>
      </c>
      <c r="W107" s="3236"/>
      <c r="X107" s="3244">
        <f t="shared" si="20"/>
        <v>1811144</v>
      </c>
      <c r="Y107" s="3244">
        <f t="shared" si="21"/>
        <v>0</v>
      </c>
      <c r="Z107" s="3285">
        <f t="shared" si="22"/>
        <v>1</v>
      </c>
      <c r="AA107" s="3226" t="s">
        <v>4416</v>
      </c>
      <c r="AB107" s="3255" t="s">
        <v>4417</v>
      </c>
      <c r="AC107" s="3226" t="s">
        <v>4418</v>
      </c>
      <c r="AD107" s="3286" t="s">
        <v>4419</v>
      </c>
      <c r="AE107" s="3286" t="s">
        <v>4420</v>
      </c>
      <c r="AF107" s="3286"/>
      <c r="AG107" s="3286"/>
      <c r="AH107" s="3255">
        <v>43738</v>
      </c>
      <c r="AI107" s="3255">
        <v>43748</v>
      </c>
      <c r="AJ107" s="3255">
        <v>43769</v>
      </c>
      <c r="AK107" s="3287">
        <f t="shared" si="23"/>
        <v>2019</v>
      </c>
      <c r="AL107" s="3288">
        <f t="shared" si="24"/>
        <v>10</v>
      </c>
      <c r="AM107" s="3226" t="s">
        <v>4421</v>
      </c>
      <c r="AN107" s="3289">
        <v>660000</v>
      </c>
      <c r="AO107" s="3299"/>
      <c r="AP107" s="3299"/>
      <c r="AQ107" s="3300"/>
      <c r="AR107" s="3292"/>
      <c r="AS107" s="3292"/>
      <c r="AT107" s="3292"/>
      <c r="AU107" s="3293" t="str">
        <f t="shared" si="26"/>
        <v/>
      </c>
      <c r="AV107" s="3293" t="str">
        <f t="shared" si="27"/>
        <v/>
      </c>
      <c r="AW107" s="3294"/>
      <c r="AX107" s="3236"/>
      <c r="AY107" s="3244"/>
      <c r="AZ107" s="3295" t="s">
        <v>4422</v>
      </c>
      <c r="BA107" s="3296" t="str">
        <f t="shared" si="25"/>
        <v>签约</v>
      </c>
      <c r="BB107" s="3226" t="s">
        <v>4423</v>
      </c>
      <c r="BC107" s="3226"/>
      <c r="BD107" s="3292">
        <f>VLOOKUP(B107,[3]Sheet1!A$1:B$65536,2,0)</f>
        <v>43749</v>
      </c>
      <c r="BE107" s="3297" t="s">
        <v>4542</v>
      </c>
      <c r="BG107" s="3297">
        <f>IFERROR(VLOOKUP(B107,[3]Sheet2!A$1:B$65536,2,FALSE),0)</f>
        <v>0</v>
      </c>
      <c r="BI107" s="3297">
        <f>IFERROR(VLOOKUP(B107,[3]Sheet2!A$1:C$65536,2,FALSE),0)</f>
        <v>0</v>
      </c>
      <c r="BJ107" s="3297">
        <f>IFERROR(VLOOKUP(B107,[3]Sheet2!A$1:C$65536,3,FALSE),0)</f>
        <v>0</v>
      </c>
    </row>
    <row r="108" spans="1:62" s="3297" customFormat="1" ht="20.25" customHeight="1">
      <c r="A108" s="3226">
        <v>106</v>
      </c>
      <c r="B108" s="3240" t="s">
        <v>4659</v>
      </c>
      <c r="C108" s="3227" t="s">
        <v>3333</v>
      </c>
      <c r="D108" s="3228" t="s">
        <v>4660</v>
      </c>
      <c r="E108" s="3229">
        <v>43735</v>
      </c>
      <c r="F108" s="3230">
        <v>20000</v>
      </c>
      <c r="G108" s="3231">
        <v>131.44999999999999</v>
      </c>
      <c r="H108" s="3231" t="str">
        <f t="shared" si="14"/>
        <v>普通住宅</v>
      </c>
      <c r="I108" s="3230">
        <v>1839369</v>
      </c>
      <c r="J108" s="3229">
        <v>43738</v>
      </c>
      <c r="K108" s="3284">
        <f t="shared" si="15"/>
        <v>9</v>
      </c>
      <c r="L108" s="3230">
        <v>1794369</v>
      </c>
      <c r="M108" s="3235">
        <f t="shared" si="16"/>
        <v>13650.581970330926</v>
      </c>
      <c r="N108" s="3236">
        <v>1774369</v>
      </c>
      <c r="O108" s="3244">
        <f t="shared" si="17"/>
        <v>1794369</v>
      </c>
      <c r="P108" s="3244"/>
      <c r="Q108" s="3244"/>
      <c r="R108" s="3244">
        <f t="shared" si="18"/>
        <v>1794369</v>
      </c>
      <c r="S108" s="3244">
        <f t="shared" si="19"/>
        <v>1794369</v>
      </c>
      <c r="T108" s="3236"/>
      <c r="U108" s="3236"/>
      <c r="V108" s="3236"/>
      <c r="W108" s="3236"/>
      <c r="X108" s="3244">
        <f t="shared" si="20"/>
        <v>1794369</v>
      </c>
      <c r="Y108" s="3244">
        <f t="shared" si="21"/>
        <v>0</v>
      </c>
      <c r="Z108" s="3285">
        <f t="shared" si="22"/>
        <v>1</v>
      </c>
      <c r="AA108" s="3226" t="s">
        <v>4416</v>
      </c>
      <c r="AB108" s="3255" t="s">
        <v>4444</v>
      </c>
      <c r="AC108" s="3226"/>
      <c r="AD108" s="3286"/>
      <c r="AE108" s="3226"/>
      <c r="AF108" s="3286"/>
      <c r="AG108" s="3286"/>
      <c r="AH108" s="3255"/>
      <c r="AI108" s="3255"/>
      <c r="AJ108" s="3255"/>
      <c r="AK108" s="3287" t="str">
        <f t="shared" si="23"/>
        <v/>
      </c>
      <c r="AL108" s="3288" t="str">
        <f t="shared" si="24"/>
        <v/>
      </c>
      <c r="AM108" s="3226"/>
      <c r="AN108" s="3289"/>
      <c r="AO108" s="3299"/>
      <c r="AP108" s="3299"/>
      <c r="AQ108" s="3300"/>
      <c r="AR108" s="3292"/>
      <c r="AS108" s="3292"/>
      <c r="AT108" s="3292"/>
      <c r="AU108" s="3293" t="str">
        <f t="shared" si="26"/>
        <v/>
      </c>
      <c r="AV108" s="3293" t="str">
        <f t="shared" si="27"/>
        <v/>
      </c>
      <c r="AW108" s="3294"/>
      <c r="AX108" s="3236"/>
      <c r="AY108" s="3244"/>
      <c r="AZ108" s="3295" t="s">
        <v>4454</v>
      </c>
      <c r="BA108" s="3296" t="str">
        <f t="shared" si="25"/>
        <v>签约</v>
      </c>
      <c r="BB108" s="3226" t="s">
        <v>4455</v>
      </c>
      <c r="BC108" s="3226"/>
      <c r="BD108" s="3292">
        <f>VLOOKUP(B108,[3]Sheet1!A$1:B$65536,2,0)</f>
        <v>43748</v>
      </c>
      <c r="BE108" s="3297" t="s">
        <v>4465</v>
      </c>
      <c r="BG108" s="3297">
        <f>IFERROR(VLOOKUP(B108,[3]Sheet2!A$1:B$65536,2,FALSE),0)</f>
        <v>0</v>
      </c>
      <c r="BI108" s="3297">
        <f>IFERROR(VLOOKUP(B108,[3]Sheet2!A$1:C$65536,2,FALSE),0)</f>
        <v>0</v>
      </c>
      <c r="BJ108" s="3297">
        <f>IFERROR(VLOOKUP(B108,[3]Sheet2!A$1:C$65536,3,FALSE),0)</f>
        <v>0</v>
      </c>
    </row>
    <row r="109" spans="1:62" s="3297" customFormat="1" ht="20.25" customHeight="1">
      <c r="A109" s="3226">
        <v>107</v>
      </c>
      <c r="B109" s="3226" t="s">
        <v>4661</v>
      </c>
      <c r="C109" s="3227" t="s">
        <v>3333</v>
      </c>
      <c r="D109" s="3228" t="s">
        <v>4662</v>
      </c>
      <c r="E109" s="3229">
        <v>43735</v>
      </c>
      <c r="F109" s="3230">
        <v>20000</v>
      </c>
      <c r="G109" s="3231">
        <v>131.44999999999999</v>
      </c>
      <c r="H109" s="3231" t="str">
        <f t="shared" si="14"/>
        <v>普通住宅</v>
      </c>
      <c r="I109" s="3238">
        <v>1832593</v>
      </c>
      <c r="J109" s="3239">
        <v>43736</v>
      </c>
      <c r="K109" s="3284">
        <f t="shared" si="15"/>
        <v>9</v>
      </c>
      <c r="L109" s="3238">
        <v>1797593</v>
      </c>
      <c r="M109" s="3235">
        <f t="shared" si="16"/>
        <v>13675.108406238114</v>
      </c>
      <c r="N109" s="3236">
        <v>527593</v>
      </c>
      <c r="O109" s="3244">
        <f t="shared" si="17"/>
        <v>1797593</v>
      </c>
      <c r="P109" s="3244"/>
      <c r="Q109" s="3244"/>
      <c r="R109" s="3244">
        <f t="shared" si="18"/>
        <v>547593</v>
      </c>
      <c r="S109" s="3244">
        <f t="shared" si="19"/>
        <v>547593</v>
      </c>
      <c r="T109" s="3236"/>
      <c r="U109" s="3236"/>
      <c r="V109" s="3236">
        <v>1250000</v>
      </c>
      <c r="W109" s="3236"/>
      <c r="X109" s="3244">
        <f t="shared" si="20"/>
        <v>1797593</v>
      </c>
      <c r="Y109" s="3244">
        <f t="shared" si="21"/>
        <v>0</v>
      </c>
      <c r="Z109" s="3285">
        <f t="shared" si="22"/>
        <v>1</v>
      </c>
      <c r="AA109" s="3226" t="s">
        <v>4416</v>
      </c>
      <c r="AB109" s="3255" t="s">
        <v>4417</v>
      </c>
      <c r="AC109" s="3226" t="s">
        <v>4418</v>
      </c>
      <c r="AD109" s="3286" t="s">
        <v>4419</v>
      </c>
      <c r="AE109" s="3286" t="s">
        <v>4420</v>
      </c>
      <c r="AF109" s="3286"/>
      <c r="AG109" s="3286"/>
      <c r="AH109" s="3255">
        <v>43736</v>
      </c>
      <c r="AI109" s="3255">
        <v>43748</v>
      </c>
      <c r="AJ109" s="3255">
        <v>43774</v>
      </c>
      <c r="AK109" s="3287">
        <f t="shared" si="23"/>
        <v>2019</v>
      </c>
      <c r="AL109" s="3288">
        <f t="shared" si="24"/>
        <v>11</v>
      </c>
      <c r="AM109" s="3226" t="s">
        <v>4421</v>
      </c>
      <c r="AN109" s="3289">
        <v>1250000</v>
      </c>
      <c r="AO109" s="3299"/>
      <c r="AP109" s="3299"/>
      <c r="AQ109" s="3300"/>
      <c r="AR109" s="3292"/>
      <c r="AS109" s="3292"/>
      <c r="AT109" s="3292"/>
      <c r="AU109" s="3293" t="str">
        <f t="shared" si="26"/>
        <v/>
      </c>
      <c r="AV109" s="3293" t="str">
        <f t="shared" si="27"/>
        <v/>
      </c>
      <c r="AW109" s="3294"/>
      <c r="AX109" s="3236"/>
      <c r="AY109" s="3244"/>
      <c r="AZ109" s="3295" t="s">
        <v>4422</v>
      </c>
      <c r="BA109" s="3296" t="str">
        <f t="shared" si="25"/>
        <v>签约</v>
      </c>
      <c r="BB109" s="3226" t="s">
        <v>4423</v>
      </c>
      <c r="BC109" s="3226"/>
      <c r="BD109" s="3292">
        <f>VLOOKUP(B109,[3]Sheet1!A$1:B$65536,2,0)</f>
        <v>43749</v>
      </c>
      <c r="BE109" s="3297" t="s">
        <v>4449</v>
      </c>
      <c r="BG109" s="3297">
        <f>IFERROR(VLOOKUP(B109,[3]Sheet2!A$1:B$65536,2,FALSE),0)</f>
        <v>0</v>
      </c>
      <c r="BI109" s="3297">
        <f>IFERROR(VLOOKUP(B109,[3]Sheet2!A$1:C$65536,2,FALSE),0)</f>
        <v>0</v>
      </c>
      <c r="BJ109" s="3297">
        <f>IFERROR(VLOOKUP(B109,[3]Sheet2!A$1:C$65536,3,FALSE),0)</f>
        <v>0</v>
      </c>
    </row>
    <row r="110" spans="1:62" s="3297" customFormat="1" ht="20.25" customHeight="1">
      <c r="A110" s="3226">
        <v>108</v>
      </c>
      <c r="B110" s="3240" t="s">
        <v>4663</v>
      </c>
      <c r="C110" s="3227" t="s">
        <v>3333</v>
      </c>
      <c r="D110" s="3228" t="s">
        <v>4664</v>
      </c>
      <c r="E110" s="3229">
        <v>43735</v>
      </c>
      <c r="F110" s="3230">
        <v>20000</v>
      </c>
      <c r="G110" s="3231">
        <v>131.44999999999999</v>
      </c>
      <c r="H110" s="3231" t="str">
        <f t="shared" si="14"/>
        <v>普通住宅</v>
      </c>
      <c r="I110" s="3230">
        <v>1825817</v>
      </c>
      <c r="J110" s="3229">
        <v>43736</v>
      </c>
      <c r="K110" s="3284">
        <f t="shared" si="15"/>
        <v>9</v>
      </c>
      <c r="L110" s="3230">
        <v>1790817</v>
      </c>
      <c r="M110" s="3235">
        <f t="shared" si="16"/>
        <v>13623.560289083303</v>
      </c>
      <c r="N110" s="3236">
        <v>700817</v>
      </c>
      <c r="O110" s="3244">
        <f t="shared" si="17"/>
        <v>1790817</v>
      </c>
      <c r="P110" s="3244"/>
      <c r="Q110" s="3244"/>
      <c r="R110" s="3244">
        <f t="shared" si="18"/>
        <v>720817</v>
      </c>
      <c r="S110" s="3244">
        <f t="shared" si="19"/>
        <v>720817</v>
      </c>
      <c r="T110" s="3236"/>
      <c r="U110" s="3236"/>
      <c r="V110" s="3236">
        <v>1070000</v>
      </c>
      <c r="W110" s="3236"/>
      <c r="X110" s="3244">
        <f t="shared" si="20"/>
        <v>1790817</v>
      </c>
      <c r="Y110" s="3244">
        <f t="shared" si="21"/>
        <v>0</v>
      </c>
      <c r="Z110" s="3285">
        <f t="shared" si="22"/>
        <v>1</v>
      </c>
      <c r="AA110" s="3226" t="s">
        <v>4416</v>
      </c>
      <c r="AB110" s="3255" t="s">
        <v>4417</v>
      </c>
      <c r="AC110" s="3226" t="s">
        <v>4418</v>
      </c>
      <c r="AD110" s="3286" t="s">
        <v>4419</v>
      </c>
      <c r="AE110" s="3286" t="s">
        <v>4427</v>
      </c>
      <c r="AF110" s="3286"/>
      <c r="AG110" s="3286"/>
      <c r="AH110" s="3255">
        <v>43736</v>
      </c>
      <c r="AI110" s="3255">
        <v>43768</v>
      </c>
      <c r="AJ110" s="3255">
        <v>43943</v>
      </c>
      <c r="AK110" s="3287">
        <f t="shared" si="23"/>
        <v>2020</v>
      </c>
      <c r="AL110" s="3288">
        <f t="shared" si="24"/>
        <v>4</v>
      </c>
      <c r="AM110" s="3226" t="s">
        <v>4421</v>
      </c>
      <c r="AN110" s="3289">
        <v>1070000</v>
      </c>
      <c r="AO110" s="3299"/>
      <c r="AP110" s="3299"/>
      <c r="AQ110" s="3300"/>
      <c r="AR110" s="3292"/>
      <c r="AS110" s="3292"/>
      <c r="AT110" s="3292"/>
      <c r="AU110" s="3293" t="str">
        <f t="shared" si="26"/>
        <v/>
      </c>
      <c r="AV110" s="3293" t="str">
        <f t="shared" si="27"/>
        <v/>
      </c>
      <c r="AW110" s="3294"/>
      <c r="AX110" s="3236"/>
      <c r="AY110" s="3244"/>
      <c r="AZ110" s="3295" t="s">
        <v>4441</v>
      </c>
      <c r="BA110" s="3296" t="str">
        <f t="shared" si="25"/>
        <v>签约</v>
      </c>
      <c r="BB110" s="3226" t="s">
        <v>4423</v>
      </c>
      <c r="BC110" s="3226"/>
      <c r="BD110" s="3292">
        <f>VLOOKUP(B110,[3]Sheet1!A$1:B$65536,2,0)</f>
        <v>43750</v>
      </c>
      <c r="BE110" s="3297" t="s">
        <v>4367</v>
      </c>
      <c r="BG110" s="3297">
        <f>IFERROR(VLOOKUP(B110,[3]Sheet2!A$1:B$65536,2,FALSE),0)</f>
        <v>0</v>
      </c>
      <c r="BI110" s="3297">
        <f>IFERROR(VLOOKUP(B110,[3]Sheet2!A$1:C$65536,2,FALSE),0)</f>
        <v>0</v>
      </c>
      <c r="BJ110" s="3297">
        <f>IFERROR(VLOOKUP(B110,[3]Sheet2!A$1:C$65536,3,FALSE),0)</f>
        <v>0</v>
      </c>
    </row>
    <row r="111" spans="1:62" s="3309" customFormat="1" ht="20.25" customHeight="1">
      <c r="A111" s="3240">
        <v>109</v>
      </c>
      <c r="B111" s="3240" t="s">
        <v>4665</v>
      </c>
      <c r="C111" s="3227" t="s">
        <v>3333</v>
      </c>
      <c r="D111" s="3228" t="s">
        <v>4666</v>
      </c>
      <c r="E111" s="3242">
        <v>43735</v>
      </c>
      <c r="F111" s="3241">
        <v>20000</v>
      </c>
      <c r="G111" s="3240">
        <v>131.44999999999999</v>
      </c>
      <c r="H111" s="3231" t="str">
        <f t="shared" si="14"/>
        <v>普通住宅</v>
      </c>
      <c r="I111" s="3241">
        <v>1819041</v>
      </c>
      <c r="J111" s="3242">
        <v>43736</v>
      </c>
      <c r="K111" s="3284">
        <f t="shared" si="15"/>
        <v>9</v>
      </c>
      <c r="L111" s="3241">
        <v>1799041</v>
      </c>
      <c r="M111" s="3247">
        <f t="shared" si="16"/>
        <v>13686.124001521492</v>
      </c>
      <c r="N111" s="3243">
        <v>520041</v>
      </c>
      <c r="O111" s="3247">
        <f t="shared" si="17"/>
        <v>1799041</v>
      </c>
      <c r="P111" s="3247"/>
      <c r="Q111" s="3247"/>
      <c r="R111" s="3247">
        <f t="shared" si="18"/>
        <v>540041</v>
      </c>
      <c r="S111" s="3247">
        <f t="shared" si="19"/>
        <v>540041</v>
      </c>
      <c r="T111" s="3243"/>
      <c r="U111" s="3243"/>
      <c r="V111" s="3243">
        <v>659000</v>
      </c>
      <c r="W111" s="3236">
        <v>600000</v>
      </c>
      <c r="X111" s="3247">
        <f t="shared" si="20"/>
        <v>1799041</v>
      </c>
      <c r="Y111" s="3247">
        <f t="shared" si="21"/>
        <v>0</v>
      </c>
      <c r="Z111" s="3285">
        <f t="shared" si="22"/>
        <v>1</v>
      </c>
      <c r="AA111" s="3240" t="s">
        <v>4416</v>
      </c>
      <c r="AB111" s="3304" t="s">
        <v>4417</v>
      </c>
      <c r="AC111" s="3240" t="s">
        <v>4460</v>
      </c>
      <c r="AD111" s="3286" t="s">
        <v>4419</v>
      </c>
      <c r="AE111" s="3286" t="s">
        <v>4427</v>
      </c>
      <c r="AF111" s="3286"/>
      <c r="AG111" s="3303"/>
      <c r="AH111" s="3304">
        <v>43736</v>
      </c>
      <c r="AI111" s="3255">
        <v>43757</v>
      </c>
      <c r="AJ111" s="3255">
        <v>43833</v>
      </c>
      <c r="AK111" s="3287">
        <f t="shared" si="23"/>
        <v>2020</v>
      </c>
      <c r="AL111" s="3288">
        <f t="shared" si="24"/>
        <v>1</v>
      </c>
      <c r="AM111" s="3240" t="s">
        <v>4421</v>
      </c>
      <c r="AN111" s="3311">
        <v>659000</v>
      </c>
      <c r="AO111" s="3300" t="s">
        <v>4419</v>
      </c>
      <c r="AP111" s="3300" t="s">
        <v>4427</v>
      </c>
      <c r="AQ111" s="3312"/>
      <c r="AR111" s="3307">
        <v>43757</v>
      </c>
      <c r="AS111" s="3307">
        <v>43757</v>
      </c>
      <c r="AT111" s="3292">
        <v>43853</v>
      </c>
      <c r="AU111" s="3293">
        <f t="shared" si="26"/>
        <v>2020</v>
      </c>
      <c r="AV111" s="3293">
        <f t="shared" si="27"/>
        <v>1</v>
      </c>
      <c r="AW111" s="3308" t="s">
        <v>4453</v>
      </c>
      <c r="AX111" s="3243">
        <v>600000</v>
      </c>
      <c r="AY111" s="3247"/>
      <c r="AZ111" s="3295" t="s">
        <v>4448</v>
      </c>
      <c r="BA111" s="3296" t="str">
        <f t="shared" si="25"/>
        <v>签约</v>
      </c>
      <c r="BB111" s="3226" t="s">
        <v>4423</v>
      </c>
      <c r="BC111" s="3226"/>
      <c r="BD111" s="3292">
        <f>VLOOKUP(B111,[3]Sheet1!A$1:B$65536,2,0)</f>
        <v>43748</v>
      </c>
      <c r="BE111" s="3297" t="s">
        <v>4449</v>
      </c>
      <c r="BG111" s="3297">
        <f>IFERROR(VLOOKUP(B111,[3]Sheet2!A$1:B$65536,2,FALSE),0)</f>
        <v>0</v>
      </c>
      <c r="BI111" s="3297">
        <f>IFERROR(VLOOKUP(B111,[3]Sheet2!A$1:C$65536,2,FALSE),0)</f>
        <v>0</v>
      </c>
      <c r="BJ111" s="3297">
        <f>IFERROR(VLOOKUP(B111,[3]Sheet2!A$1:C$65536,3,FALSE),0)</f>
        <v>0</v>
      </c>
    </row>
    <row r="112" spans="1:62" s="3297" customFormat="1" ht="20.25" customHeight="1">
      <c r="A112" s="3226">
        <v>110</v>
      </c>
      <c r="B112" s="3240" t="s">
        <v>4667</v>
      </c>
      <c r="C112" s="3227" t="s">
        <v>3333</v>
      </c>
      <c r="D112" s="3228" t="s">
        <v>4668</v>
      </c>
      <c r="E112" s="3229">
        <v>43735</v>
      </c>
      <c r="F112" s="3230">
        <v>20000</v>
      </c>
      <c r="G112" s="3231">
        <v>131.44999999999999</v>
      </c>
      <c r="H112" s="3231" t="str">
        <f t="shared" si="14"/>
        <v>普通住宅</v>
      </c>
      <c r="I112" s="3238">
        <v>1812266</v>
      </c>
      <c r="J112" s="3239">
        <v>43736</v>
      </c>
      <c r="K112" s="3284">
        <f t="shared" si="15"/>
        <v>9</v>
      </c>
      <c r="L112" s="3238">
        <v>1777266</v>
      </c>
      <c r="M112" s="3235">
        <f t="shared" si="16"/>
        <v>13520.471662228985</v>
      </c>
      <c r="N112" s="3236">
        <v>617266</v>
      </c>
      <c r="O112" s="3244">
        <f t="shared" si="17"/>
        <v>1777266</v>
      </c>
      <c r="P112" s="3244"/>
      <c r="Q112" s="3244"/>
      <c r="R112" s="3244">
        <f t="shared" si="18"/>
        <v>637266</v>
      </c>
      <c r="S112" s="3244">
        <f t="shared" si="19"/>
        <v>637266</v>
      </c>
      <c r="T112" s="3236"/>
      <c r="U112" s="3236"/>
      <c r="V112" s="3236">
        <v>1140000</v>
      </c>
      <c r="W112" s="3236"/>
      <c r="X112" s="3244">
        <f t="shared" si="20"/>
        <v>1777266</v>
      </c>
      <c r="Y112" s="3244">
        <f t="shared" si="21"/>
        <v>0</v>
      </c>
      <c r="Z112" s="3285">
        <f t="shared" si="22"/>
        <v>1</v>
      </c>
      <c r="AA112" s="3226" t="s">
        <v>4416</v>
      </c>
      <c r="AB112" s="3255" t="s">
        <v>4417</v>
      </c>
      <c r="AC112" s="3226" t="s">
        <v>4418</v>
      </c>
      <c r="AD112" s="3286" t="s">
        <v>4419</v>
      </c>
      <c r="AE112" s="3286" t="s">
        <v>4420</v>
      </c>
      <c r="AF112" s="3286"/>
      <c r="AG112" s="3286"/>
      <c r="AH112" s="3255">
        <v>43736</v>
      </c>
      <c r="AI112" s="3255">
        <v>43746</v>
      </c>
      <c r="AJ112" s="3255">
        <v>43769</v>
      </c>
      <c r="AK112" s="3287">
        <f t="shared" si="23"/>
        <v>2019</v>
      </c>
      <c r="AL112" s="3288">
        <f t="shared" si="24"/>
        <v>10</v>
      </c>
      <c r="AM112" s="3302" t="s">
        <v>4421</v>
      </c>
      <c r="AN112" s="3298">
        <v>1140000</v>
      </c>
      <c r="AO112" s="3300"/>
      <c r="AP112" s="3300"/>
      <c r="AQ112" s="3300"/>
      <c r="AR112" s="3292"/>
      <c r="AS112" s="3292"/>
      <c r="AT112" s="3292"/>
      <c r="AU112" s="3293" t="str">
        <f t="shared" si="26"/>
        <v/>
      </c>
      <c r="AV112" s="3293" t="str">
        <f t="shared" si="27"/>
        <v/>
      </c>
      <c r="AW112" s="3294"/>
      <c r="AX112" s="3236"/>
      <c r="AY112" s="3244"/>
      <c r="AZ112" s="3295" t="s">
        <v>4448</v>
      </c>
      <c r="BA112" s="3296" t="str">
        <f t="shared" si="25"/>
        <v>签约</v>
      </c>
      <c r="BB112" s="3226" t="s">
        <v>4423</v>
      </c>
      <c r="BC112" s="3226" t="s">
        <v>4430</v>
      </c>
      <c r="BD112" s="3292">
        <f>VLOOKUP(B112,[3]Sheet1!A$1:B$65536,2,0)</f>
        <v>43749</v>
      </c>
      <c r="BE112" s="3297" t="s">
        <v>4367</v>
      </c>
      <c r="BG112" s="3297">
        <f>IFERROR(VLOOKUP(B112,[3]Sheet2!A$1:B$65536,2,FALSE),0)</f>
        <v>0</v>
      </c>
      <c r="BI112" s="3297">
        <f>IFERROR(VLOOKUP(B112,[3]Sheet2!A$1:C$65536,2,FALSE),0)</f>
        <v>0</v>
      </c>
      <c r="BJ112" s="3297">
        <f>IFERROR(VLOOKUP(B112,[3]Sheet2!A$1:C$65536,3,FALSE),0)</f>
        <v>0</v>
      </c>
    </row>
    <row r="113" spans="1:62" s="3297" customFormat="1" ht="20.25" customHeight="1">
      <c r="A113" s="3226">
        <v>111</v>
      </c>
      <c r="B113" s="3226" t="s">
        <v>4669</v>
      </c>
      <c r="C113" s="3227" t="s">
        <v>3333</v>
      </c>
      <c r="D113" s="3228" t="s">
        <v>4670</v>
      </c>
      <c r="E113" s="3229">
        <v>43735</v>
      </c>
      <c r="F113" s="3230">
        <v>20000</v>
      </c>
      <c r="G113" s="3231">
        <v>131.44999999999999</v>
      </c>
      <c r="H113" s="3231" t="str">
        <f t="shared" si="14"/>
        <v>普通住宅</v>
      </c>
      <c r="I113" s="3238">
        <v>1778387</v>
      </c>
      <c r="J113" s="3239">
        <v>43738</v>
      </c>
      <c r="K113" s="3284">
        <f t="shared" si="15"/>
        <v>9</v>
      </c>
      <c r="L113" s="3238">
        <v>1743387</v>
      </c>
      <c r="M113" s="3235">
        <f t="shared" si="16"/>
        <v>13262.738683910233</v>
      </c>
      <c r="N113" s="3236">
        <v>503387</v>
      </c>
      <c r="O113" s="3244">
        <f t="shared" si="17"/>
        <v>1743387</v>
      </c>
      <c r="P113" s="3244"/>
      <c r="Q113" s="3244"/>
      <c r="R113" s="3244">
        <f t="shared" si="18"/>
        <v>523387</v>
      </c>
      <c r="S113" s="3244">
        <f t="shared" si="19"/>
        <v>523387</v>
      </c>
      <c r="T113" s="3236"/>
      <c r="U113" s="3236"/>
      <c r="V113" s="3236">
        <v>1220000</v>
      </c>
      <c r="W113" s="3236"/>
      <c r="X113" s="3244">
        <f t="shared" si="20"/>
        <v>1743387</v>
      </c>
      <c r="Y113" s="3244">
        <f t="shared" si="21"/>
        <v>0</v>
      </c>
      <c r="Z113" s="3285">
        <f t="shared" si="22"/>
        <v>1</v>
      </c>
      <c r="AA113" s="3226" t="s">
        <v>4416</v>
      </c>
      <c r="AB113" s="3255" t="s">
        <v>4417</v>
      </c>
      <c r="AC113" s="3226" t="s">
        <v>4418</v>
      </c>
      <c r="AD113" s="3286" t="s">
        <v>4419</v>
      </c>
      <c r="AE113" s="3286" t="s">
        <v>4427</v>
      </c>
      <c r="AF113" s="3286"/>
      <c r="AG113" s="3286"/>
      <c r="AH113" s="3255">
        <v>43738</v>
      </c>
      <c r="AI113" s="3255">
        <v>43768</v>
      </c>
      <c r="AJ113" s="3255">
        <v>43833</v>
      </c>
      <c r="AK113" s="3287">
        <f t="shared" si="23"/>
        <v>2020</v>
      </c>
      <c r="AL113" s="3288">
        <f t="shared" si="24"/>
        <v>1</v>
      </c>
      <c r="AM113" s="3226" t="s">
        <v>4421</v>
      </c>
      <c r="AN113" s="3289">
        <v>1220000</v>
      </c>
      <c r="AO113" s="3300"/>
      <c r="AP113" s="3300"/>
      <c r="AQ113" s="3300"/>
      <c r="AR113" s="3292"/>
      <c r="AS113" s="3292"/>
      <c r="AT113" s="3292"/>
      <c r="AU113" s="3293" t="str">
        <f t="shared" si="26"/>
        <v/>
      </c>
      <c r="AV113" s="3293" t="str">
        <f t="shared" si="27"/>
        <v/>
      </c>
      <c r="AW113" s="3294"/>
      <c r="AX113" s="3236"/>
      <c r="AY113" s="3244"/>
      <c r="AZ113" s="3295" t="s">
        <v>4441</v>
      </c>
      <c r="BA113" s="3296" t="str">
        <f t="shared" si="25"/>
        <v>签约</v>
      </c>
      <c r="BB113" s="3226" t="s">
        <v>4423</v>
      </c>
      <c r="BC113" s="3226"/>
      <c r="BD113" s="3292">
        <f>VLOOKUP(B113,[3]Sheet1!A$1:B$65536,2,0)</f>
        <v>43750</v>
      </c>
      <c r="BE113" s="3297" t="s">
        <v>4367</v>
      </c>
      <c r="BG113" s="3297">
        <f>IFERROR(VLOOKUP(B113,[3]Sheet2!A$1:B$65536,2,FALSE),0)</f>
        <v>0</v>
      </c>
      <c r="BI113" s="3297">
        <f>IFERROR(VLOOKUP(B113,[3]Sheet2!A$1:C$65536,2,FALSE),0)</f>
        <v>0</v>
      </c>
      <c r="BJ113" s="3297">
        <f>IFERROR(VLOOKUP(B113,[3]Sheet2!A$1:C$65536,3,FALSE),0)</f>
        <v>0</v>
      </c>
    </row>
    <row r="114" spans="1:62" s="3297" customFormat="1" ht="20.25" customHeight="1">
      <c r="A114" s="3226">
        <v>112</v>
      </c>
      <c r="B114" s="3240" t="s">
        <v>4671</v>
      </c>
      <c r="C114" s="3227" t="s">
        <v>3333</v>
      </c>
      <c r="D114" s="3228" t="s">
        <v>4672</v>
      </c>
      <c r="E114" s="3229">
        <v>43735</v>
      </c>
      <c r="F114" s="3230">
        <v>20000</v>
      </c>
      <c r="G114" s="3231">
        <v>131.44999999999999</v>
      </c>
      <c r="H114" s="3231" t="str">
        <f t="shared" si="14"/>
        <v>普通住宅</v>
      </c>
      <c r="I114" s="3230">
        <v>1737732</v>
      </c>
      <c r="J114" s="3229">
        <v>43736</v>
      </c>
      <c r="K114" s="3284">
        <f t="shared" si="15"/>
        <v>9</v>
      </c>
      <c r="L114" s="3230">
        <v>1702732</v>
      </c>
      <c r="M114" s="3235">
        <f t="shared" si="16"/>
        <v>12953.45758843667</v>
      </c>
      <c r="N114" s="3236">
        <v>492732</v>
      </c>
      <c r="O114" s="3244">
        <f t="shared" si="17"/>
        <v>1702732</v>
      </c>
      <c r="P114" s="3244"/>
      <c r="Q114" s="3244"/>
      <c r="R114" s="3244">
        <f t="shared" si="18"/>
        <v>512732</v>
      </c>
      <c r="S114" s="3244">
        <f t="shared" si="19"/>
        <v>512732</v>
      </c>
      <c r="T114" s="3236"/>
      <c r="U114" s="3236"/>
      <c r="V114" s="3236">
        <v>1190000</v>
      </c>
      <c r="W114" s="3236"/>
      <c r="X114" s="3244">
        <f t="shared" si="20"/>
        <v>1702732</v>
      </c>
      <c r="Y114" s="3244">
        <f t="shared" si="21"/>
        <v>0</v>
      </c>
      <c r="Z114" s="3285">
        <f t="shared" si="22"/>
        <v>1</v>
      </c>
      <c r="AA114" s="3226" t="s">
        <v>4416</v>
      </c>
      <c r="AB114" s="3255" t="s">
        <v>4417</v>
      </c>
      <c r="AC114" s="3226" t="s">
        <v>4418</v>
      </c>
      <c r="AD114" s="3286" t="s">
        <v>4419</v>
      </c>
      <c r="AE114" s="3286" t="s">
        <v>4420</v>
      </c>
      <c r="AF114" s="3286"/>
      <c r="AG114" s="3286"/>
      <c r="AH114" s="3255">
        <v>43736</v>
      </c>
      <c r="AI114" s="3255">
        <v>43750</v>
      </c>
      <c r="AJ114" s="3255">
        <v>43769</v>
      </c>
      <c r="AK114" s="3287">
        <f t="shared" si="23"/>
        <v>2019</v>
      </c>
      <c r="AL114" s="3288">
        <f t="shared" si="24"/>
        <v>10</v>
      </c>
      <c r="AM114" s="3302" t="s">
        <v>4421</v>
      </c>
      <c r="AN114" s="3298">
        <v>1190000</v>
      </c>
      <c r="AO114" s="3300"/>
      <c r="AP114" s="3299"/>
      <c r="AQ114" s="3300"/>
      <c r="AR114" s="3292"/>
      <c r="AS114" s="3292"/>
      <c r="AT114" s="3292"/>
      <c r="AU114" s="3293" t="str">
        <f t="shared" si="26"/>
        <v/>
      </c>
      <c r="AV114" s="3293" t="str">
        <f t="shared" si="27"/>
        <v/>
      </c>
      <c r="AW114" s="3294"/>
      <c r="AX114" s="3236"/>
      <c r="AY114" s="3244"/>
      <c r="AZ114" s="3295" t="s">
        <v>4441</v>
      </c>
      <c r="BA114" s="3296" t="str">
        <f t="shared" si="25"/>
        <v>签约</v>
      </c>
      <c r="BB114" s="3226" t="s">
        <v>4423</v>
      </c>
      <c r="BC114" s="3226"/>
      <c r="BD114" s="3292">
        <f>VLOOKUP(B114,[3]Sheet1!A$1:B$65536,2,0)</f>
        <v>43750</v>
      </c>
      <c r="BE114" s="3297" t="s">
        <v>4512</v>
      </c>
      <c r="BG114" s="3297">
        <f>IFERROR(VLOOKUP(B114,[3]Sheet2!A$1:B$65536,2,FALSE),0)</f>
        <v>0</v>
      </c>
      <c r="BI114" s="3297">
        <f>IFERROR(VLOOKUP(B114,[3]Sheet2!A$1:C$65536,2,FALSE),0)</f>
        <v>0</v>
      </c>
      <c r="BJ114" s="3297">
        <f>IFERROR(VLOOKUP(B114,[3]Sheet2!A$1:C$65536,3,FALSE),0)</f>
        <v>0</v>
      </c>
    </row>
    <row r="115" spans="1:62" s="3297" customFormat="1" ht="20.25" customHeight="1">
      <c r="A115" s="3226">
        <v>113</v>
      </c>
      <c r="B115" s="3226" t="s">
        <v>4673</v>
      </c>
      <c r="C115" s="3227" t="s">
        <v>3333</v>
      </c>
      <c r="D115" s="3228" t="s">
        <v>4674</v>
      </c>
      <c r="E115" s="3229">
        <v>43735</v>
      </c>
      <c r="F115" s="3230">
        <v>20000</v>
      </c>
      <c r="G115" s="3231">
        <v>131.44999999999999</v>
      </c>
      <c r="H115" s="3231" t="str">
        <f t="shared" si="14"/>
        <v>普通住宅</v>
      </c>
      <c r="I115" s="3230">
        <v>1676750</v>
      </c>
      <c r="J115" s="3229">
        <v>43736</v>
      </c>
      <c r="K115" s="3284">
        <f t="shared" si="15"/>
        <v>9</v>
      </c>
      <c r="L115" s="3230">
        <v>1656750</v>
      </c>
      <c r="M115" s="3235">
        <f t="shared" si="16"/>
        <v>12603.651578546976</v>
      </c>
      <c r="N115" s="3236">
        <v>477750</v>
      </c>
      <c r="O115" s="3244">
        <f t="shared" si="17"/>
        <v>1656750</v>
      </c>
      <c r="P115" s="3244"/>
      <c r="Q115" s="3244"/>
      <c r="R115" s="3244">
        <f t="shared" si="18"/>
        <v>497750</v>
      </c>
      <c r="S115" s="3244">
        <f t="shared" si="19"/>
        <v>497750</v>
      </c>
      <c r="T115" s="3236"/>
      <c r="U115" s="3236"/>
      <c r="V115" s="3236">
        <v>559000</v>
      </c>
      <c r="W115" s="3236">
        <v>600000</v>
      </c>
      <c r="X115" s="3244">
        <f t="shared" si="20"/>
        <v>1656750</v>
      </c>
      <c r="Y115" s="3244">
        <f t="shared" si="21"/>
        <v>0</v>
      </c>
      <c r="Z115" s="3285">
        <f t="shared" si="22"/>
        <v>1</v>
      </c>
      <c r="AA115" s="3226" t="s">
        <v>4416</v>
      </c>
      <c r="AB115" s="3255" t="s">
        <v>4417</v>
      </c>
      <c r="AC115" s="3226" t="s">
        <v>4460</v>
      </c>
      <c r="AD115" s="3286" t="s">
        <v>4419</v>
      </c>
      <c r="AE115" s="3286" t="s">
        <v>4427</v>
      </c>
      <c r="AF115" s="3286"/>
      <c r="AG115" s="3286"/>
      <c r="AH115" s="3255">
        <v>43775</v>
      </c>
      <c r="AI115" s="3255">
        <v>43775</v>
      </c>
      <c r="AJ115" s="3255">
        <v>43782</v>
      </c>
      <c r="AK115" s="3287">
        <f t="shared" si="23"/>
        <v>2019</v>
      </c>
      <c r="AL115" s="3288">
        <f t="shared" si="24"/>
        <v>11</v>
      </c>
      <c r="AM115" s="3226" t="s">
        <v>4534</v>
      </c>
      <c r="AN115" s="3289">
        <v>559000</v>
      </c>
      <c r="AO115" s="3300" t="s">
        <v>4419</v>
      </c>
      <c r="AP115" s="3300" t="s">
        <v>4427</v>
      </c>
      <c r="AQ115" s="3300"/>
      <c r="AR115" s="3319">
        <v>43775</v>
      </c>
      <c r="AS115" s="3319">
        <v>43775</v>
      </c>
      <c r="AT115" s="3292">
        <v>43853</v>
      </c>
      <c r="AU115" s="3293">
        <f t="shared" si="26"/>
        <v>2020</v>
      </c>
      <c r="AV115" s="3293">
        <f t="shared" si="27"/>
        <v>1</v>
      </c>
      <c r="AW115" s="3294" t="s">
        <v>4453</v>
      </c>
      <c r="AX115" s="3236">
        <v>600000</v>
      </c>
      <c r="AY115" s="3244"/>
      <c r="AZ115" s="3295" t="s">
        <v>4441</v>
      </c>
      <c r="BA115" s="3296" t="str">
        <f t="shared" si="25"/>
        <v>签约</v>
      </c>
      <c r="BB115" s="3226" t="s">
        <v>4423</v>
      </c>
      <c r="BC115" s="3226"/>
      <c r="BD115" s="3292">
        <f>VLOOKUP(B115,[3]Sheet1!A$1:B$65536,2,0)</f>
        <v>43750</v>
      </c>
      <c r="BE115" s="3297" t="s">
        <v>4424</v>
      </c>
      <c r="BG115" s="3297">
        <f>IFERROR(VLOOKUP(B115,[3]Sheet2!A$1:B$65536,2,FALSE),0)</f>
        <v>0</v>
      </c>
      <c r="BI115" s="3297">
        <f>IFERROR(VLOOKUP(B115,[3]Sheet2!A$1:C$65536,2,FALSE),0)</f>
        <v>0</v>
      </c>
      <c r="BJ115" s="3297">
        <f>IFERROR(VLOOKUP(B115,[3]Sheet2!A$1:C$65536,3,FALSE),0)</f>
        <v>0</v>
      </c>
    </row>
    <row r="116" spans="1:62" s="3297" customFormat="1" ht="20.25" customHeight="1">
      <c r="A116" s="3226">
        <v>114</v>
      </c>
      <c r="B116" s="3226" t="s">
        <v>4675</v>
      </c>
      <c r="C116" s="3227" t="s">
        <v>3333</v>
      </c>
      <c r="D116" s="3248" t="s">
        <v>3552</v>
      </c>
      <c r="E116" s="3239">
        <v>43914</v>
      </c>
      <c r="F116" s="3238">
        <v>50000</v>
      </c>
      <c r="G116" s="3231">
        <v>151.06</v>
      </c>
      <c r="H116" s="3231" t="str">
        <f t="shared" si="14"/>
        <v>非普通住宅</v>
      </c>
      <c r="I116" s="3238">
        <v>1964646</v>
      </c>
      <c r="J116" s="3239">
        <v>43921</v>
      </c>
      <c r="K116" s="3284">
        <f t="shared" si="15"/>
        <v>3</v>
      </c>
      <c r="L116" s="3238">
        <v>1959650</v>
      </c>
      <c r="M116" s="3235">
        <f t="shared" si="16"/>
        <v>12972.659870250231</v>
      </c>
      <c r="N116" s="3236">
        <f>539650+1370000</f>
        <v>1909650</v>
      </c>
      <c r="O116" s="3244">
        <f t="shared" si="17"/>
        <v>1959650</v>
      </c>
      <c r="P116" s="3244"/>
      <c r="Q116" s="3244"/>
      <c r="R116" s="3244">
        <f t="shared" si="18"/>
        <v>1959650</v>
      </c>
      <c r="S116" s="3244">
        <f t="shared" si="19"/>
        <v>1959650</v>
      </c>
      <c r="T116" s="3236"/>
      <c r="U116" s="3236"/>
      <c r="V116" s="3236"/>
      <c r="W116" s="3236"/>
      <c r="X116" s="3244">
        <f t="shared" si="20"/>
        <v>1959650</v>
      </c>
      <c r="Y116" s="3244">
        <f t="shared" si="21"/>
        <v>0</v>
      </c>
      <c r="Z116" s="3285">
        <f t="shared" si="22"/>
        <v>1</v>
      </c>
      <c r="AA116" s="3226" t="s">
        <v>3319</v>
      </c>
      <c r="AB116" s="3226" t="s">
        <v>4676</v>
      </c>
      <c r="AC116" s="3226"/>
      <c r="AD116" s="3226"/>
      <c r="AE116" s="3226"/>
      <c r="AF116" s="3286"/>
      <c r="AG116" s="3286"/>
      <c r="AH116" s="3255"/>
      <c r="AI116" s="3255"/>
      <c r="AJ116" s="3255"/>
      <c r="AK116" s="3287" t="str">
        <f t="shared" si="23"/>
        <v/>
      </c>
      <c r="AL116" s="3288" t="str">
        <f t="shared" si="24"/>
        <v/>
      </c>
      <c r="AM116" s="3226"/>
      <c r="AN116" s="3289"/>
      <c r="AO116" s="3300"/>
      <c r="AP116" s="3299"/>
      <c r="AQ116" s="3300"/>
      <c r="AR116" s="3292"/>
      <c r="AS116" s="3292"/>
      <c r="AT116" s="3292"/>
      <c r="AU116" s="3293" t="str">
        <f t="shared" si="26"/>
        <v/>
      </c>
      <c r="AV116" s="3293" t="str">
        <f t="shared" si="27"/>
        <v/>
      </c>
      <c r="AW116" s="3294"/>
      <c r="AX116" s="3236"/>
      <c r="AY116" s="3244"/>
      <c r="AZ116" s="3295" t="s">
        <v>4441</v>
      </c>
      <c r="BA116" s="3296" t="str">
        <f t="shared" si="25"/>
        <v>签约</v>
      </c>
      <c r="BB116" s="3226"/>
      <c r="BC116" s="3226"/>
      <c r="BD116" s="3292"/>
      <c r="BE116" s="3297" t="s">
        <v>4449</v>
      </c>
      <c r="BG116" s="3297">
        <f>IFERROR(VLOOKUP(B116,[3]Sheet2!A$1:B$65536,2,FALSE),0)</f>
        <v>0</v>
      </c>
      <c r="BI116" s="3297">
        <f>IFERROR(VLOOKUP(B116,[3]Sheet2!A$1:C$65536,2,FALSE),0)</f>
        <v>0</v>
      </c>
      <c r="BJ116" s="3297">
        <f>IFERROR(VLOOKUP(B116,[3]Sheet2!A$1:C$65536,3,FALSE),0)</f>
        <v>0</v>
      </c>
    </row>
    <row r="117" spans="1:62" s="3297" customFormat="1" ht="20.25" customHeight="1">
      <c r="A117" s="3226">
        <v>115</v>
      </c>
      <c r="B117" s="3226" t="s">
        <v>4677</v>
      </c>
      <c r="C117" s="3227" t="s">
        <v>3333</v>
      </c>
      <c r="D117" s="3228" t="s">
        <v>4678</v>
      </c>
      <c r="E117" s="3229">
        <v>43735</v>
      </c>
      <c r="F117" s="3230">
        <v>20000</v>
      </c>
      <c r="G117" s="3231">
        <v>151.01</v>
      </c>
      <c r="H117" s="3231" t="str">
        <f t="shared" si="14"/>
        <v>非普通住宅</v>
      </c>
      <c r="I117" s="3238">
        <v>2049627</v>
      </c>
      <c r="J117" s="3239">
        <v>43737</v>
      </c>
      <c r="K117" s="3284">
        <f t="shared" si="15"/>
        <v>9</v>
      </c>
      <c r="L117" s="3238">
        <v>2029627</v>
      </c>
      <c r="M117" s="3235">
        <f t="shared" si="16"/>
        <v>13440.348321303225</v>
      </c>
      <c r="N117" s="3236">
        <f>709627+1000000</f>
        <v>1709627</v>
      </c>
      <c r="O117" s="3244">
        <f t="shared" si="17"/>
        <v>2029627</v>
      </c>
      <c r="P117" s="3244"/>
      <c r="Q117" s="3244"/>
      <c r="R117" s="3244">
        <f t="shared" si="18"/>
        <v>1729627</v>
      </c>
      <c r="S117" s="3244">
        <f t="shared" si="19"/>
        <v>1729627</v>
      </c>
      <c r="T117" s="3236"/>
      <c r="U117" s="3236"/>
      <c r="V117" s="3236"/>
      <c r="W117" s="3236">
        <v>300000</v>
      </c>
      <c r="X117" s="3244">
        <f t="shared" si="20"/>
        <v>2029627</v>
      </c>
      <c r="Y117" s="3244">
        <f t="shared" si="21"/>
        <v>0</v>
      </c>
      <c r="Z117" s="3285">
        <f t="shared" si="22"/>
        <v>1</v>
      </c>
      <c r="AA117" s="3226" t="s">
        <v>4416</v>
      </c>
      <c r="AB117" s="3226" t="s">
        <v>4417</v>
      </c>
      <c r="AC117" s="3226" t="s">
        <v>4545</v>
      </c>
      <c r="AD117" s="3286"/>
      <c r="AE117" s="3286"/>
      <c r="AF117" s="3286"/>
      <c r="AG117" s="3286"/>
      <c r="AH117" s="3255"/>
      <c r="AI117" s="3255"/>
      <c r="AJ117" s="3255"/>
      <c r="AK117" s="3287" t="str">
        <f t="shared" si="23"/>
        <v/>
      </c>
      <c r="AL117" s="3288" t="str">
        <f t="shared" si="24"/>
        <v/>
      </c>
      <c r="AM117" s="3226"/>
      <c r="AN117" s="3298"/>
      <c r="AO117" s="3300" t="s">
        <v>4419</v>
      </c>
      <c r="AP117" s="3300" t="s">
        <v>4427</v>
      </c>
      <c r="AQ117" s="3300"/>
      <c r="AR117" s="3292">
        <v>43757</v>
      </c>
      <c r="AS117" s="3292">
        <v>43757</v>
      </c>
      <c r="AT117" s="3292">
        <v>43853</v>
      </c>
      <c r="AU117" s="3293">
        <f t="shared" si="26"/>
        <v>2020</v>
      </c>
      <c r="AV117" s="3293">
        <f t="shared" si="27"/>
        <v>1</v>
      </c>
      <c r="AW117" s="3294" t="s">
        <v>4453</v>
      </c>
      <c r="AX117" s="3236">
        <v>300000</v>
      </c>
      <c r="AY117" s="3236"/>
      <c r="AZ117" s="3295" t="s">
        <v>4445</v>
      </c>
      <c r="BA117" s="3296" t="str">
        <f t="shared" si="25"/>
        <v>签约</v>
      </c>
      <c r="BB117" s="3226" t="s">
        <v>4423</v>
      </c>
      <c r="BC117" s="3226"/>
      <c r="BD117" s="3292">
        <f>VLOOKUP(B117,[3]Sheet1!A$1:B$65536,2,0)</f>
        <v>43748</v>
      </c>
      <c r="BE117" s="3297" t="s">
        <v>4465</v>
      </c>
      <c r="BG117" s="3297">
        <f>IFERROR(VLOOKUP(B117,[3]Sheet2!A$1:B$65536,2,FALSE),0)</f>
        <v>0</v>
      </c>
      <c r="BI117" s="3297">
        <f>IFERROR(VLOOKUP(B117,[3]Sheet2!A$1:C$65536,2,FALSE),0)</f>
        <v>0</v>
      </c>
      <c r="BJ117" s="3297">
        <f>IFERROR(VLOOKUP(B117,[3]Sheet2!A$1:C$65536,3,FALSE),0)</f>
        <v>0</v>
      </c>
    </row>
    <row r="118" spans="1:62" s="3297" customFormat="1" ht="20.25" customHeight="1">
      <c r="A118" s="3226">
        <v>116</v>
      </c>
      <c r="B118" s="3226" t="s">
        <v>4679</v>
      </c>
      <c r="C118" s="3227" t="s">
        <v>3333</v>
      </c>
      <c r="D118" s="3228" t="s">
        <v>4680</v>
      </c>
      <c r="E118" s="3229">
        <v>43735</v>
      </c>
      <c r="F118" s="3230">
        <v>20000</v>
      </c>
      <c r="G118" s="3231">
        <v>151.01</v>
      </c>
      <c r="H118" s="3231" t="str">
        <f t="shared" si="14"/>
        <v>非普通住宅</v>
      </c>
      <c r="I118" s="3230">
        <v>2041843</v>
      </c>
      <c r="J118" s="3229">
        <v>43738</v>
      </c>
      <c r="K118" s="3284">
        <f t="shared" si="15"/>
        <v>9</v>
      </c>
      <c r="L118" s="3230">
        <v>2006843</v>
      </c>
      <c r="M118" s="3235">
        <f t="shared" si="16"/>
        <v>13289.470895967155</v>
      </c>
      <c r="N118" s="3236">
        <v>986843</v>
      </c>
      <c r="O118" s="3244">
        <f t="shared" si="17"/>
        <v>2006843</v>
      </c>
      <c r="P118" s="3244"/>
      <c r="Q118" s="3244"/>
      <c r="R118" s="3244">
        <f t="shared" si="18"/>
        <v>1006843</v>
      </c>
      <c r="S118" s="3244">
        <f t="shared" si="19"/>
        <v>1006843</v>
      </c>
      <c r="T118" s="3236"/>
      <c r="U118" s="3236"/>
      <c r="V118" s="3236">
        <v>1000000</v>
      </c>
      <c r="W118" s="3236"/>
      <c r="X118" s="3244">
        <f t="shared" si="20"/>
        <v>2006843</v>
      </c>
      <c r="Y118" s="3244">
        <f t="shared" si="21"/>
        <v>0</v>
      </c>
      <c r="Z118" s="3285">
        <f t="shared" si="22"/>
        <v>1</v>
      </c>
      <c r="AA118" s="3226" t="s">
        <v>4416</v>
      </c>
      <c r="AB118" s="3255" t="s">
        <v>4417</v>
      </c>
      <c r="AC118" s="3226" t="s">
        <v>4418</v>
      </c>
      <c r="AD118" s="3286" t="s">
        <v>4419</v>
      </c>
      <c r="AE118" s="3286" t="s">
        <v>4427</v>
      </c>
      <c r="AF118" s="3286"/>
      <c r="AG118" s="3286"/>
      <c r="AH118" s="3255">
        <v>43738</v>
      </c>
      <c r="AI118" s="3255">
        <v>43768</v>
      </c>
      <c r="AJ118" s="3255">
        <v>43803</v>
      </c>
      <c r="AK118" s="3287">
        <f t="shared" si="23"/>
        <v>2019</v>
      </c>
      <c r="AL118" s="3288">
        <f t="shared" si="24"/>
        <v>12</v>
      </c>
      <c r="AM118" s="3302" t="s">
        <v>4421</v>
      </c>
      <c r="AN118" s="3298">
        <v>1000000</v>
      </c>
      <c r="AO118" s="3300"/>
      <c r="AP118" s="3299"/>
      <c r="AQ118" s="3300"/>
      <c r="AR118" s="3292"/>
      <c r="AS118" s="3292"/>
      <c r="AT118" s="3292"/>
      <c r="AU118" s="3293" t="str">
        <f t="shared" si="26"/>
        <v/>
      </c>
      <c r="AV118" s="3293" t="str">
        <f t="shared" si="27"/>
        <v/>
      </c>
      <c r="AW118" s="3294"/>
      <c r="AX118" s="3236"/>
      <c r="AY118" s="3244"/>
      <c r="AZ118" s="3295" t="s">
        <v>4437</v>
      </c>
      <c r="BA118" s="3296" t="str">
        <f t="shared" si="25"/>
        <v>签约</v>
      </c>
      <c r="BB118" s="3226" t="s">
        <v>4423</v>
      </c>
      <c r="BC118" s="3226"/>
      <c r="BD118" s="3292">
        <f>VLOOKUP(B118,[3]Sheet1!A$1:B$65536,2,0)</f>
        <v>43748</v>
      </c>
      <c r="BE118" s="3297" t="s">
        <v>4465</v>
      </c>
      <c r="BG118" s="3297">
        <f>IFERROR(VLOOKUP(B118,[3]Sheet2!A$1:B$65536,2,FALSE),0)</f>
        <v>0</v>
      </c>
      <c r="BI118" s="3297">
        <f>IFERROR(VLOOKUP(B118,[3]Sheet2!A$1:C$65536,2,FALSE),0)</f>
        <v>0</v>
      </c>
      <c r="BJ118" s="3297">
        <f>IFERROR(VLOOKUP(B118,[3]Sheet2!A$1:C$65536,3,FALSE),0)</f>
        <v>0</v>
      </c>
    </row>
    <row r="119" spans="1:62" s="3297" customFormat="1" ht="20.25" customHeight="1">
      <c r="A119" s="3226">
        <v>117</v>
      </c>
      <c r="B119" s="3226" t="s">
        <v>4681</v>
      </c>
      <c r="C119" s="3227" t="s">
        <v>3333</v>
      </c>
      <c r="D119" s="3228" t="s">
        <v>4682</v>
      </c>
      <c r="E119" s="3229">
        <v>43735</v>
      </c>
      <c r="F119" s="3230">
        <v>20000</v>
      </c>
      <c r="G119" s="3231">
        <v>151.01</v>
      </c>
      <c r="H119" s="3231" t="str">
        <f t="shared" si="14"/>
        <v>非普通住宅</v>
      </c>
      <c r="I119" s="3230">
        <v>2034059</v>
      </c>
      <c r="J119" s="3229">
        <v>43737</v>
      </c>
      <c r="K119" s="3284">
        <f t="shared" si="15"/>
        <v>9</v>
      </c>
      <c r="L119" s="3230">
        <v>1999059</v>
      </c>
      <c r="M119" s="3235">
        <f t="shared" si="16"/>
        <v>13237.92464075227</v>
      </c>
      <c r="N119" s="3236">
        <v>889059</v>
      </c>
      <c r="O119" s="3244">
        <f t="shared" si="17"/>
        <v>1999059</v>
      </c>
      <c r="P119" s="3244"/>
      <c r="Q119" s="3244"/>
      <c r="R119" s="3244">
        <f t="shared" si="18"/>
        <v>909059</v>
      </c>
      <c r="S119" s="3244">
        <f t="shared" si="19"/>
        <v>909059</v>
      </c>
      <c r="T119" s="3236"/>
      <c r="U119" s="3236"/>
      <c r="V119" s="3236">
        <v>1090000</v>
      </c>
      <c r="W119" s="3236"/>
      <c r="X119" s="3244">
        <f t="shared" si="20"/>
        <v>1999059</v>
      </c>
      <c r="Y119" s="3244">
        <f t="shared" si="21"/>
        <v>0</v>
      </c>
      <c r="Z119" s="3285">
        <f t="shared" si="22"/>
        <v>1</v>
      </c>
      <c r="AA119" s="3226" t="s">
        <v>4416</v>
      </c>
      <c r="AB119" s="3255" t="s">
        <v>4417</v>
      </c>
      <c r="AC119" s="3226" t="s">
        <v>4418</v>
      </c>
      <c r="AD119" s="3286" t="s">
        <v>4419</v>
      </c>
      <c r="AE119" s="3286" t="s">
        <v>4427</v>
      </c>
      <c r="AF119" s="3286"/>
      <c r="AG119" s="3286"/>
      <c r="AH119" s="3255">
        <v>43738</v>
      </c>
      <c r="AI119" s="3255">
        <v>43768</v>
      </c>
      <c r="AJ119" s="3255">
        <v>43833</v>
      </c>
      <c r="AK119" s="3287">
        <f t="shared" si="23"/>
        <v>2020</v>
      </c>
      <c r="AL119" s="3288">
        <f t="shared" si="24"/>
        <v>1</v>
      </c>
      <c r="AM119" s="3226" t="s">
        <v>4421</v>
      </c>
      <c r="AN119" s="3289">
        <v>1090000</v>
      </c>
      <c r="AO119" s="3299"/>
      <c r="AP119" s="3299"/>
      <c r="AQ119" s="3300"/>
      <c r="AR119" s="3292"/>
      <c r="AS119" s="3292"/>
      <c r="AT119" s="3292"/>
      <c r="AU119" s="3293" t="str">
        <f t="shared" si="26"/>
        <v/>
      </c>
      <c r="AV119" s="3293" t="str">
        <f t="shared" si="27"/>
        <v/>
      </c>
      <c r="AW119" s="3294"/>
      <c r="AX119" s="3236"/>
      <c r="AY119" s="3244"/>
      <c r="AZ119" s="3295" t="s">
        <v>4507</v>
      </c>
      <c r="BA119" s="3296" t="str">
        <f t="shared" si="25"/>
        <v>签约</v>
      </c>
      <c r="BB119" s="3226" t="s">
        <v>4423</v>
      </c>
      <c r="BC119" s="3226"/>
      <c r="BD119" s="3292">
        <f>VLOOKUP(B119,[3]Sheet1!A$1:B$65536,2,0)</f>
        <v>43749</v>
      </c>
      <c r="BE119" s="3297" t="s">
        <v>4367</v>
      </c>
      <c r="BG119" s="3297">
        <f>IFERROR(VLOOKUP(B119,[3]Sheet2!A$1:B$65536,2,FALSE),0)</f>
        <v>0</v>
      </c>
      <c r="BI119" s="3297">
        <f>IFERROR(VLOOKUP(B119,[3]Sheet2!A$1:C$65536,2,FALSE),0)</f>
        <v>0</v>
      </c>
      <c r="BJ119" s="3297">
        <f>IFERROR(VLOOKUP(B119,[3]Sheet2!A$1:C$65536,3,FALSE),0)</f>
        <v>0</v>
      </c>
    </row>
    <row r="120" spans="1:62" s="3297" customFormat="1" ht="20.25" customHeight="1">
      <c r="A120" s="3226">
        <v>118</v>
      </c>
      <c r="B120" s="3226" t="s">
        <v>4683</v>
      </c>
      <c r="C120" s="3227" t="s">
        <v>3333</v>
      </c>
      <c r="D120" s="3228" t="s">
        <v>4551</v>
      </c>
      <c r="E120" s="3229">
        <v>43735</v>
      </c>
      <c r="F120" s="3230">
        <v>20000</v>
      </c>
      <c r="G120" s="3231">
        <v>151.01</v>
      </c>
      <c r="H120" s="3231" t="str">
        <f t="shared" si="14"/>
        <v>非普通住宅</v>
      </c>
      <c r="I120" s="3238">
        <v>2026275</v>
      </c>
      <c r="J120" s="3239">
        <v>43736</v>
      </c>
      <c r="K120" s="3284">
        <f t="shared" si="15"/>
        <v>9</v>
      </c>
      <c r="L120" s="3238">
        <v>1981275</v>
      </c>
      <c r="M120" s="3235">
        <f t="shared" si="16"/>
        <v>13120.157605456594</v>
      </c>
      <c r="N120" s="3236">
        <v>1961275</v>
      </c>
      <c r="O120" s="3244">
        <f t="shared" si="17"/>
        <v>1981275</v>
      </c>
      <c r="P120" s="3244"/>
      <c r="Q120" s="3244"/>
      <c r="R120" s="3244">
        <f t="shared" si="18"/>
        <v>1981275</v>
      </c>
      <c r="S120" s="3244">
        <f t="shared" si="19"/>
        <v>1981275</v>
      </c>
      <c r="T120" s="3236"/>
      <c r="U120" s="3236"/>
      <c r="V120" s="3236"/>
      <c r="W120" s="3236"/>
      <c r="X120" s="3244">
        <f t="shared" si="20"/>
        <v>1981275</v>
      </c>
      <c r="Y120" s="3244">
        <f t="shared" si="21"/>
        <v>0</v>
      </c>
      <c r="Z120" s="3285">
        <f t="shared" si="22"/>
        <v>1</v>
      </c>
      <c r="AA120" s="3226" t="s">
        <v>4416</v>
      </c>
      <c r="AB120" s="3255" t="s">
        <v>4444</v>
      </c>
      <c r="AC120" s="3226"/>
      <c r="AD120" s="3226"/>
      <c r="AE120" s="3226"/>
      <c r="AF120" s="3286"/>
      <c r="AG120" s="3286"/>
      <c r="AH120" s="3226"/>
      <c r="AI120" s="3255"/>
      <c r="AJ120" s="3255"/>
      <c r="AK120" s="3287" t="str">
        <f t="shared" si="23"/>
        <v/>
      </c>
      <c r="AL120" s="3288" t="str">
        <f t="shared" si="24"/>
        <v/>
      </c>
      <c r="AM120" s="3226"/>
      <c r="AN120" s="3289"/>
      <c r="AO120" s="3300"/>
      <c r="AP120" s="3300"/>
      <c r="AQ120" s="3300"/>
      <c r="AR120" s="3292"/>
      <c r="AS120" s="3292"/>
      <c r="AT120" s="3292"/>
      <c r="AU120" s="3293" t="str">
        <f t="shared" si="26"/>
        <v/>
      </c>
      <c r="AV120" s="3293" t="str">
        <f t="shared" si="27"/>
        <v/>
      </c>
      <c r="AW120" s="3294"/>
      <c r="AX120" s="3236"/>
      <c r="AY120" s="3244"/>
      <c r="AZ120" s="3295" t="s">
        <v>4429</v>
      </c>
      <c r="BA120" s="3296" t="str">
        <f t="shared" si="25"/>
        <v>签约</v>
      </c>
      <c r="BB120" s="3226" t="s">
        <v>4423</v>
      </c>
      <c r="BC120" s="3226" t="s">
        <v>4430</v>
      </c>
      <c r="BD120" s="3292">
        <f>VLOOKUP(B120,[3]Sheet1!A$1:B$65536,2,0)</f>
        <v>43748</v>
      </c>
      <c r="BE120" s="3297" t="s">
        <v>4367</v>
      </c>
      <c r="BG120" s="3297">
        <f>IFERROR(VLOOKUP(B120,[3]Sheet2!A$1:B$65536,2,FALSE),0)</f>
        <v>0</v>
      </c>
      <c r="BI120" s="3297">
        <f>IFERROR(VLOOKUP(B120,[3]Sheet2!A$1:C$65536,2,FALSE),0)</f>
        <v>0</v>
      </c>
      <c r="BJ120" s="3297">
        <f>IFERROR(VLOOKUP(B120,[3]Sheet2!A$1:C$65536,3,FALSE),0)</f>
        <v>0</v>
      </c>
    </row>
    <row r="121" spans="1:62" s="3297" customFormat="1" ht="20.25" customHeight="1">
      <c r="A121" s="3226">
        <v>119</v>
      </c>
      <c r="B121" s="3226" t="s">
        <v>4684</v>
      </c>
      <c r="C121" s="3227" t="s">
        <v>3333</v>
      </c>
      <c r="D121" s="3228" t="s">
        <v>4685</v>
      </c>
      <c r="E121" s="3229">
        <v>43735</v>
      </c>
      <c r="F121" s="3230">
        <v>20000</v>
      </c>
      <c r="G121" s="3231">
        <v>151.01</v>
      </c>
      <c r="H121" s="3231" t="str">
        <f t="shared" si="14"/>
        <v>非普通住宅</v>
      </c>
      <c r="I121" s="3238">
        <v>2018491</v>
      </c>
      <c r="J121" s="3239">
        <v>43737</v>
      </c>
      <c r="K121" s="3284">
        <f t="shared" si="15"/>
        <v>9</v>
      </c>
      <c r="L121" s="3238">
        <v>1983491</v>
      </c>
      <c r="M121" s="3235">
        <f t="shared" si="16"/>
        <v>13134.832130322497</v>
      </c>
      <c r="N121" s="3236">
        <v>1463491</v>
      </c>
      <c r="O121" s="3244">
        <f t="shared" si="17"/>
        <v>1983491</v>
      </c>
      <c r="P121" s="3244"/>
      <c r="Q121" s="3244"/>
      <c r="R121" s="3244">
        <f t="shared" si="18"/>
        <v>1483491</v>
      </c>
      <c r="S121" s="3244">
        <f t="shared" si="19"/>
        <v>1483491</v>
      </c>
      <c r="T121" s="3236"/>
      <c r="U121" s="3236"/>
      <c r="V121" s="3236">
        <v>500000</v>
      </c>
      <c r="W121" s="3236"/>
      <c r="X121" s="3244">
        <f t="shared" si="20"/>
        <v>1983491</v>
      </c>
      <c r="Y121" s="3244">
        <f t="shared" si="21"/>
        <v>0</v>
      </c>
      <c r="Z121" s="3285">
        <f t="shared" si="22"/>
        <v>1</v>
      </c>
      <c r="AA121" s="3226" t="s">
        <v>4416</v>
      </c>
      <c r="AB121" s="3255" t="s">
        <v>4417</v>
      </c>
      <c r="AC121" s="3226" t="s">
        <v>4418</v>
      </c>
      <c r="AD121" s="3286" t="s">
        <v>4419</v>
      </c>
      <c r="AE121" s="3286" t="s">
        <v>4420</v>
      </c>
      <c r="AF121" s="3286"/>
      <c r="AG121" s="3286"/>
      <c r="AH121" s="3255">
        <v>43738</v>
      </c>
      <c r="AI121" s="3255">
        <v>43748</v>
      </c>
      <c r="AJ121" s="3255">
        <v>43769</v>
      </c>
      <c r="AK121" s="3287">
        <f t="shared" si="23"/>
        <v>2019</v>
      </c>
      <c r="AL121" s="3288">
        <f t="shared" si="24"/>
        <v>10</v>
      </c>
      <c r="AM121" s="3226" t="s">
        <v>4428</v>
      </c>
      <c r="AN121" s="3289">
        <v>500000</v>
      </c>
      <c r="AO121" s="3300"/>
      <c r="AP121" s="3300"/>
      <c r="AQ121" s="3300"/>
      <c r="AR121" s="3292"/>
      <c r="AS121" s="3292"/>
      <c r="AT121" s="3292"/>
      <c r="AU121" s="3293" t="str">
        <f t="shared" si="26"/>
        <v/>
      </c>
      <c r="AV121" s="3293" t="str">
        <f t="shared" si="27"/>
        <v/>
      </c>
      <c r="AW121" s="3294"/>
      <c r="AX121" s="3236"/>
      <c r="AY121" s="3244"/>
      <c r="AZ121" s="3295" t="s">
        <v>4441</v>
      </c>
      <c r="BA121" s="3296" t="str">
        <f t="shared" si="25"/>
        <v>签约</v>
      </c>
      <c r="BB121" s="3226" t="s">
        <v>4423</v>
      </c>
      <c r="BC121" s="3226" t="s">
        <v>4430</v>
      </c>
      <c r="BD121" s="3292">
        <f>VLOOKUP(B121,[3]Sheet1!A$1:B$65536,2,0)</f>
        <v>43750</v>
      </c>
      <c r="BE121" s="3297" t="s">
        <v>4367</v>
      </c>
      <c r="BG121" s="3297">
        <f>IFERROR(VLOOKUP(B121,[3]Sheet2!A$1:B$65536,2,FALSE),0)</f>
        <v>0</v>
      </c>
      <c r="BI121" s="3297">
        <f>IFERROR(VLOOKUP(B121,[3]Sheet2!A$1:C$65536,2,FALSE),0)</f>
        <v>0</v>
      </c>
      <c r="BJ121" s="3297">
        <f>IFERROR(VLOOKUP(B121,[3]Sheet2!A$1:C$65536,3,FALSE),0)</f>
        <v>0</v>
      </c>
    </row>
    <row r="122" spans="1:62" s="3268" customFormat="1" ht="20.25" customHeight="1">
      <c r="A122" s="3226">
        <v>120</v>
      </c>
      <c r="B122" s="3226" t="s">
        <v>4686</v>
      </c>
      <c r="C122" s="3227" t="s">
        <v>3333</v>
      </c>
      <c r="D122" s="3249" t="s">
        <v>4687</v>
      </c>
      <c r="E122" s="3229">
        <v>43735</v>
      </c>
      <c r="F122" s="3230">
        <v>20000</v>
      </c>
      <c r="G122" s="3231">
        <v>151.01</v>
      </c>
      <c r="H122" s="3231" t="str">
        <f t="shared" si="14"/>
        <v>非普通住宅</v>
      </c>
      <c r="I122" s="3230">
        <v>2010707</v>
      </c>
      <c r="J122" s="3229">
        <v>43737</v>
      </c>
      <c r="K122" s="3284">
        <f t="shared" si="15"/>
        <v>9</v>
      </c>
      <c r="L122" s="3230">
        <v>1975707</v>
      </c>
      <c r="M122" s="3235">
        <f t="shared" si="16"/>
        <v>13083.285875107609</v>
      </c>
      <c r="N122" s="3238">
        <v>575707</v>
      </c>
      <c r="O122" s="3244">
        <f t="shared" si="17"/>
        <v>1975707</v>
      </c>
      <c r="P122" s="3244"/>
      <c r="Q122" s="3244"/>
      <c r="R122" s="3244">
        <f t="shared" si="18"/>
        <v>595707</v>
      </c>
      <c r="S122" s="3244">
        <f t="shared" si="19"/>
        <v>595707</v>
      </c>
      <c r="T122" s="3238"/>
      <c r="U122" s="3238"/>
      <c r="V122" s="3238">
        <v>1380000</v>
      </c>
      <c r="W122" s="3238"/>
      <c r="X122" s="3244">
        <f t="shared" si="20"/>
        <v>1975707</v>
      </c>
      <c r="Y122" s="3244">
        <f t="shared" si="21"/>
        <v>0</v>
      </c>
      <c r="Z122" s="3285">
        <f t="shared" si="22"/>
        <v>1</v>
      </c>
      <c r="AA122" s="3226" t="s">
        <v>4416</v>
      </c>
      <c r="AB122" s="3255" t="s">
        <v>4417</v>
      </c>
      <c r="AC122" s="3226" t="s">
        <v>4418</v>
      </c>
      <c r="AD122" s="3286" t="s">
        <v>4419</v>
      </c>
      <c r="AE122" s="3286" t="s">
        <v>4427</v>
      </c>
      <c r="AF122" s="3286"/>
      <c r="AG122" s="3286"/>
      <c r="AH122" s="3255">
        <v>43738</v>
      </c>
      <c r="AI122" s="3255">
        <v>43797</v>
      </c>
      <c r="AJ122" s="3255">
        <v>43833</v>
      </c>
      <c r="AK122" s="3287">
        <f t="shared" si="23"/>
        <v>2020</v>
      </c>
      <c r="AL122" s="3288">
        <f t="shared" si="24"/>
        <v>1</v>
      </c>
      <c r="AM122" s="3302" t="s">
        <v>4421</v>
      </c>
      <c r="AN122" s="3298">
        <v>1380000</v>
      </c>
      <c r="AO122" s="3320"/>
      <c r="AP122" s="3320"/>
      <c r="AQ122" s="3320"/>
      <c r="AR122" s="3321"/>
      <c r="AS122" s="3321"/>
      <c r="AT122" s="3292"/>
      <c r="AU122" s="3293" t="str">
        <f t="shared" si="26"/>
        <v/>
      </c>
      <c r="AV122" s="3293" t="str">
        <f t="shared" si="27"/>
        <v/>
      </c>
      <c r="AW122" s="3322"/>
      <c r="AX122" s="3238"/>
      <c r="AY122" s="3244"/>
      <c r="AZ122" s="3295" t="s">
        <v>4507</v>
      </c>
      <c r="BA122" s="3296" t="str">
        <f t="shared" si="25"/>
        <v>签约</v>
      </c>
      <c r="BB122" s="3226" t="s">
        <v>4423</v>
      </c>
      <c r="BC122" s="3226"/>
      <c r="BD122" s="3292">
        <f>VLOOKUP(B122,[3]Sheet1!A$1:B$65536,2,0)</f>
        <v>43749</v>
      </c>
      <c r="BE122" s="3297" t="s">
        <v>4367</v>
      </c>
      <c r="BG122" s="3297">
        <f>IFERROR(VLOOKUP(B122,[3]Sheet2!A$1:B$65536,2,FALSE),0)</f>
        <v>0</v>
      </c>
      <c r="BI122" s="3297">
        <f>IFERROR(VLOOKUP(B122,[3]Sheet2!A$1:C$65536,2,FALSE),0)</f>
        <v>0</v>
      </c>
      <c r="BJ122" s="3297">
        <f>IFERROR(VLOOKUP(B122,[3]Sheet2!A$1:C$65536,3,FALSE),0)</f>
        <v>0</v>
      </c>
    </row>
    <row r="123" spans="1:62" s="3309" customFormat="1" ht="20.25" customHeight="1">
      <c r="A123" s="3226">
        <v>121</v>
      </c>
      <c r="B123" s="3226" t="s">
        <v>4688</v>
      </c>
      <c r="C123" s="3227" t="s">
        <v>3333</v>
      </c>
      <c r="D123" s="3228" t="s">
        <v>4689</v>
      </c>
      <c r="E123" s="3242">
        <v>43752</v>
      </c>
      <c r="F123" s="3241">
        <v>20000</v>
      </c>
      <c r="G123" s="3231">
        <v>151.01</v>
      </c>
      <c r="H123" s="3231" t="str">
        <f t="shared" si="14"/>
        <v>非普通住宅</v>
      </c>
      <c r="I123" s="3241">
        <v>1971786</v>
      </c>
      <c r="J123" s="3242">
        <v>43761</v>
      </c>
      <c r="K123" s="3284">
        <f t="shared" si="15"/>
        <v>10</v>
      </c>
      <c r="L123" s="3241">
        <v>1936786</v>
      </c>
      <c r="M123" s="3235">
        <f t="shared" si="16"/>
        <v>12825.547976955169</v>
      </c>
      <c r="N123" s="3243">
        <v>996786</v>
      </c>
      <c r="O123" s="3244">
        <f t="shared" si="17"/>
        <v>1936786</v>
      </c>
      <c r="P123" s="3247"/>
      <c r="Q123" s="3244"/>
      <c r="R123" s="3244">
        <f t="shared" si="18"/>
        <v>1016786</v>
      </c>
      <c r="S123" s="3244">
        <f t="shared" si="19"/>
        <v>1016786</v>
      </c>
      <c r="T123" s="3243"/>
      <c r="U123" s="3243"/>
      <c r="V123" s="3243">
        <v>920000</v>
      </c>
      <c r="W123" s="3243"/>
      <c r="X123" s="3244">
        <f t="shared" si="20"/>
        <v>1936786</v>
      </c>
      <c r="Y123" s="3244">
        <f t="shared" si="21"/>
        <v>0</v>
      </c>
      <c r="Z123" s="3285">
        <f t="shared" si="22"/>
        <v>1</v>
      </c>
      <c r="AA123" s="3226" t="s">
        <v>4416</v>
      </c>
      <c r="AB123" s="3255" t="s">
        <v>4417</v>
      </c>
      <c r="AC123" s="3226" t="s">
        <v>4418</v>
      </c>
      <c r="AD123" s="3286" t="s">
        <v>4419</v>
      </c>
      <c r="AE123" s="3286" t="s">
        <v>4427</v>
      </c>
      <c r="AF123" s="3286"/>
      <c r="AG123" s="3303"/>
      <c r="AH123" s="3304">
        <v>43761</v>
      </c>
      <c r="AI123" s="3255">
        <v>43797</v>
      </c>
      <c r="AJ123" s="3255">
        <v>43833</v>
      </c>
      <c r="AK123" s="3287">
        <f t="shared" si="23"/>
        <v>2020</v>
      </c>
      <c r="AL123" s="3288">
        <f t="shared" si="24"/>
        <v>1</v>
      </c>
      <c r="AM123" s="3240" t="s">
        <v>4421</v>
      </c>
      <c r="AN123" s="3311">
        <v>920000</v>
      </c>
      <c r="AO123" s="3312"/>
      <c r="AP123" s="3312"/>
      <c r="AQ123" s="3312"/>
      <c r="AR123" s="3307"/>
      <c r="AS123" s="3307"/>
      <c r="AT123" s="3292"/>
      <c r="AU123" s="3293" t="str">
        <f t="shared" si="26"/>
        <v/>
      </c>
      <c r="AV123" s="3293" t="str">
        <f t="shared" si="27"/>
        <v/>
      </c>
      <c r="AW123" s="3308"/>
      <c r="AX123" s="3243"/>
      <c r="AY123" s="3247"/>
      <c r="AZ123" s="3295" t="s">
        <v>4429</v>
      </c>
      <c r="BA123" s="3296" t="str">
        <f t="shared" si="25"/>
        <v>签约</v>
      </c>
      <c r="BB123" s="3226" t="s">
        <v>4423</v>
      </c>
      <c r="BC123" s="3226"/>
      <c r="BD123" s="3292">
        <f>VLOOKUP(B123,[3]Sheet1!A$1:B$65536,2,0)</f>
        <v>43763</v>
      </c>
      <c r="BE123" s="3297" t="s">
        <v>4367</v>
      </c>
      <c r="BG123" s="3297">
        <f>IFERROR(VLOOKUP(B123,[3]Sheet2!A$1:B$65536,2,FALSE),0)</f>
        <v>0</v>
      </c>
      <c r="BI123" s="3297">
        <f>IFERROR(VLOOKUP(B123,[3]Sheet2!A$1:C$65536,2,FALSE),0)</f>
        <v>0</v>
      </c>
      <c r="BJ123" s="3297">
        <f>IFERROR(VLOOKUP(B123,[3]Sheet2!A$1:C$65536,3,FALSE),0)</f>
        <v>0</v>
      </c>
    </row>
    <row r="124" spans="1:62" s="3297" customFormat="1" ht="20.25" customHeight="1">
      <c r="A124" s="3226">
        <v>122</v>
      </c>
      <c r="B124" s="3226" t="s">
        <v>4690</v>
      </c>
      <c r="C124" s="3227" t="s">
        <v>3333</v>
      </c>
      <c r="D124" s="3228" t="s">
        <v>4691</v>
      </c>
      <c r="E124" s="3229">
        <v>43735</v>
      </c>
      <c r="F124" s="3230">
        <v>20000</v>
      </c>
      <c r="G124" s="3231">
        <v>151.01</v>
      </c>
      <c r="H124" s="3231" t="str">
        <f t="shared" si="14"/>
        <v>非普通住宅</v>
      </c>
      <c r="I124" s="3230">
        <v>1925082</v>
      </c>
      <c r="J124" s="3229">
        <v>43738</v>
      </c>
      <c r="K124" s="3284">
        <f t="shared" si="15"/>
        <v>9</v>
      </c>
      <c r="L124" s="3230">
        <v>1890082</v>
      </c>
      <c r="M124" s="3235">
        <f t="shared" si="16"/>
        <v>12516.27044566585</v>
      </c>
      <c r="N124" s="3236">
        <v>550082</v>
      </c>
      <c r="O124" s="3244">
        <f t="shared" si="17"/>
        <v>1890082</v>
      </c>
      <c r="P124" s="3244"/>
      <c r="Q124" s="3244"/>
      <c r="R124" s="3244">
        <f t="shared" si="18"/>
        <v>570082</v>
      </c>
      <c r="S124" s="3244">
        <f t="shared" si="19"/>
        <v>570082</v>
      </c>
      <c r="T124" s="3236"/>
      <c r="U124" s="3236"/>
      <c r="V124" s="3236">
        <v>1320000</v>
      </c>
      <c r="W124" s="3236"/>
      <c r="X124" s="3244">
        <f t="shared" si="20"/>
        <v>1890082</v>
      </c>
      <c r="Y124" s="3244">
        <f t="shared" si="21"/>
        <v>0</v>
      </c>
      <c r="Z124" s="3285">
        <f t="shared" si="22"/>
        <v>1</v>
      </c>
      <c r="AA124" s="3226" t="s">
        <v>4416</v>
      </c>
      <c r="AB124" s="3255" t="s">
        <v>4417</v>
      </c>
      <c r="AC124" s="3226" t="s">
        <v>4418</v>
      </c>
      <c r="AD124" s="3286" t="s">
        <v>4419</v>
      </c>
      <c r="AE124" s="3286" t="s">
        <v>4427</v>
      </c>
      <c r="AF124" s="3286"/>
      <c r="AG124" s="3286"/>
      <c r="AH124" s="3255">
        <v>43738</v>
      </c>
      <c r="AI124" s="3255">
        <v>43746</v>
      </c>
      <c r="AJ124" s="3255">
        <v>43915</v>
      </c>
      <c r="AK124" s="3287">
        <f t="shared" si="23"/>
        <v>2020</v>
      </c>
      <c r="AL124" s="3288">
        <f t="shared" si="24"/>
        <v>3</v>
      </c>
      <c r="AM124" s="3226" t="s">
        <v>4421</v>
      </c>
      <c r="AN124" s="3289">
        <v>1320000</v>
      </c>
      <c r="AO124" s="3300"/>
      <c r="AP124" s="3300"/>
      <c r="AQ124" s="3300"/>
      <c r="AR124" s="3292"/>
      <c r="AS124" s="3292"/>
      <c r="AT124" s="3292"/>
      <c r="AU124" s="3293" t="str">
        <f t="shared" si="26"/>
        <v/>
      </c>
      <c r="AV124" s="3293" t="str">
        <f t="shared" si="27"/>
        <v/>
      </c>
      <c r="AW124" s="3294"/>
      <c r="AX124" s="3236"/>
      <c r="AY124" s="3244"/>
      <c r="AZ124" s="3295" t="s">
        <v>4441</v>
      </c>
      <c r="BA124" s="3296" t="str">
        <f t="shared" si="25"/>
        <v>签约</v>
      </c>
      <c r="BB124" s="3226" t="s">
        <v>4423</v>
      </c>
      <c r="BC124" s="3226"/>
      <c r="BD124" s="3292">
        <f>VLOOKUP(B124,[3]Sheet1!A$1:B$65536,2,0)</f>
        <v>43751</v>
      </c>
      <c r="BE124" s="3297" t="s">
        <v>4424</v>
      </c>
      <c r="BG124" s="3297">
        <f>IFERROR(VLOOKUP(B124,[3]Sheet2!A$1:B$65536,2,FALSE),0)</f>
        <v>0</v>
      </c>
      <c r="BI124" s="3297">
        <f>IFERROR(VLOOKUP(B124,[3]Sheet2!A$1:C$65536,2,FALSE),0)</f>
        <v>0</v>
      </c>
      <c r="BJ124" s="3297">
        <f>IFERROR(VLOOKUP(B124,[3]Sheet2!A$1:C$65536,3,FALSE),0)</f>
        <v>0</v>
      </c>
    </row>
    <row r="125" spans="1:62" s="3297" customFormat="1" ht="20.25" customHeight="1">
      <c r="A125" s="3226">
        <v>123</v>
      </c>
      <c r="B125" s="3226" t="s">
        <v>4692</v>
      </c>
      <c r="C125" s="3227" t="s">
        <v>3333</v>
      </c>
      <c r="D125" s="3228" t="s">
        <v>4693</v>
      </c>
      <c r="E125" s="3229">
        <v>43735</v>
      </c>
      <c r="F125" s="3230">
        <v>20000</v>
      </c>
      <c r="G125" s="3231">
        <v>151.01</v>
      </c>
      <c r="H125" s="3231" t="str">
        <f t="shared" si="14"/>
        <v>非普通住宅</v>
      </c>
      <c r="I125" s="3230">
        <v>1855026</v>
      </c>
      <c r="J125" s="3229">
        <v>43745</v>
      </c>
      <c r="K125" s="3284">
        <f t="shared" si="15"/>
        <v>10</v>
      </c>
      <c r="L125" s="3230">
        <v>1765425</v>
      </c>
      <c r="M125" s="3235">
        <f t="shared" si="16"/>
        <v>11690.782067412754</v>
      </c>
      <c r="N125" s="3236">
        <v>545425</v>
      </c>
      <c r="O125" s="3244">
        <f t="shared" si="17"/>
        <v>1765425</v>
      </c>
      <c r="P125" s="3244"/>
      <c r="Q125" s="3244"/>
      <c r="R125" s="3244">
        <f t="shared" si="18"/>
        <v>565425</v>
      </c>
      <c r="S125" s="3244">
        <f t="shared" si="19"/>
        <v>0</v>
      </c>
      <c r="T125" s="3236">
        <v>565425</v>
      </c>
      <c r="U125" s="3236"/>
      <c r="V125" s="3236"/>
      <c r="W125" s="3236"/>
      <c r="X125" s="3244">
        <f t="shared" si="20"/>
        <v>565425</v>
      </c>
      <c r="Y125" s="3244">
        <f t="shared" si="21"/>
        <v>1200000</v>
      </c>
      <c r="Z125" s="3285">
        <f t="shared" si="22"/>
        <v>0.32027698712774544</v>
      </c>
      <c r="AA125" s="3226" t="s">
        <v>4416</v>
      </c>
      <c r="AB125" s="3226" t="s">
        <v>4417</v>
      </c>
      <c r="AC125" s="3226" t="s">
        <v>4418</v>
      </c>
      <c r="AD125" s="3286" t="s">
        <v>4419</v>
      </c>
      <c r="AE125" s="3286" t="s">
        <v>4694</v>
      </c>
      <c r="AF125" s="3286"/>
      <c r="AG125" s="3323"/>
      <c r="AH125" s="3255">
        <v>43773</v>
      </c>
      <c r="AI125" s="3255">
        <v>43773</v>
      </c>
      <c r="AJ125" s="3255"/>
      <c r="AK125" s="3287" t="str">
        <f t="shared" si="23"/>
        <v/>
      </c>
      <c r="AL125" s="3288" t="str">
        <f t="shared" si="24"/>
        <v/>
      </c>
      <c r="AM125" s="3226" t="s">
        <v>4433</v>
      </c>
      <c r="AN125" s="3289">
        <v>1200000</v>
      </c>
      <c r="AO125" s="3300"/>
      <c r="AP125" s="3300"/>
      <c r="AQ125" s="3300"/>
      <c r="AR125" s="3292"/>
      <c r="AS125" s="3292"/>
      <c r="AT125" s="3292"/>
      <c r="AU125" s="3293" t="str">
        <f t="shared" si="26"/>
        <v/>
      </c>
      <c r="AV125" s="3293" t="str">
        <f t="shared" si="27"/>
        <v/>
      </c>
      <c r="AW125" s="3294"/>
      <c r="AX125" s="3236"/>
      <c r="AY125" s="3244"/>
      <c r="AZ125" s="3295" t="s">
        <v>4445</v>
      </c>
      <c r="BA125" s="3296" t="str">
        <f t="shared" si="25"/>
        <v>签约</v>
      </c>
      <c r="BB125" s="3226" t="s">
        <v>4423</v>
      </c>
      <c r="BC125" s="3226"/>
      <c r="BD125" s="3292">
        <f>VLOOKUP(B125,[3]Sheet1!A$1:B$65536,2,0)</f>
        <v>43791</v>
      </c>
      <c r="BE125" s="3297" t="s">
        <v>4434</v>
      </c>
      <c r="BG125" s="3297">
        <f>IFERROR(VLOOKUP(B125,[3]Sheet2!A$1:B$65536,2,FALSE),0)</f>
        <v>0</v>
      </c>
      <c r="BI125" s="3297">
        <f>IFERROR(VLOOKUP(B125,[3]Sheet2!A$1:C$65536,2,FALSE),0)</f>
        <v>0</v>
      </c>
      <c r="BJ125" s="3297">
        <f>IFERROR(VLOOKUP(B125,[3]Sheet2!A$1:C$65536,3,FALSE),0)</f>
        <v>0</v>
      </c>
    </row>
    <row r="126" spans="1:62" s="3261" customFormat="1" ht="20.25" customHeight="1">
      <c r="A126" s="3226">
        <v>124</v>
      </c>
      <c r="B126" s="3250" t="s">
        <v>4695</v>
      </c>
      <c r="C126" s="3227" t="s">
        <v>3333</v>
      </c>
      <c r="D126" s="3251" t="s">
        <v>3571</v>
      </c>
      <c r="E126" s="3229">
        <v>43809</v>
      </c>
      <c r="F126" s="3230">
        <v>50000</v>
      </c>
      <c r="G126" s="3231">
        <v>145.68</v>
      </c>
      <c r="H126" s="3231" t="str">
        <f t="shared" si="14"/>
        <v>非普通住宅</v>
      </c>
      <c r="I126" s="3230">
        <v>1939186</v>
      </c>
      <c r="J126" s="3229">
        <v>43810</v>
      </c>
      <c r="K126" s="3284">
        <f t="shared" si="15"/>
        <v>12</v>
      </c>
      <c r="L126" s="3230">
        <v>1919186</v>
      </c>
      <c r="M126" s="3235">
        <f t="shared" si="16"/>
        <v>13173.984074684238</v>
      </c>
      <c r="N126" s="3236">
        <v>529186</v>
      </c>
      <c r="O126" s="3244">
        <f t="shared" si="17"/>
        <v>1919186</v>
      </c>
      <c r="P126" s="3244"/>
      <c r="Q126" s="3244"/>
      <c r="R126" s="3244">
        <f t="shared" si="18"/>
        <v>579186</v>
      </c>
      <c r="S126" s="3244">
        <f t="shared" si="19"/>
        <v>579186</v>
      </c>
      <c r="T126" s="3236"/>
      <c r="U126" s="3236"/>
      <c r="V126" s="3236">
        <v>1340000</v>
      </c>
      <c r="W126" s="3236"/>
      <c r="X126" s="3244">
        <f t="shared" si="20"/>
        <v>1919186</v>
      </c>
      <c r="Y126" s="3244">
        <f t="shared" si="21"/>
        <v>0</v>
      </c>
      <c r="Z126" s="3285">
        <f t="shared" si="22"/>
        <v>1</v>
      </c>
      <c r="AA126" s="3226" t="s">
        <v>4416</v>
      </c>
      <c r="AB126" s="3255" t="s">
        <v>4417</v>
      </c>
      <c r="AC126" s="3226" t="s">
        <v>4418</v>
      </c>
      <c r="AD126" s="3286" t="s">
        <v>4419</v>
      </c>
      <c r="AE126" s="3286" t="s">
        <v>4427</v>
      </c>
      <c r="AF126" s="3286"/>
      <c r="AG126" s="3323"/>
      <c r="AH126" s="3255">
        <v>43810</v>
      </c>
      <c r="AI126" s="3255">
        <v>43815</v>
      </c>
      <c r="AJ126" s="3255">
        <v>43843</v>
      </c>
      <c r="AK126" s="3287">
        <f t="shared" si="23"/>
        <v>2020</v>
      </c>
      <c r="AL126" s="3288">
        <f t="shared" si="24"/>
        <v>1</v>
      </c>
      <c r="AM126" s="3226" t="s">
        <v>4433</v>
      </c>
      <c r="AN126" s="3289">
        <v>1340000</v>
      </c>
      <c r="AO126" s="3300"/>
      <c r="AP126" s="3300"/>
      <c r="AQ126" s="3300"/>
      <c r="AR126" s="3292"/>
      <c r="AS126" s="3292"/>
      <c r="AT126" s="3292"/>
      <c r="AU126" s="3293" t="str">
        <f t="shared" si="26"/>
        <v/>
      </c>
      <c r="AV126" s="3293" t="str">
        <f t="shared" si="27"/>
        <v/>
      </c>
      <c r="AW126" s="3294"/>
      <c r="AX126" s="3236"/>
      <c r="AY126" s="3244"/>
      <c r="AZ126" s="3295" t="s">
        <v>4441</v>
      </c>
      <c r="BA126" s="3296" t="str">
        <f t="shared" si="25"/>
        <v>签约</v>
      </c>
      <c r="BB126" s="3226"/>
      <c r="BC126" s="3226"/>
      <c r="BD126" s="3292">
        <v>43823</v>
      </c>
      <c r="BE126" s="3297" t="s">
        <v>4696</v>
      </c>
      <c r="BG126" s="3297">
        <f>IFERROR(VLOOKUP(B126,[3]Sheet2!A$1:B$65536,2,FALSE),0)</f>
        <v>0</v>
      </c>
      <c r="BI126" s="3297">
        <f>IFERROR(VLOOKUP(B126,[3]Sheet2!A$1:C$65536,2,FALSE),0)</f>
        <v>0</v>
      </c>
      <c r="BJ126" s="3297">
        <f>IFERROR(VLOOKUP(B126,[3]Sheet2!A$1:C$65536,3,FALSE),0)</f>
        <v>0</v>
      </c>
    </row>
    <row r="127" spans="1:62" s="3261" customFormat="1" ht="20.25" customHeight="1">
      <c r="A127" s="3226">
        <v>125</v>
      </c>
      <c r="B127" s="3250" t="s">
        <v>4697</v>
      </c>
      <c r="C127" s="3227" t="s">
        <v>3333</v>
      </c>
      <c r="D127" s="3251" t="s">
        <v>3573</v>
      </c>
      <c r="E127" s="3229">
        <v>43914</v>
      </c>
      <c r="F127" s="3230">
        <v>50000</v>
      </c>
      <c r="G127" s="3231">
        <v>147.97999999999999</v>
      </c>
      <c r="H127" s="3231" t="str">
        <f t="shared" si="14"/>
        <v>非普通住宅</v>
      </c>
      <c r="I127" s="3230">
        <v>2091522</v>
      </c>
      <c r="J127" s="3229">
        <v>43919</v>
      </c>
      <c r="K127" s="3284">
        <f t="shared" si="15"/>
        <v>3</v>
      </c>
      <c r="L127" s="3230">
        <v>2081522</v>
      </c>
      <c r="M127" s="3235">
        <f t="shared" si="16"/>
        <v>14066.238680902825</v>
      </c>
      <c r="N127" s="3236">
        <f>581522+850000</f>
        <v>1431522</v>
      </c>
      <c r="O127" s="3244">
        <f t="shared" si="17"/>
        <v>2081522</v>
      </c>
      <c r="P127" s="3244"/>
      <c r="Q127" s="3244"/>
      <c r="R127" s="3244">
        <f t="shared" si="18"/>
        <v>1481522</v>
      </c>
      <c r="S127" s="3244">
        <f t="shared" si="19"/>
        <v>1481522</v>
      </c>
      <c r="T127" s="3236"/>
      <c r="U127" s="3236"/>
      <c r="V127" s="3236">
        <v>600000</v>
      </c>
      <c r="W127" s="3236"/>
      <c r="X127" s="3244">
        <f t="shared" si="20"/>
        <v>2081522</v>
      </c>
      <c r="Y127" s="3244">
        <f t="shared" si="21"/>
        <v>0</v>
      </c>
      <c r="Z127" s="3285">
        <f t="shared" si="22"/>
        <v>1</v>
      </c>
      <c r="AA127" s="3226" t="s">
        <v>3319</v>
      </c>
      <c r="AB127" s="3226" t="s">
        <v>4587</v>
      </c>
      <c r="AC127" s="3226" t="s">
        <v>4698</v>
      </c>
      <c r="AD127" s="3286" t="s">
        <v>4419</v>
      </c>
      <c r="AE127" s="3286" t="s">
        <v>4427</v>
      </c>
      <c r="AF127" s="3324"/>
      <c r="AG127" s="3323"/>
      <c r="AH127" s="3255">
        <v>43935</v>
      </c>
      <c r="AI127" s="3255">
        <v>43943</v>
      </c>
      <c r="AJ127" s="3255">
        <v>43980</v>
      </c>
      <c r="AK127" s="3287">
        <f t="shared" si="23"/>
        <v>2020</v>
      </c>
      <c r="AL127" s="3288">
        <f t="shared" si="24"/>
        <v>5</v>
      </c>
      <c r="AM127" s="3226" t="s">
        <v>4634</v>
      </c>
      <c r="AN127" s="3289">
        <v>600000</v>
      </c>
      <c r="AO127" s="3300"/>
      <c r="AP127" s="3300"/>
      <c r="AQ127" s="3300"/>
      <c r="AR127" s="3292"/>
      <c r="AS127" s="3292"/>
      <c r="AT127" s="3292"/>
      <c r="AU127" s="3293" t="str">
        <f t="shared" si="26"/>
        <v/>
      </c>
      <c r="AV127" s="3293" t="str">
        <f t="shared" si="27"/>
        <v/>
      </c>
      <c r="AW127" s="3294"/>
      <c r="AX127" s="3236"/>
      <c r="AY127" s="3244"/>
      <c r="AZ127" s="3295" t="s">
        <v>4445</v>
      </c>
      <c r="BA127" s="3296" t="str">
        <f t="shared" si="25"/>
        <v>签约</v>
      </c>
      <c r="BB127" s="3226"/>
      <c r="BC127" s="3226"/>
      <c r="BD127" s="3292"/>
      <c r="BE127" s="3297" t="s">
        <v>4367</v>
      </c>
      <c r="BG127" s="3297">
        <f>IFERROR(VLOOKUP(B127,[3]Sheet2!A$1:B$65536,2,FALSE),0)</f>
        <v>0</v>
      </c>
      <c r="BI127" s="3297">
        <f>IFERROR(VLOOKUP(B127,[3]Sheet2!A$1:C$65536,2,FALSE),0)</f>
        <v>0</v>
      </c>
      <c r="BJ127" s="3297">
        <f>IFERROR(VLOOKUP(B127,[3]Sheet2!A$1:C$65536,3,FALSE),0)</f>
        <v>0</v>
      </c>
    </row>
    <row r="128" spans="1:62" s="3261" customFormat="1" ht="20.25" customHeight="1">
      <c r="A128" s="3226">
        <v>126</v>
      </c>
      <c r="B128" s="3250" t="s">
        <v>4699</v>
      </c>
      <c r="C128" s="3227" t="s">
        <v>3333</v>
      </c>
      <c r="D128" s="3251" t="s">
        <v>3575</v>
      </c>
      <c r="E128" s="3229">
        <v>43913</v>
      </c>
      <c r="F128" s="3230">
        <v>50000</v>
      </c>
      <c r="G128" s="3231">
        <v>147.97999999999999</v>
      </c>
      <c r="H128" s="3231" t="str">
        <f t="shared" si="14"/>
        <v>非普通住宅</v>
      </c>
      <c r="I128" s="3230">
        <v>2152544</v>
      </c>
      <c r="J128" s="3229">
        <v>43919</v>
      </c>
      <c r="K128" s="3284">
        <f t="shared" si="15"/>
        <v>3</v>
      </c>
      <c r="L128" s="3230">
        <v>2140000</v>
      </c>
      <c r="M128" s="3235">
        <f t="shared" si="16"/>
        <v>14461.41370455467</v>
      </c>
      <c r="N128" s="3236">
        <v>600000</v>
      </c>
      <c r="O128" s="3244">
        <f t="shared" si="17"/>
        <v>2140000</v>
      </c>
      <c r="P128" s="3244"/>
      <c r="Q128" s="3244"/>
      <c r="R128" s="3244">
        <f t="shared" si="18"/>
        <v>650000</v>
      </c>
      <c r="S128" s="3244">
        <f t="shared" si="19"/>
        <v>650000</v>
      </c>
      <c r="T128" s="3236"/>
      <c r="U128" s="3236"/>
      <c r="V128" s="3236">
        <v>1490000</v>
      </c>
      <c r="W128" s="3236"/>
      <c r="X128" s="3244">
        <f t="shared" si="20"/>
        <v>2140000</v>
      </c>
      <c r="Y128" s="3244">
        <f t="shared" si="21"/>
        <v>0</v>
      </c>
      <c r="Z128" s="3285">
        <f t="shared" si="22"/>
        <v>1</v>
      </c>
      <c r="AA128" s="3226" t="s">
        <v>3319</v>
      </c>
      <c r="AB128" s="3226" t="s">
        <v>4587</v>
      </c>
      <c r="AC128" s="3226" t="s">
        <v>4698</v>
      </c>
      <c r="AD128" s="3286" t="s">
        <v>4539</v>
      </c>
      <c r="AE128" s="3286" t="s">
        <v>4427</v>
      </c>
      <c r="AF128" s="3286"/>
      <c r="AG128" s="3323"/>
      <c r="AH128" s="3255">
        <v>43920</v>
      </c>
      <c r="AI128" s="3255">
        <v>43920</v>
      </c>
      <c r="AJ128" s="3255">
        <v>43934</v>
      </c>
      <c r="AK128" s="3287">
        <f t="shared" si="23"/>
        <v>2020</v>
      </c>
      <c r="AL128" s="3288">
        <f t="shared" si="24"/>
        <v>4</v>
      </c>
      <c r="AM128" s="3226" t="s">
        <v>4477</v>
      </c>
      <c r="AN128" s="3289">
        <v>1490000</v>
      </c>
      <c r="AO128" s="3300"/>
      <c r="AP128" s="3300"/>
      <c r="AQ128" s="3300"/>
      <c r="AR128" s="3292"/>
      <c r="AS128" s="3292"/>
      <c r="AT128" s="3292"/>
      <c r="AU128" s="3293" t="str">
        <f t="shared" si="26"/>
        <v/>
      </c>
      <c r="AV128" s="3293" t="str">
        <f t="shared" si="27"/>
        <v/>
      </c>
      <c r="AW128" s="3294"/>
      <c r="AX128" s="3236"/>
      <c r="AY128" s="3244"/>
      <c r="AZ128" s="3295" t="s">
        <v>4445</v>
      </c>
      <c r="BA128" s="3296" t="str">
        <f t="shared" si="25"/>
        <v>签约</v>
      </c>
      <c r="BB128" s="3226"/>
      <c r="BC128" s="3226"/>
      <c r="BD128" s="3292"/>
      <c r="BE128" s="3297" t="s">
        <v>4367</v>
      </c>
      <c r="BG128" s="3297">
        <f>IFERROR(VLOOKUP(B128,[3]Sheet2!A$1:B$65536,2,FALSE),0)</f>
        <v>0</v>
      </c>
      <c r="BI128" s="3297">
        <f>IFERROR(VLOOKUP(B128,[3]Sheet2!A$1:C$65536,2,FALSE),0)</f>
        <v>0</v>
      </c>
      <c r="BJ128" s="3297">
        <f>IFERROR(VLOOKUP(B128,[3]Sheet2!A$1:C$65536,3,FALSE),0)</f>
        <v>0</v>
      </c>
    </row>
    <row r="129" spans="1:62" s="3261" customFormat="1" ht="20.25" customHeight="1">
      <c r="A129" s="3226">
        <v>127</v>
      </c>
      <c r="B129" s="3250" t="s">
        <v>4700</v>
      </c>
      <c r="C129" s="3227" t="s">
        <v>3333</v>
      </c>
      <c r="D129" s="3251" t="s">
        <v>3577</v>
      </c>
      <c r="E129" s="3229">
        <v>43914</v>
      </c>
      <c r="F129" s="3230">
        <v>50000</v>
      </c>
      <c r="G129" s="3231">
        <v>147.97999999999999</v>
      </c>
      <c r="H129" s="3231" t="str">
        <f t="shared" si="14"/>
        <v>非普通住宅</v>
      </c>
      <c r="I129" s="3230">
        <v>2198311</v>
      </c>
      <c r="J129" s="3229">
        <v>43919</v>
      </c>
      <c r="K129" s="3284">
        <f t="shared" si="15"/>
        <v>3</v>
      </c>
      <c r="L129" s="3230">
        <v>2183311</v>
      </c>
      <c r="M129" s="3235">
        <f t="shared" si="16"/>
        <v>14754.095147992974</v>
      </c>
      <c r="N129" s="3236">
        <f>613311+650000</f>
        <v>1263311</v>
      </c>
      <c r="O129" s="3244">
        <f t="shared" si="17"/>
        <v>2183311</v>
      </c>
      <c r="P129" s="3244"/>
      <c r="Q129" s="3244"/>
      <c r="R129" s="3244">
        <f t="shared" si="18"/>
        <v>1313311</v>
      </c>
      <c r="S129" s="3244">
        <f t="shared" si="19"/>
        <v>1313311</v>
      </c>
      <c r="T129" s="3236"/>
      <c r="U129" s="3236"/>
      <c r="V129" s="3236">
        <v>445000</v>
      </c>
      <c r="W129" s="3236">
        <v>425000</v>
      </c>
      <c r="X129" s="3244">
        <f t="shared" si="20"/>
        <v>2183311</v>
      </c>
      <c r="Y129" s="3244">
        <f t="shared" si="21"/>
        <v>0</v>
      </c>
      <c r="Z129" s="3285">
        <f t="shared" si="22"/>
        <v>1</v>
      </c>
      <c r="AA129" s="3226" t="s">
        <v>3319</v>
      </c>
      <c r="AB129" s="3226" t="s">
        <v>4587</v>
      </c>
      <c r="AC129" s="3226" t="s">
        <v>4698</v>
      </c>
      <c r="AD129" s="3286" t="s">
        <v>4419</v>
      </c>
      <c r="AE129" s="3286" t="s">
        <v>4427</v>
      </c>
      <c r="AF129" s="3286"/>
      <c r="AG129" s="3323"/>
      <c r="AH129" s="3255">
        <v>43949</v>
      </c>
      <c r="AI129" s="3255">
        <v>43949</v>
      </c>
      <c r="AJ129" s="3255">
        <v>43969</v>
      </c>
      <c r="AK129" s="3287">
        <f t="shared" si="23"/>
        <v>2020</v>
      </c>
      <c r="AL129" s="3288">
        <f t="shared" si="24"/>
        <v>5</v>
      </c>
      <c r="AM129" s="3226" t="s">
        <v>4701</v>
      </c>
      <c r="AN129" s="3289">
        <v>445000</v>
      </c>
      <c r="AO129" s="3300" t="s">
        <v>4539</v>
      </c>
      <c r="AP129" s="3300" t="s">
        <v>4427</v>
      </c>
      <c r="AQ129" s="3300"/>
      <c r="AR129" s="3292">
        <v>43949</v>
      </c>
      <c r="AS129" s="3292">
        <v>43949</v>
      </c>
      <c r="AT129" s="3292">
        <v>43978</v>
      </c>
      <c r="AU129" s="3293">
        <f t="shared" si="26"/>
        <v>2020</v>
      </c>
      <c r="AV129" s="3293">
        <f t="shared" si="27"/>
        <v>5</v>
      </c>
      <c r="AW129" s="3294" t="s">
        <v>4657</v>
      </c>
      <c r="AX129" s="3236">
        <v>425000</v>
      </c>
      <c r="AY129" s="3244"/>
      <c r="AZ129" s="3295" t="s">
        <v>4441</v>
      </c>
      <c r="BA129" s="3296" t="str">
        <f t="shared" si="25"/>
        <v>签约</v>
      </c>
      <c r="BB129" s="3226"/>
      <c r="BC129" s="3226"/>
      <c r="BD129" s="3292"/>
      <c r="BE129" s="3297" t="s">
        <v>4465</v>
      </c>
      <c r="BG129" s="3297">
        <f>IFERROR(VLOOKUP(B129,[3]Sheet2!A$1:B$65536,2,FALSE),0)</f>
        <v>0</v>
      </c>
      <c r="BI129" s="3297">
        <f>IFERROR(VLOOKUP(B129,[3]Sheet2!A$1:C$65536,2,FALSE),0)</f>
        <v>0</v>
      </c>
      <c r="BJ129" s="3297">
        <f>IFERROR(VLOOKUP(B129,[3]Sheet2!A$1:C$65536,3,FALSE),0)</f>
        <v>0</v>
      </c>
    </row>
    <row r="130" spans="1:62" s="3261" customFormat="1" ht="20.25" customHeight="1">
      <c r="A130" s="3226">
        <v>128</v>
      </c>
      <c r="B130" s="3250" t="s">
        <v>4702</v>
      </c>
      <c r="C130" s="3227" t="s">
        <v>3333</v>
      </c>
      <c r="D130" s="3252" t="s">
        <v>4703</v>
      </c>
      <c r="E130" s="3229">
        <v>43781</v>
      </c>
      <c r="F130" s="3230">
        <v>20000</v>
      </c>
      <c r="G130" s="3231">
        <v>147.97999999999999</v>
      </c>
      <c r="H130" s="3231" t="str">
        <f t="shared" si="14"/>
        <v>非普通住宅</v>
      </c>
      <c r="I130" s="3230">
        <v>2236451</v>
      </c>
      <c r="J130" s="3229">
        <v>43789</v>
      </c>
      <c r="K130" s="3284">
        <f t="shared" si="15"/>
        <v>11</v>
      </c>
      <c r="L130" s="3230">
        <v>2226451</v>
      </c>
      <c r="M130" s="3235">
        <f t="shared" si="16"/>
        <v>15045.621029868902</v>
      </c>
      <c r="N130" s="3236">
        <v>648451</v>
      </c>
      <c r="O130" s="3244">
        <f t="shared" si="17"/>
        <v>2226451</v>
      </c>
      <c r="P130" s="3244"/>
      <c r="Q130" s="3244"/>
      <c r="R130" s="3244">
        <f t="shared" si="18"/>
        <v>668451</v>
      </c>
      <c r="S130" s="3244">
        <f t="shared" si="19"/>
        <v>668451</v>
      </c>
      <c r="T130" s="3236"/>
      <c r="U130" s="3236"/>
      <c r="V130" s="3236">
        <v>958000</v>
      </c>
      <c r="W130" s="3236">
        <v>600000</v>
      </c>
      <c r="X130" s="3244">
        <f t="shared" si="20"/>
        <v>2226451</v>
      </c>
      <c r="Y130" s="3244">
        <f t="shared" si="21"/>
        <v>0</v>
      </c>
      <c r="Z130" s="3285">
        <f t="shared" si="22"/>
        <v>1</v>
      </c>
      <c r="AA130" s="3226" t="s">
        <v>4416</v>
      </c>
      <c r="AB130" s="3226" t="s">
        <v>4417</v>
      </c>
      <c r="AC130" s="3226" t="s">
        <v>4452</v>
      </c>
      <c r="AD130" s="3286" t="s">
        <v>4539</v>
      </c>
      <c r="AE130" s="3286" t="s">
        <v>4427</v>
      </c>
      <c r="AF130" s="3286"/>
      <c r="AG130" s="3323"/>
      <c r="AH130" s="3255">
        <v>43791</v>
      </c>
      <c r="AI130" s="3255">
        <v>43791</v>
      </c>
      <c r="AJ130" s="3255">
        <v>43832</v>
      </c>
      <c r="AK130" s="3287">
        <f t="shared" si="23"/>
        <v>2020</v>
      </c>
      <c r="AL130" s="3288">
        <f t="shared" si="24"/>
        <v>1</v>
      </c>
      <c r="AM130" s="3226" t="s">
        <v>4440</v>
      </c>
      <c r="AN130" s="3289">
        <v>958000</v>
      </c>
      <c r="AO130" s="3300" t="s">
        <v>4539</v>
      </c>
      <c r="AP130" s="3300" t="s">
        <v>4427</v>
      </c>
      <c r="AQ130" s="3300"/>
      <c r="AR130" s="3292">
        <v>43791</v>
      </c>
      <c r="AS130" s="3292">
        <v>43791</v>
      </c>
      <c r="AT130" s="3292">
        <v>43908</v>
      </c>
      <c r="AU130" s="3293">
        <f t="shared" si="26"/>
        <v>2020</v>
      </c>
      <c r="AV130" s="3293">
        <f t="shared" si="27"/>
        <v>3</v>
      </c>
      <c r="AW130" s="3294" t="s">
        <v>4657</v>
      </c>
      <c r="AX130" s="3236">
        <v>600000</v>
      </c>
      <c r="AY130" s="3244"/>
      <c r="AZ130" s="3295" t="s">
        <v>4507</v>
      </c>
      <c r="BA130" s="3296" t="str">
        <f t="shared" si="25"/>
        <v>签约</v>
      </c>
      <c r="BB130" s="3226"/>
      <c r="BC130" s="3226"/>
      <c r="BD130" s="3292">
        <f>VLOOKUP(B130,[3]Sheet1!A$1:B$65536,2,0)</f>
        <v>43790</v>
      </c>
      <c r="BE130" s="3297" t="s">
        <v>4449</v>
      </c>
      <c r="BG130" s="3297">
        <f>IFERROR(VLOOKUP(B130,[3]Sheet2!A$1:B$65536,2,FALSE),0)</f>
        <v>0</v>
      </c>
      <c r="BI130" s="3297">
        <f>IFERROR(VLOOKUP(B130,[3]Sheet2!A$1:C$65536,2,FALSE),0)</f>
        <v>0</v>
      </c>
      <c r="BJ130" s="3297">
        <f>IFERROR(VLOOKUP(B130,[3]Sheet2!A$1:C$65536,3,FALSE),0)</f>
        <v>0</v>
      </c>
    </row>
    <row r="131" spans="1:62" s="3261" customFormat="1" ht="20.25" customHeight="1">
      <c r="A131" s="3226">
        <v>129</v>
      </c>
      <c r="B131" s="3250" t="s">
        <v>4704</v>
      </c>
      <c r="C131" s="3227" t="s">
        <v>3333</v>
      </c>
      <c r="D131" s="3252" t="s">
        <v>3581</v>
      </c>
      <c r="E131" s="3229">
        <v>43750</v>
      </c>
      <c r="F131" s="3230">
        <v>20000</v>
      </c>
      <c r="G131" s="3231">
        <v>147.97999999999999</v>
      </c>
      <c r="H131" s="3231" t="str">
        <f t="shared" si="14"/>
        <v>非普通住宅</v>
      </c>
      <c r="I131" s="3230">
        <v>2244078</v>
      </c>
      <c r="J131" s="3229">
        <v>43752</v>
      </c>
      <c r="K131" s="3284">
        <f t="shared" si="15"/>
        <v>10</v>
      </c>
      <c r="L131" s="3230">
        <v>2234078</v>
      </c>
      <c r="M131" s="3235">
        <f t="shared" si="16"/>
        <v>15097.161778618733</v>
      </c>
      <c r="N131" s="3236">
        <v>954078</v>
      </c>
      <c r="O131" s="3244">
        <f t="shared" si="17"/>
        <v>2234078</v>
      </c>
      <c r="P131" s="3244"/>
      <c r="Q131" s="3244"/>
      <c r="R131" s="3244">
        <f t="shared" si="18"/>
        <v>974078</v>
      </c>
      <c r="S131" s="3244">
        <f t="shared" si="19"/>
        <v>974078</v>
      </c>
      <c r="T131" s="3236"/>
      <c r="U131" s="3236"/>
      <c r="V131" s="3236">
        <v>960000</v>
      </c>
      <c r="W131" s="3236">
        <v>300000</v>
      </c>
      <c r="X131" s="3244">
        <f t="shared" si="20"/>
        <v>2234078</v>
      </c>
      <c r="Y131" s="3244">
        <f t="shared" si="21"/>
        <v>0</v>
      </c>
      <c r="Z131" s="3285">
        <f t="shared" si="22"/>
        <v>1</v>
      </c>
      <c r="AA131" s="3226" t="s">
        <v>4416</v>
      </c>
      <c r="AB131" s="3226" t="s">
        <v>4417</v>
      </c>
      <c r="AC131" s="3226" t="s">
        <v>4460</v>
      </c>
      <c r="AD131" s="3286" t="s">
        <v>4419</v>
      </c>
      <c r="AE131" s="3286" t="s">
        <v>4427</v>
      </c>
      <c r="AF131" s="3286"/>
      <c r="AG131" s="3323"/>
      <c r="AH131" s="3255">
        <v>43752</v>
      </c>
      <c r="AI131" s="3255">
        <v>43768</v>
      </c>
      <c r="AJ131" s="3255">
        <v>43808</v>
      </c>
      <c r="AK131" s="3287">
        <f t="shared" si="23"/>
        <v>2019</v>
      </c>
      <c r="AL131" s="3288">
        <f t="shared" si="24"/>
        <v>12</v>
      </c>
      <c r="AM131" s="3226" t="s">
        <v>4474</v>
      </c>
      <c r="AN131" s="3289">
        <v>960000</v>
      </c>
      <c r="AO131" s="3300" t="s">
        <v>4419</v>
      </c>
      <c r="AP131" s="3300" t="s">
        <v>4427</v>
      </c>
      <c r="AQ131" s="3300"/>
      <c r="AR131" s="3292">
        <v>43768</v>
      </c>
      <c r="AS131" s="3292">
        <v>43768</v>
      </c>
      <c r="AT131" s="3292">
        <v>43908</v>
      </c>
      <c r="AU131" s="3293">
        <f t="shared" si="26"/>
        <v>2020</v>
      </c>
      <c r="AV131" s="3293">
        <f t="shared" si="27"/>
        <v>3</v>
      </c>
      <c r="AW131" s="3294" t="s">
        <v>4453</v>
      </c>
      <c r="AX131" s="3236">
        <v>300000</v>
      </c>
      <c r="AY131" s="3244"/>
      <c r="AZ131" s="3295" t="s">
        <v>4422</v>
      </c>
      <c r="BA131" s="3296" t="str">
        <f t="shared" si="25"/>
        <v>签约</v>
      </c>
      <c r="BB131" s="3226" t="s">
        <v>4423</v>
      </c>
      <c r="BC131" s="3226"/>
      <c r="BD131" s="3292">
        <f>VLOOKUP(B131,[3]Sheet1!A$1:B$65536,2,0)</f>
        <v>43754</v>
      </c>
      <c r="BE131" s="3297" t="s">
        <v>4542</v>
      </c>
      <c r="BG131" s="3297">
        <f>IFERROR(VLOOKUP(B131,[3]Sheet2!A$1:B$65536,2,FALSE),0)</f>
        <v>0</v>
      </c>
      <c r="BI131" s="3297">
        <f>IFERROR(VLOOKUP(B131,[3]Sheet2!A$1:C$65536,2,FALSE),0)</f>
        <v>0</v>
      </c>
      <c r="BJ131" s="3297">
        <f>IFERROR(VLOOKUP(B131,[3]Sheet2!A$1:C$65536,3,FALSE),0)</f>
        <v>0</v>
      </c>
    </row>
    <row r="132" spans="1:62" s="3261" customFormat="1" ht="21" customHeight="1">
      <c r="A132" s="3226">
        <v>130</v>
      </c>
      <c r="B132" s="3250" t="s">
        <v>4705</v>
      </c>
      <c r="C132" s="3227" t="s">
        <v>3333</v>
      </c>
      <c r="D132" s="3252" t="s">
        <v>4706</v>
      </c>
      <c r="E132" s="3229">
        <v>43749</v>
      </c>
      <c r="F132" s="3230">
        <v>20000</v>
      </c>
      <c r="G132" s="3231">
        <v>147.97999999999999</v>
      </c>
      <c r="H132" s="3231" t="str">
        <f t="shared" ref="H132:H195" si="28">IF(G132&lt;144,"普通住宅","非普通住宅")</f>
        <v>非普通住宅</v>
      </c>
      <c r="I132" s="3230">
        <v>2251706</v>
      </c>
      <c r="J132" s="3229">
        <v>43756</v>
      </c>
      <c r="K132" s="3284">
        <f t="shared" ref="K132:K195" si="29">IF(ISBLANK(J132),"",MONTH(J132))</f>
        <v>10</v>
      </c>
      <c r="L132" s="3230">
        <v>2226706</v>
      </c>
      <c r="M132" s="3235">
        <f t="shared" ref="M132:M195" si="30">L132/G132</f>
        <v>15047.344235707529</v>
      </c>
      <c r="N132" s="3236">
        <v>956706</v>
      </c>
      <c r="O132" s="3244">
        <f t="shared" ref="O132:O195" si="31">L132-P132-Q132</f>
        <v>2226706</v>
      </c>
      <c r="P132" s="3244"/>
      <c r="Q132" s="3244"/>
      <c r="R132" s="3244">
        <f t="shared" ref="R132:R195" si="32">F132+N132</f>
        <v>976706</v>
      </c>
      <c r="S132" s="3244">
        <f t="shared" ref="S132:S195" si="33">R132-T132-U132</f>
        <v>976706</v>
      </c>
      <c r="T132" s="3236"/>
      <c r="U132" s="3236"/>
      <c r="V132" s="3236">
        <v>1250000</v>
      </c>
      <c r="W132" s="3236"/>
      <c r="X132" s="3244">
        <f t="shared" ref="X132:X195" si="34">R132+V132+W132</f>
        <v>2226706</v>
      </c>
      <c r="Y132" s="3244">
        <f t="shared" ref="Y132:Y195" si="35">L132-X132</f>
        <v>0</v>
      </c>
      <c r="Z132" s="3285">
        <f t="shared" ref="Z132:Z195" si="36">X132/L132</f>
        <v>1</v>
      </c>
      <c r="AA132" s="3226" t="s">
        <v>4416</v>
      </c>
      <c r="AB132" s="3226" t="s">
        <v>4417</v>
      </c>
      <c r="AC132" s="3226" t="s">
        <v>4418</v>
      </c>
      <c r="AD132" s="3286" t="s">
        <v>4419</v>
      </c>
      <c r="AE132" s="3286" t="s">
        <v>4420</v>
      </c>
      <c r="AF132" s="3286"/>
      <c r="AG132" s="3323"/>
      <c r="AH132" s="3255">
        <v>43756</v>
      </c>
      <c r="AI132" s="3255">
        <v>43768</v>
      </c>
      <c r="AJ132" s="3255">
        <v>43777</v>
      </c>
      <c r="AK132" s="3287">
        <f t="shared" ref="AK132:AK195" si="37">IF(ISBLANK(AJ132),"",YEAR(AJ132))</f>
        <v>2019</v>
      </c>
      <c r="AL132" s="3288">
        <f t="shared" ref="AL132:AL193" si="38">IF(ISBLANK(AJ132),"",MONTH(AJ132))</f>
        <v>11</v>
      </c>
      <c r="AM132" s="3226" t="s">
        <v>4474</v>
      </c>
      <c r="AN132" s="3289">
        <v>1250000</v>
      </c>
      <c r="AO132" s="3300"/>
      <c r="AP132" s="3300"/>
      <c r="AQ132" s="3300"/>
      <c r="AR132" s="3292"/>
      <c r="AS132" s="3292"/>
      <c r="AT132" s="3292"/>
      <c r="AU132" s="3293" t="str">
        <f t="shared" si="26"/>
        <v/>
      </c>
      <c r="AV132" s="3293" t="str">
        <f t="shared" si="27"/>
        <v/>
      </c>
      <c r="AW132" s="3294"/>
      <c r="AX132" s="3236"/>
      <c r="AY132" s="3244"/>
      <c r="AZ132" s="3295" t="s">
        <v>4429</v>
      </c>
      <c r="BA132" s="3296" t="str">
        <f t="shared" ref="BA132:BA195" si="39">IF(E132=0,"未售",IF(J132&gt;0,"签约","认购"))</f>
        <v>签约</v>
      </c>
      <c r="BB132" s="3226" t="s">
        <v>4423</v>
      </c>
      <c r="BC132" s="3226"/>
      <c r="BD132" s="3292">
        <f>VLOOKUP(B132,[3]Sheet1!A$1:B$65536,2,0)</f>
        <v>43761</v>
      </c>
      <c r="BE132" s="3297" t="s">
        <v>4424</v>
      </c>
      <c r="BG132" s="3297">
        <f>IFERROR(VLOOKUP(B132,[3]Sheet2!A$1:B$65536,2,FALSE),0)</f>
        <v>0</v>
      </c>
      <c r="BI132" s="3297">
        <f>IFERROR(VLOOKUP(B132,[3]Sheet2!A$1:C$65536,2,FALSE),0)</f>
        <v>0</v>
      </c>
      <c r="BJ132" s="3297">
        <f>IFERROR(VLOOKUP(B132,[3]Sheet2!A$1:C$65536,3,FALSE),0)</f>
        <v>0</v>
      </c>
    </row>
    <row r="133" spans="1:62" s="3261" customFormat="1" ht="20.25" customHeight="1">
      <c r="A133" s="3226">
        <v>131</v>
      </c>
      <c r="B133" s="3250" t="s">
        <v>4707</v>
      </c>
      <c r="C133" s="3227" t="s">
        <v>3333</v>
      </c>
      <c r="D133" s="3252" t="s">
        <v>4708</v>
      </c>
      <c r="E133" s="3229">
        <v>43749</v>
      </c>
      <c r="F133" s="3230">
        <v>20000</v>
      </c>
      <c r="G133" s="3231">
        <v>147.97999999999999</v>
      </c>
      <c r="H133" s="3231" t="str">
        <f t="shared" si="28"/>
        <v>非普通住宅</v>
      </c>
      <c r="I133" s="3230">
        <v>2259334</v>
      </c>
      <c r="J133" s="3229">
        <v>43752</v>
      </c>
      <c r="K133" s="3284">
        <f t="shared" si="29"/>
        <v>10</v>
      </c>
      <c r="L133" s="3230">
        <v>2234334</v>
      </c>
      <c r="M133" s="3235">
        <f t="shared" si="30"/>
        <v>15098.891742127316</v>
      </c>
      <c r="N133" s="3236">
        <v>654334</v>
      </c>
      <c r="O133" s="3244">
        <f t="shared" si="31"/>
        <v>2234334</v>
      </c>
      <c r="P133" s="3244"/>
      <c r="Q133" s="3244"/>
      <c r="R133" s="3244">
        <f t="shared" si="32"/>
        <v>674334</v>
      </c>
      <c r="S133" s="3244">
        <f t="shared" si="33"/>
        <v>674334</v>
      </c>
      <c r="T133" s="3236"/>
      <c r="U133" s="3236"/>
      <c r="V133" s="3236">
        <v>1560000</v>
      </c>
      <c r="W133" s="3236"/>
      <c r="X133" s="3244">
        <f t="shared" si="34"/>
        <v>2234334</v>
      </c>
      <c r="Y133" s="3244">
        <f t="shared" si="35"/>
        <v>0</v>
      </c>
      <c r="Z133" s="3285">
        <f t="shared" si="36"/>
        <v>1</v>
      </c>
      <c r="AA133" s="3226" t="s">
        <v>4416</v>
      </c>
      <c r="AB133" s="3226" t="s">
        <v>4417</v>
      </c>
      <c r="AC133" s="3226" t="s">
        <v>4418</v>
      </c>
      <c r="AD133" s="3286" t="s">
        <v>4419</v>
      </c>
      <c r="AE133" s="3286" t="s">
        <v>4420</v>
      </c>
      <c r="AF133" s="3286"/>
      <c r="AG133" s="3323"/>
      <c r="AH133" s="3255">
        <v>43752</v>
      </c>
      <c r="AI133" s="3255">
        <v>43768</v>
      </c>
      <c r="AJ133" s="3255">
        <v>43780</v>
      </c>
      <c r="AK133" s="3287">
        <f t="shared" si="37"/>
        <v>2019</v>
      </c>
      <c r="AL133" s="3288">
        <f t="shared" si="38"/>
        <v>11</v>
      </c>
      <c r="AM133" s="3226" t="s">
        <v>4474</v>
      </c>
      <c r="AN133" s="3289">
        <v>1560000</v>
      </c>
      <c r="AO133" s="3300"/>
      <c r="AP133" s="3300"/>
      <c r="AQ133" s="3300"/>
      <c r="AR133" s="3292"/>
      <c r="AS133" s="3292"/>
      <c r="AT133" s="3292"/>
      <c r="AU133" s="3293" t="str">
        <f t="shared" si="26"/>
        <v/>
      </c>
      <c r="AV133" s="3293" t="str">
        <f t="shared" si="27"/>
        <v/>
      </c>
      <c r="AW133" s="3294"/>
      <c r="AX133" s="3236"/>
      <c r="AY133" s="3244"/>
      <c r="AZ133" s="3295" t="s">
        <v>4429</v>
      </c>
      <c r="BA133" s="3296" t="str">
        <f t="shared" si="39"/>
        <v>签约</v>
      </c>
      <c r="BB133" s="3226" t="s">
        <v>4423</v>
      </c>
      <c r="BC133" s="3226" t="s">
        <v>4430</v>
      </c>
      <c r="BD133" s="3292">
        <f>VLOOKUP(B133,[3]Sheet1!A$1:B$65536,2,0)</f>
        <v>43767</v>
      </c>
      <c r="BE133" s="3297" t="s">
        <v>4367</v>
      </c>
      <c r="BG133" s="3297">
        <f>IFERROR(VLOOKUP(B133,[3]Sheet2!A$1:B$65536,2,FALSE),0)</f>
        <v>0</v>
      </c>
      <c r="BI133" s="3297">
        <f>IFERROR(VLOOKUP(B133,[3]Sheet2!A$1:C$65536,2,FALSE),0)</f>
        <v>0</v>
      </c>
      <c r="BJ133" s="3297">
        <f>IFERROR(VLOOKUP(B133,[3]Sheet2!A$1:C$65536,3,FALSE),0)</f>
        <v>0</v>
      </c>
    </row>
    <row r="134" spans="1:62" s="3261" customFormat="1" ht="20.25" customHeight="1">
      <c r="A134" s="3226">
        <v>132</v>
      </c>
      <c r="B134" s="3250" t="s">
        <v>4709</v>
      </c>
      <c r="C134" s="3227" t="s">
        <v>3333</v>
      </c>
      <c r="D134" s="3252" t="s">
        <v>4710</v>
      </c>
      <c r="E134" s="3229">
        <v>43749</v>
      </c>
      <c r="F134" s="3230">
        <v>20000</v>
      </c>
      <c r="G134" s="3231">
        <v>147.97999999999999</v>
      </c>
      <c r="H134" s="3231" t="str">
        <f t="shared" si="28"/>
        <v>非普通住宅</v>
      </c>
      <c r="I134" s="3230">
        <v>2266962</v>
      </c>
      <c r="J134" s="3229">
        <v>43752</v>
      </c>
      <c r="K134" s="3284">
        <f t="shared" si="29"/>
        <v>10</v>
      </c>
      <c r="L134" s="3230">
        <v>2241962</v>
      </c>
      <c r="M134" s="3235">
        <f t="shared" si="30"/>
        <v>15150.439248547102</v>
      </c>
      <c r="N134" s="3236">
        <f>721962+410000</f>
        <v>1131962</v>
      </c>
      <c r="O134" s="3244">
        <f t="shared" si="31"/>
        <v>2241962</v>
      </c>
      <c r="P134" s="3244"/>
      <c r="Q134" s="3244"/>
      <c r="R134" s="3244">
        <f t="shared" si="32"/>
        <v>1151962</v>
      </c>
      <c r="S134" s="3244">
        <f t="shared" si="33"/>
        <v>1151962</v>
      </c>
      <c r="T134" s="3236"/>
      <c r="U134" s="3236"/>
      <c r="V134" s="3236">
        <v>1090000</v>
      </c>
      <c r="W134" s="3236"/>
      <c r="X134" s="3244">
        <f t="shared" si="34"/>
        <v>2241962</v>
      </c>
      <c r="Y134" s="3244">
        <f t="shared" si="35"/>
        <v>0</v>
      </c>
      <c r="Z134" s="3285">
        <f t="shared" si="36"/>
        <v>1</v>
      </c>
      <c r="AA134" s="3226" t="s">
        <v>4416</v>
      </c>
      <c r="AB134" s="3226" t="s">
        <v>4417</v>
      </c>
      <c r="AC134" s="3226" t="s">
        <v>4418</v>
      </c>
      <c r="AD134" s="3286" t="s">
        <v>4419</v>
      </c>
      <c r="AE134" s="3286" t="s">
        <v>4420</v>
      </c>
      <c r="AF134" s="3286"/>
      <c r="AG134" s="3323"/>
      <c r="AH134" s="3255">
        <v>43752</v>
      </c>
      <c r="AI134" s="3255">
        <v>43768</v>
      </c>
      <c r="AJ134" s="3255">
        <v>43777</v>
      </c>
      <c r="AK134" s="3287">
        <f t="shared" si="37"/>
        <v>2019</v>
      </c>
      <c r="AL134" s="3288">
        <f t="shared" si="38"/>
        <v>11</v>
      </c>
      <c r="AM134" s="3226" t="s">
        <v>4474</v>
      </c>
      <c r="AN134" s="3289">
        <v>1090000</v>
      </c>
      <c r="AO134" s="3300"/>
      <c r="AP134" s="3300"/>
      <c r="AQ134" s="3300"/>
      <c r="AR134" s="3292"/>
      <c r="AS134" s="3292"/>
      <c r="AT134" s="3292"/>
      <c r="AU134" s="3293" t="str">
        <f t="shared" si="26"/>
        <v/>
      </c>
      <c r="AV134" s="3293" t="str">
        <f t="shared" si="27"/>
        <v/>
      </c>
      <c r="AW134" s="3294"/>
      <c r="AX134" s="3236"/>
      <c r="AY134" s="3244"/>
      <c r="AZ134" s="3295" t="s">
        <v>4464</v>
      </c>
      <c r="BA134" s="3296" t="str">
        <f t="shared" si="39"/>
        <v>签约</v>
      </c>
      <c r="BB134" s="3226" t="s">
        <v>4455</v>
      </c>
      <c r="BC134" s="3226"/>
      <c r="BD134" s="3292">
        <f>VLOOKUP(B134,[3]Sheet1!A$1:B$65536,2,0)</f>
        <v>43789</v>
      </c>
      <c r="BE134" s="3297" t="s">
        <v>4449</v>
      </c>
      <c r="BG134" s="3297">
        <f>IFERROR(VLOOKUP(B134,[3]Sheet2!A$1:B$65536,2,FALSE),0)</f>
        <v>0</v>
      </c>
      <c r="BI134" s="3297">
        <f>IFERROR(VLOOKUP(B134,[3]Sheet2!A$1:C$65536,2,FALSE),0)</f>
        <v>0</v>
      </c>
      <c r="BJ134" s="3297">
        <f>IFERROR(VLOOKUP(B134,[3]Sheet2!A$1:C$65536,3,FALSE),0)</f>
        <v>0</v>
      </c>
    </row>
    <row r="135" spans="1:62" s="3261" customFormat="1" ht="20.25" customHeight="1">
      <c r="A135" s="3226">
        <v>133</v>
      </c>
      <c r="B135" s="3250" t="s">
        <v>4711</v>
      </c>
      <c r="C135" s="3227" t="s">
        <v>3333</v>
      </c>
      <c r="D135" s="3252" t="s">
        <v>4712</v>
      </c>
      <c r="E135" s="3229">
        <v>43753</v>
      </c>
      <c r="F135" s="3230">
        <v>20000</v>
      </c>
      <c r="G135" s="3231">
        <v>147.97999999999999</v>
      </c>
      <c r="H135" s="3231" t="str">
        <f t="shared" si="28"/>
        <v>非普通住宅</v>
      </c>
      <c r="I135" s="3230">
        <v>2274590</v>
      </c>
      <c r="J135" s="3229">
        <v>43773</v>
      </c>
      <c r="K135" s="3284">
        <f t="shared" si="29"/>
        <v>11</v>
      </c>
      <c r="L135" s="3230">
        <v>2254590</v>
      </c>
      <c r="M135" s="3235">
        <f t="shared" si="30"/>
        <v>15235.775104743885</v>
      </c>
      <c r="N135" s="3236">
        <v>884590</v>
      </c>
      <c r="O135" s="3244">
        <f t="shared" si="31"/>
        <v>2254590</v>
      </c>
      <c r="P135" s="3244"/>
      <c r="Q135" s="3244"/>
      <c r="R135" s="3244">
        <f t="shared" si="32"/>
        <v>904590</v>
      </c>
      <c r="S135" s="3244">
        <f t="shared" si="33"/>
        <v>904590</v>
      </c>
      <c r="T135" s="3236"/>
      <c r="U135" s="3236"/>
      <c r="V135" s="3236">
        <v>1350000</v>
      </c>
      <c r="W135" s="3236"/>
      <c r="X135" s="3244">
        <f t="shared" si="34"/>
        <v>2254590</v>
      </c>
      <c r="Y135" s="3244">
        <f t="shared" si="35"/>
        <v>0</v>
      </c>
      <c r="Z135" s="3285">
        <f t="shared" si="36"/>
        <v>1</v>
      </c>
      <c r="AA135" s="3226" t="s">
        <v>4416</v>
      </c>
      <c r="AB135" s="3255" t="s">
        <v>4417</v>
      </c>
      <c r="AC135" s="3226" t="s">
        <v>4418</v>
      </c>
      <c r="AD135" s="3286" t="s">
        <v>4419</v>
      </c>
      <c r="AE135" s="3286" t="s">
        <v>4427</v>
      </c>
      <c r="AF135" s="3286"/>
      <c r="AG135" s="3323"/>
      <c r="AH135" s="3255">
        <v>43832</v>
      </c>
      <c r="AI135" s="3255">
        <v>43832</v>
      </c>
      <c r="AJ135" s="3255">
        <v>43903</v>
      </c>
      <c r="AK135" s="3287">
        <f t="shared" si="37"/>
        <v>2020</v>
      </c>
      <c r="AL135" s="3288">
        <f t="shared" si="38"/>
        <v>3</v>
      </c>
      <c r="AM135" s="3226" t="s">
        <v>4471</v>
      </c>
      <c r="AN135" s="3289">
        <v>1350000</v>
      </c>
      <c r="AO135" s="3300"/>
      <c r="AP135" s="3300"/>
      <c r="AQ135" s="3300"/>
      <c r="AR135" s="3292"/>
      <c r="AS135" s="3292"/>
      <c r="AT135" s="3292"/>
      <c r="AU135" s="3293" t="str">
        <f t="shared" si="26"/>
        <v/>
      </c>
      <c r="AV135" s="3293" t="str">
        <f t="shared" si="27"/>
        <v/>
      </c>
      <c r="AW135" s="3294"/>
      <c r="AX135" s="3236"/>
      <c r="AY135" s="3244"/>
      <c r="AZ135" s="3295" t="s">
        <v>4507</v>
      </c>
      <c r="BA135" s="3296" t="str">
        <f t="shared" si="39"/>
        <v>签约</v>
      </c>
      <c r="BB135" s="3226" t="s">
        <v>4423</v>
      </c>
      <c r="BC135" s="3226"/>
      <c r="BD135" s="3292">
        <f>VLOOKUP(B135,[3]Sheet1!A$1:B$65536,2,0)</f>
        <v>43789</v>
      </c>
      <c r="BE135" s="3297" t="s">
        <v>4367</v>
      </c>
      <c r="BG135" s="3297">
        <f>IFERROR(VLOOKUP(B135,[3]Sheet2!A$1:B$65536,2,FALSE),0)</f>
        <v>0</v>
      </c>
      <c r="BI135" s="3297">
        <f>IFERROR(VLOOKUP(B135,[3]Sheet2!A$1:C$65536,2,FALSE),0)</f>
        <v>0</v>
      </c>
      <c r="BJ135" s="3297">
        <f>IFERROR(VLOOKUP(B135,[3]Sheet2!A$1:C$65536,3,FALSE),0)</f>
        <v>0</v>
      </c>
    </row>
    <row r="136" spans="1:62" s="3261" customFormat="1" ht="20.25" customHeight="1">
      <c r="A136" s="3226">
        <v>134</v>
      </c>
      <c r="B136" s="3250" t="s">
        <v>4713</v>
      </c>
      <c r="C136" s="3227" t="s">
        <v>3333</v>
      </c>
      <c r="D136" s="3251" t="s">
        <v>3591</v>
      </c>
      <c r="E136" s="3229">
        <v>43810</v>
      </c>
      <c r="F136" s="3230">
        <v>50000</v>
      </c>
      <c r="G136" s="3231">
        <v>148.04</v>
      </c>
      <c r="H136" s="3231" t="str">
        <f t="shared" si="28"/>
        <v>非普通住宅</v>
      </c>
      <c r="I136" s="3230">
        <v>2191564</v>
      </c>
      <c r="J136" s="3229">
        <v>43811</v>
      </c>
      <c r="K136" s="3284">
        <f t="shared" si="29"/>
        <v>12</v>
      </c>
      <c r="L136" s="3230">
        <v>2166564</v>
      </c>
      <c r="M136" s="3235">
        <f t="shared" si="30"/>
        <v>14634.990543096461</v>
      </c>
      <c r="N136" s="3236">
        <f>606564+1510000</f>
        <v>2116564</v>
      </c>
      <c r="O136" s="3244">
        <f t="shared" si="31"/>
        <v>2166564</v>
      </c>
      <c r="P136" s="3244"/>
      <c r="Q136" s="3244"/>
      <c r="R136" s="3244">
        <f t="shared" si="32"/>
        <v>2166564</v>
      </c>
      <c r="S136" s="3244">
        <f t="shared" si="33"/>
        <v>2166564</v>
      </c>
      <c r="T136" s="3236"/>
      <c r="U136" s="3236"/>
      <c r="V136" s="3236"/>
      <c r="W136" s="3236"/>
      <c r="X136" s="3244">
        <f t="shared" si="34"/>
        <v>2166564</v>
      </c>
      <c r="Y136" s="3244">
        <f t="shared" si="35"/>
        <v>0</v>
      </c>
      <c r="Z136" s="3285">
        <f t="shared" si="36"/>
        <v>1</v>
      </c>
      <c r="AA136" s="3226" t="s">
        <v>4416</v>
      </c>
      <c r="AB136" s="3255" t="s">
        <v>4676</v>
      </c>
      <c r="AC136" s="3226"/>
      <c r="AD136" s="3286"/>
      <c r="AE136" s="3286"/>
      <c r="AF136" s="3286"/>
      <c r="AG136" s="3323"/>
      <c r="AH136" s="3255"/>
      <c r="AI136" s="3255"/>
      <c r="AJ136" s="3255"/>
      <c r="AK136" s="3287" t="str">
        <f t="shared" si="37"/>
        <v/>
      </c>
      <c r="AL136" s="3288" t="str">
        <f t="shared" si="38"/>
        <v/>
      </c>
      <c r="AM136" s="3226"/>
      <c r="AN136" s="3289"/>
      <c r="AO136" s="3300"/>
      <c r="AP136" s="3300"/>
      <c r="AQ136" s="3300"/>
      <c r="AR136" s="3292"/>
      <c r="AS136" s="3292"/>
      <c r="AT136" s="3292"/>
      <c r="AU136" s="3293" t="str">
        <f t="shared" si="26"/>
        <v/>
      </c>
      <c r="AV136" s="3293" t="str">
        <f t="shared" si="27"/>
        <v/>
      </c>
      <c r="AW136" s="3294"/>
      <c r="AX136" s="3236"/>
      <c r="AY136" s="3244"/>
      <c r="AZ136" s="3295" t="s">
        <v>4429</v>
      </c>
      <c r="BA136" s="3296" t="str">
        <f t="shared" si="39"/>
        <v>签约</v>
      </c>
      <c r="BB136" s="3226"/>
      <c r="BC136" s="3226"/>
      <c r="BD136" s="3292">
        <v>43823</v>
      </c>
      <c r="BE136" s="3297" t="s">
        <v>4367</v>
      </c>
      <c r="BG136" s="3297">
        <f>IFERROR(VLOOKUP(B136,[3]Sheet2!A$1:B$65536,2,FALSE),0)</f>
        <v>0</v>
      </c>
      <c r="BI136" s="3297">
        <f>IFERROR(VLOOKUP(B136,[3]Sheet2!A$1:C$65536,2,FALSE),0)</f>
        <v>0</v>
      </c>
      <c r="BJ136" s="3297">
        <f>IFERROR(VLOOKUP(B136,[3]Sheet2!A$1:C$65536,3,FALSE),0)</f>
        <v>0</v>
      </c>
    </row>
    <row r="137" spans="1:62" s="3261" customFormat="1" ht="20.25" customHeight="1">
      <c r="A137" s="3226">
        <v>135</v>
      </c>
      <c r="B137" s="3250" t="s">
        <v>4714</v>
      </c>
      <c r="C137" s="3227" t="s">
        <v>3333</v>
      </c>
      <c r="D137" s="3252" t="s">
        <v>4715</v>
      </c>
      <c r="E137" s="3229">
        <v>43750</v>
      </c>
      <c r="F137" s="3230">
        <v>20000</v>
      </c>
      <c r="G137" s="3231">
        <v>126.31</v>
      </c>
      <c r="H137" s="3231" t="str">
        <f t="shared" si="28"/>
        <v>普通住宅</v>
      </c>
      <c r="I137" s="3230">
        <v>1654371</v>
      </c>
      <c r="J137" s="3229">
        <v>43764</v>
      </c>
      <c r="K137" s="3284">
        <f t="shared" si="29"/>
        <v>10</v>
      </c>
      <c r="L137" s="3230">
        <v>1629371</v>
      </c>
      <c r="M137" s="3235">
        <f t="shared" si="30"/>
        <v>12899.778323173145</v>
      </c>
      <c r="N137" s="3236">
        <v>469371</v>
      </c>
      <c r="O137" s="3244">
        <f t="shared" si="31"/>
        <v>1629371</v>
      </c>
      <c r="P137" s="3244"/>
      <c r="Q137" s="3244"/>
      <c r="R137" s="3244">
        <f t="shared" si="32"/>
        <v>489371</v>
      </c>
      <c r="S137" s="3244">
        <f t="shared" si="33"/>
        <v>489371</v>
      </c>
      <c r="T137" s="3236"/>
      <c r="U137" s="3236"/>
      <c r="V137" s="3236">
        <v>1140000</v>
      </c>
      <c r="W137" s="3236"/>
      <c r="X137" s="3244">
        <f t="shared" si="34"/>
        <v>1629371</v>
      </c>
      <c r="Y137" s="3244">
        <f t="shared" si="35"/>
        <v>0</v>
      </c>
      <c r="Z137" s="3285">
        <f t="shared" si="36"/>
        <v>1</v>
      </c>
      <c r="AA137" s="3226" t="s">
        <v>4416</v>
      </c>
      <c r="AB137" s="3255" t="s">
        <v>4417</v>
      </c>
      <c r="AC137" s="3226" t="s">
        <v>4418</v>
      </c>
      <c r="AD137" s="3286" t="s">
        <v>4419</v>
      </c>
      <c r="AE137" s="3286" t="s">
        <v>4427</v>
      </c>
      <c r="AF137" s="3286"/>
      <c r="AG137" s="3323"/>
      <c r="AH137" s="3255">
        <v>43766</v>
      </c>
      <c r="AI137" s="3255">
        <v>43766</v>
      </c>
      <c r="AJ137" s="3255">
        <v>43782</v>
      </c>
      <c r="AK137" s="3287">
        <f t="shared" si="37"/>
        <v>2019</v>
      </c>
      <c r="AL137" s="3288">
        <f t="shared" si="38"/>
        <v>11</v>
      </c>
      <c r="AM137" s="3226" t="s">
        <v>4716</v>
      </c>
      <c r="AN137" s="3289">
        <v>1140000</v>
      </c>
      <c r="AO137" s="3300"/>
      <c r="AP137" s="3300"/>
      <c r="AQ137" s="3300"/>
      <c r="AR137" s="3292"/>
      <c r="AS137" s="3292"/>
      <c r="AT137" s="3292"/>
      <c r="AU137" s="3293" t="str">
        <f t="shared" si="26"/>
        <v/>
      </c>
      <c r="AV137" s="3293" t="str">
        <f t="shared" si="27"/>
        <v/>
      </c>
      <c r="AW137" s="3294"/>
      <c r="AX137" s="3236"/>
      <c r="AY137" s="3244"/>
      <c r="AZ137" s="3295" t="s">
        <v>4422</v>
      </c>
      <c r="BA137" s="3296" t="str">
        <f t="shared" si="39"/>
        <v>签约</v>
      </c>
      <c r="BB137" s="3226" t="s">
        <v>4423</v>
      </c>
      <c r="BC137" s="3226"/>
      <c r="BD137" s="3292">
        <f>VLOOKUP(B137,[3]Sheet1!A$1:B$65536,2,0)</f>
        <v>43780</v>
      </c>
      <c r="BE137" s="3297" t="s">
        <v>4449</v>
      </c>
      <c r="BG137" s="3297">
        <f>IFERROR(VLOOKUP(B137,[3]Sheet2!A$1:B$65536,2,FALSE),0)</f>
        <v>0</v>
      </c>
      <c r="BI137" s="3297">
        <f>IFERROR(VLOOKUP(B137,[3]Sheet2!A$1:C$65536,2,FALSE),0)</f>
        <v>0</v>
      </c>
      <c r="BJ137" s="3297">
        <f>IFERROR(VLOOKUP(B137,[3]Sheet2!A$1:C$65536,3,FALSE),0)</f>
        <v>0</v>
      </c>
    </row>
    <row r="138" spans="1:62" s="3261" customFormat="1" ht="20.25" customHeight="1">
      <c r="A138" s="3226">
        <v>136</v>
      </c>
      <c r="B138" s="3250" t="s">
        <v>4717</v>
      </c>
      <c r="C138" s="3227" t="s">
        <v>3333</v>
      </c>
      <c r="D138" s="3251" t="s">
        <v>3595</v>
      </c>
      <c r="E138" s="3229">
        <v>43807</v>
      </c>
      <c r="F138" s="3230">
        <v>50000</v>
      </c>
      <c r="G138" s="3231">
        <v>128.81</v>
      </c>
      <c r="H138" s="3231" t="str">
        <f t="shared" si="28"/>
        <v>普通住宅</v>
      </c>
      <c r="I138" s="3230">
        <v>1792943</v>
      </c>
      <c r="J138" s="3229">
        <v>43812</v>
      </c>
      <c r="K138" s="3284">
        <f t="shared" si="29"/>
        <v>12</v>
      </c>
      <c r="L138" s="3230">
        <v>1772943</v>
      </c>
      <c r="M138" s="3235">
        <f t="shared" si="30"/>
        <v>13764.016768884403</v>
      </c>
      <c r="N138" s="3236">
        <f>482943+240000</f>
        <v>722943</v>
      </c>
      <c r="O138" s="3244">
        <f t="shared" si="31"/>
        <v>1772943</v>
      </c>
      <c r="P138" s="3244"/>
      <c r="Q138" s="3244"/>
      <c r="R138" s="3244">
        <f t="shared" si="32"/>
        <v>772943</v>
      </c>
      <c r="S138" s="3244">
        <f t="shared" si="33"/>
        <v>772943</v>
      </c>
      <c r="T138" s="3236"/>
      <c r="U138" s="3236"/>
      <c r="V138" s="3236">
        <v>1000000</v>
      </c>
      <c r="W138" s="3236"/>
      <c r="X138" s="3244">
        <f t="shared" si="34"/>
        <v>1772943</v>
      </c>
      <c r="Y138" s="3244">
        <f t="shared" si="35"/>
        <v>0</v>
      </c>
      <c r="Z138" s="3285">
        <f t="shared" si="36"/>
        <v>1</v>
      </c>
      <c r="AA138" s="3226" t="s">
        <v>4416</v>
      </c>
      <c r="AB138" s="3255" t="s">
        <v>4417</v>
      </c>
      <c r="AC138" s="3226" t="s">
        <v>4418</v>
      </c>
      <c r="AD138" s="3286" t="s">
        <v>4539</v>
      </c>
      <c r="AE138" s="3286" t="s">
        <v>4427</v>
      </c>
      <c r="AF138" s="3286"/>
      <c r="AG138" s="3323"/>
      <c r="AH138" s="3255">
        <v>43819</v>
      </c>
      <c r="AI138" s="3255">
        <v>43819</v>
      </c>
      <c r="AJ138" s="3255">
        <v>43923</v>
      </c>
      <c r="AK138" s="3287">
        <f t="shared" si="37"/>
        <v>2020</v>
      </c>
      <c r="AL138" s="3288">
        <f t="shared" si="38"/>
        <v>4</v>
      </c>
      <c r="AM138" s="3226" t="s">
        <v>4634</v>
      </c>
      <c r="AN138" s="3289">
        <v>1000000</v>
      </c>
      <c r="AO138" s="3300"/>
      <c r="AP138" s="3300"/>
      <c r="AQ138" s="3300"/>
      <c r="AR138" s="3292"/>
      <c r="AS138" s="3292"/>
      <c r="AT138" s="3292"/>
      <c r="AU138" s="3293" t="str">
        <f t="shared" si="26"/>
        <v/>
      </c>
      <c r="AV138" s="3293" t="str">
        <f t="shared" si="27"/>
        <v/>
      </c>
      <c r="AW138" s="3294"/>
      <c r="AX138" s="3236"/>
      <c r="AY138" s="3244"/>
      <c r="AZ138" s="3295" t="s">
        <v>4445</v>
      </c>
      <c r="BA138" s="3296" t="str">
        <f t="shared" si="39"/>
        <v>签约</v>
      </c>
      <c r="BB138" s="3226"/>
      <c r="BC138" s="3226"/>
      <c r="BD138" s="3292"/>
      <c r="BE138" s="3297" t="s">
        <v>4696</v>
      </c>
      <c r="BG138" s="3297">
        <f>IFERROR(VLOOKUP(B138,[3]Sheet2!A$1:B$65536,2,FALSE),0)</f>
        <v>0</v>
      </c>
      <c r="BI138" s="3297">
        <f>IFERROR(VLOOKUP(B138,[3]Sheet2!A$1:C$65536,2,FALSE),0)</f>
        <v>0</v>
      </c>
      <c r="BJ138" s="3297">
        <f>IFERROR(VLOOKUP(B138,[3]Sheet2!A$1:C$65536,3,FALSE),0)</f>
        <v>0</v>
      </c>
    </row>
    <row r="139" spans="1:62" s="3261" customFormat="1" ht="20.25" customHeight="1">
      <c r="A139" s="3226">
        <v>137</v>
      </c>
      <c r="B139" s="3250" t="s">
        <v>4718</v>
      </c>
      <c r="C139" s="3227" t="s">
        <v>3333</v>
      </c>
      <c r="D139" s="3252" t="s">
        <v>4719</v>
      </c>
      <c r="E139" s="3229">
        <v>43755</v>
      </c>
      <c r="F139" s="3230">
        <v>20000</v>
      </c>
      <c r="G139" s="3231">
        <v>128.81</v>
      </c>
      <c r="H139" s="3231" t="str">
        <f t="shared" si="28"/>
        <v>普通住宅</v>
      </c>
      <c r="I139" s="3230">
        <v>1846060</v>
      </c>
      <c r="J139" s="3229">
        <v>43760</v>
      </c>
      <c r="K139" s="3284">
        <f t="shared" si="29"/>
        <v>10</v>
      </c>
      <c r="L139" s="3230">
        <v>1821060</v>
      </c>
      <c r="M139" s="3235">
        <f t="shared" si="30"/>
        <v>14137.566959087027</v>
      </c>
      <c r="N139" s="3236">
        <f>600000+631060</f>
        <v>1231060</v>
      </c>
      <c r="O139" s="3244">
        <f t="shared" si="31"/>
        <v>1821060</v>
      </c>
      <c r="P139" s="3244"/>
      <c r="Q139" s="3244"/>
      <c r="R139" s="3244">
        <f t="shared" si="32"/>
        <v>1251060</v>
      </c>
      <c r="S139" s="3244">
        <f t="shared" si="33"/>
        <v>1251060</v>
      </c>
      <c r="T139" s="3236"/>
      <c r="U139" s="3236"/>
      <c r="V139" s="3236">
        <v>570000</v>
      </c>
      <c r="W139" s="3236"/>
      <c r="X139" s="3244">
        <f t="shared" si="34"/>
        <v>1821060</v>
      </c>
      <c r="Y139" s="3244">
        <f t="shared" si="35"/>
        <v>0</v>
      </c>
      <c r="Z139" s="3285">
        <f t="shared" si="36"/>
        <v>1</v>
      </c>
      <c r="AA139" s="3226" t="s">
        <v>4416</v>
      </c>
      <c r="AB139" s="3255" t="s">
        <v>4417</v>
      </c>
      <c r="AC139" s="3226" t="s">
        <v>4418</v>
      </c>
      <c r="AD139" s="3286" t="s">
        <v>4419</v>
      </c>
      <c r="AE139" s="3286" t="s">
        <v>4427</v>
      </c>
      <c r="AF139" s="3286"/>
      <c r="AG139" s="3323"/>
      <c r="AH139" s="3255">
        <v>43768</v>
      </c>
      <c r="AI139" s="3255">
        <v>43768</v>
      </c>
      <c r="AJ139" s="3255">
        <v>43789</v>
      </c>
      <c r="AK139" s="3287">
        <f t="shared" si="37"/>
        <v>2019</v>
      </c>
      <c r="AL139" s="3288">
        <f t="shared" si="38"/>
        <v>11</v>
      </c>
      <c r="AM139" s="3226" t="s">
        <v>4716</v>
      </c>
      <c r="AN139" s="3289">
        <v>570000</v>
      </c>
      <c r="AO139" s="3300"/>
      <c r="AP139" s="3300"/>
      <c r="AQ139" s="3300"/>
      <c r="AR139" s="3292"/>
      <c r="AS139" s="3292"/>
      <c r="AT139" s="3292"/>
      <c r="AU139" s="3293" t="str">
        <f t="shared" ref="AU139:AU202" si="40">IF(ISBLANK(AT139),"",YEAR(AT139))</f>
        <v/>
      </c>
      <c r="AV139" s="3293" t="str">
        <f t="shared" ref="AV139:AV202" si="41">IF(ISBLANK(AT139),"",MONTH(AT139))</f>
        <v/>
      </c>
      <c r="AW139" s="3294"/>
      <c r="AX139" s="3236"/>
      <c r="AY139" s="3244"/>
      <c r="AZ139" s="3295" t="s">
        <v>4422</v>
      </c>
      <c r="BA139" s="3296" t="str">
        <f t="shared" si="39"/>
        <v>签约</v>
      </c>
      <c r="BB139" s="3226" t="s">
        <v>4423</v>
      </c>
      <c r="BC139" s="3226"/>
      <c r="BD139" s="3292">
        <f>VLOOKUP(B139,[3]Sheet1!A$1:B$65536,2,0)</f>
        <v>43780</v>
      </c>
      <c r="BE139" s="3297" t="s">
        <v>4449</v>
      </c>
      <c r="BG139" s="3297">
        <f>IFERROR(VLOOKUP(B139,[3]Sheet2!A$1:B$65536,2,FALSE),0)</f>
        <v>0</v>
      </c>
      <c r="BI139" s="3297">
        <f>IFERROR(VLOOKUP(B139,[3]Sheet2!A$1:C$65536,2,FALSE),0)</f>
        <v>0</v>
      </c>
      <c r="BJ139" s="3297">
        <f>IFERROR(VLOOKUP(B139,[3]Sheet2!A$1:C$65536,3,FALSE),0)</f>
        <v>0</v>
      </c>
    </row>
    <row r="140" spans="1:62" s="3261" customFormat="1" ht="20.25" customHeight="1">
      <c r="A140" s="3226">
        <v>138</v>
      </c>
      <c r="B140" s="3250" t="s">
        <v>4720</v>
      </c>
      <c r="C140" s="3227" t="s">
        <v>3333</v>
      </c>
      <c r="D140" s="3251" t="s">
        <v>3599</v>
      </c>
      <c r="E140" s="3229">
        <v>43829</v>
      </c>
      <c r="F140" s="3230">
        <v>50000</v>
      </c>
      <c r="G140" s="3231">
        <v>128.81</v>
      </c>
      <c r="H140" s="3231" t="str">
        <f t="shared" si="28"/>
        <v>普通住宅</v>
      </c>
      <c r="I140" s="3230">
        <v>1885898</v>
      </c>
      <c r="J140" s="3229">
        <v>43839</v>
      </c>
      <c r="K140" s="3284">
        <f t="shared" si="29"/>
        <v>1</v>
      </c>
      <c r="L140" s="3230">
        <v>1875898</v>
      </c>
      <c r="M140" s="3235">
        <f t="shared" si="30"/>
        <v>14563.294775250368</v>
      </c>
      <c r="N140" s="3236">
        <v>565898</v>
      </c>
      <c r="O140" s="3244">
        <f t="shared" si="31"/>
        <v>1875898</v>
      </c>
      <c r="P140" s="3244"/>
      <c r="Q140" s="3244"/>
      <c r="R140" s="3244">
        <f t="shared" si="32"/>
        <v>615898</v>
      </c>
      <c r="S140" s="3244">
        <f t="shared" si="33"/>
        <v>615898</v>
      </c>
      <c r="T140" s="3236"/>
      <c r="U140" s="3236"/>
      <c r="V140" s="3236">
        <v>1260000</v>
      </c>
      <c r="W140" s="3236"/>
      <c r="X140" s="3244">
        <f t="shared" si="34"/>
        <v>1875898</v>
      </c>
      <c r="Y140" s="3244">
        <f t="shared" si="35"/>
        <v>0</v>
      </c>
      <c r="Z140" s="3285">
        <f t="shared" si="36"/>
        <v>1</v>
      </c>
      <c r="AA140" s="3226" t="s">
        <v>4416</v>
      </c>
      <c r="AB140" s="3255" t="s">
        <v>4417</v>
      </c>
      <c r="AC140" s="3226" t="s">
        <v>4418</v>
      </c>
      <c r="AD140" s="3286" t="s">
        <v>4419</v>
      </c>
      <c r="AE140" s="3286" t="s">
        <v>4427</v>
      </c>
      <c r="AF140" s="3286"/>
      <c r="AG140" s="3323"/>
      <c r="AH140" s="3255">
        <v>43839</v>
      </c>
      <c r="AI140" s="3255">
        <v>43852</v>
      </c>
      <c r="AJ140" s="3255">
        <v>43882</v>
      </c>
      <c r="AK140" s="3287">
        <f t="shared" si="37"/>
        <v>2020</v>
      </c>
      <c r="AL140" s="3288">
        <f t="shared" si="38"/>
        <v>2</v>
      </c>
      <c r="AM140" s="3226" t="s">
        <v>4433</v>
      </c>
      <c r="AN140" s="3289">
        <v>1260000</v>
      </c>
      <c r="AO140" s="3300"/>
      <c r="AP140" s="3300"/>
      <c r="AQ140" s="3300"/>
      <c r="AR140" s="3292"/>
      <c r="AS140" s="3292"/>
      <c r="AT140" s="3292"/>
      <c r="AU140" s="3293" t="str">
        <f t="shared" si="40"/>
        <v/>
      </c>
      <c r="AV140" s="3293" t="str">
        <f t="shared" si="41"/>
        <v/>
      </c>
      <c r="AW140" s="3294"/>
      <c r="AX140" s="3236"/>
      <c r="AY140" s="3244"/>
      <c r="AZ140" s="3295" t="s">
        <v>4422</v>
      </c>
      <c r="BA140" s="3296" t="str">
        <f t="shared" si="39"/>
        <v>签约</v>
      </c>
      <c r="BB140" s="3226"/>
      <c r="BC140" s="3226"/>
      <c r="BD140" s="3292"/>
      <c r="BE140" s="3297" t="s">
        <v>4465</v>
      </c>
      <c r="BG140" s="3297">
        <f>IFERROR(VLOOKUP(B140,[3]Sheet2!A$1:B$65536,2,FALSE),0)</f>
        <v>0</v>
      </c>
      <c r="BI140" s="3297">
        <f>IFERROR(VLOOKUP(B140,[3]Sheet2!A$1:C$65536,2,FALSE),0)</f>
        <v>0</v>
      </c>
      <c r="BJ140" s="3297">
        <f>IFERROR(VLOOKUP(B140,[3]Sheet2!A$1:C$65536,3,FALSE),0)</f>
        <v>0</v>
      </c>
    </row>
    <row r="141" spans="1:62" s="3261" customFormat="1" ht="20.25" customHeight="1">
      <c r="A141" s="3226">
        <v>139</v>
      </c>
      <c r="B141" s="3250" t="s">
        <v>4721</v>
      </c>
      <c r="C141" s="3227" t="s">
        <v>3333</v>
      </c>
      <c r="D141" s="3252" t="s">
        <v>4722</v>
      </c>
      <c r="E141" s="3229">
        <v>43768</v>
      </c>
      <c r="F141" s="3230">
        <v>20000</v>
      </c>
      <c r="G141" s="3231">
        <v>128.81</v>
      </c>
      <c r="H141" s="3231" t="str">
        <f t="shared" si="28"/>
        <v>普通住宅</v>
      </c>
      <c r="I141" s="3230">
        <v>1919097</v>
      </c>
      <c r="J141" s="3229">
        <v>43771</v>
      </c>
      <c r="K141" s="3284">
        <f t="shared" si="29"/>
        <v>11</v>
      </c>
      <c r="L141" s="3230">
        <v>1909097</v>
      </c>
      <c r="M141" s="3235">
        <f t="shared" si="30"/>
        <v>14821.030975855912</v>
      </c>
      <c r="N141" s="3236">
        <f>609097+300000</f>
        <v>909097</v>
      </c>
      <c r="O141" s="3244">
        <f t="shared" si="31"/>
        <v>1909097</v>
      </c>
      <c r="P141" s="3244"/>
      <c r="Q141" s="3244"/>
      <c r="R141" s="3244">
        <f t="shared" si="32"/>
        <v>929097</v>
      </c>
      <c r="S141" s="3244">
        <f t="shared" si="33"/>
        <v>929097</v>
      </c>
      <c r="T141" s="3236"/>
      <c r="U141" s="3236"/>
      <c r="V141" s="3236">
        <v>380000</v>
      </c>
      <c r="W141" s="3236">
        <v>600000</v>
      </c>
      <c r="X141" s="3244">
        <f t="shared" si="34"/>
        <v>1909097</v>
      </c>
      <c r="Y141" s="3244">
        <f t="shared" si="35"/>
        <v>0</v>
      </c>
      <c r="Z141" s="3285">
        <f t="shared" si="36"/>
        <v>1</v>
      </c>
      <c r="AA141" s="3226" t="s">
        <v>4416</v>
      </c>
      <c r="AB141" s="3255" t="s">
        <v>4417</v>
      </c>
      <c r="AC141" s="3226" t="s">
        <v>4460</v>
      </c>
      <c r="AD141" s="3286" t="s">
        <v>4419</v>
      </c>
      <c r="AE141" s="3286" t="s">
        <v>4427</v>
      </c>
      <c r="AF141" s="3286"/>
      <c r="AG141" s="3323"/>
      <c r="AH141" s="3255">
        <v>43776</v>
      </c>
      <c r="AI141" s="3255">
        <v>43776</v>
      </c>
      <c r="AJ141" s="3255">
        <v>43836</v>
      </c>
      <c r="AK141" s="3287">
        <f t="shared" si="37"/>
        <v>2020</v>
      </c>
      <c r="AL141" s="3288">
        <f t="shared" si="38"/>
        <v>1</v>
      </c>
      <c r="AM141" s="3226" t="s">
        <v>4534</v>
      </c>
      <c r="AN141" s="3289">
        <v>380000</v>
      </c>
      <c r="AO141" s="3300" t="s">
        <v>4419</v>
      </c>
      <c r="AP141" s="3300" t="s">
        <v>4427</v>
      </c>
      <c r="AQ141" s="3300"/>
      <c r="AR141" s="3292">
        <v>43776</v>
      </c>
      <c r="AS141" s="3292">
        <v>43776</v>
      </c>
      <c r="AT141" s="3292">
        <v>43908</v>
      </c>
      <c r="AU141" s="3293">
        <f t="shared" si="40"/>
        <v>2020</v>
      </c>
      <c r="AV141" s="3293">
        <f t="shared" si="41"/>
        <v>3</v>
      </c>
      <c r="AW141" s="3294" t="s">
        <v>4453</v>
      </c>
      <c r="AX141" s="3236">
        <v>600000</v>
      </c>
      <c r="AY141" s="3244"/>
      <c r="AZ141" s="3295" t="s">
        <v>4723</v>
      </c>
      <c r="BA141" s="3296" t="str">
        <f t="shared" si="39"/>
        <v>签约</v>
      </c>
      <c r="BB141" s="3226" t="s">
        <v>4455</v>
      </c>
      <c r="BC141" s="3226"/>
      <c r="BD141" s="3292">
        <f>VLOOKUP(B141,[3]Sheet1!A$1:B$65536,2,0)</f>
        <v>43776</v>
      </c>
      <c r="BE141" s="3297" t="s">
        <v>4449</v>
      </c>
      <c r="BG141" s="3297">
        <f>IFERROR(VLOOKUP(B141,[3]Sheet2!A$1:B$65536,2,FALSE),0)</f>
        <v>0</v>
      </c>
      <c r="BI141" s="3297">
        <f>IFERROR(VLOOKUP(B141,[3]Sheet2!A$1:C$65536,2,FALSE),0)</f>
        <v>0</v>
      </c>
      <c r="BJ141" s="3297">
        <f>IFERROR(VLOOKUP(B141,[3]Sheet2!A$1:C$65536,3,FALSE),0)</f>
        <v>0</v>
      </c>
    </row>
    <row r="142" spans="1:62" s="3261" customFormat="1" ht="20.25" customHeight="1">
      <c r="A142" s="3226">
        <v>140</v>
      </c>
      <c r="B142" s="3250" t="s">
        <v>4724</v>
      </c>
      <c r="C142" s="3227" t="s">
        <v>3333</v>
      </c>
      <c r="D142" s="3251" t="s">
        <v>3603</v>
      </c>
      <c r="E142" s="3229">
        <v>43794</v>
      </c>
      <c r="F142" s="3230">
        <v>50000</v>
      </c>
      <c r="G142" s="3231">
        <v>128.81</v>
      </c>
      <c r="H142" s="3231" t="str">
        <f t="shared" si="28"/>
        <v>普通住宅</v>
      </c>
      <c r="I142" s="3230">
        <v>1925736</v>
      </c>
      <c r="J142" s="3229">
        <v>43823</v>
      </c>
      <c r="K142" s="3284">
        <f t="shared" si="29"/>
        <v>12</v>
      </c>
      <c r="L142" s="3230">
        <v>1920736</v>
      </c>
      <c r="M142" s="3235">
        <f t="shared" si="30"/>
        <v>14911.388867323965</v>
      </c>
      <c r="N142" s="3236">
        <v>1270736</v>
      </c>
      <c r="O142" s="3244">
        <f t="shared" si="31"/>
        <v>1920736</v>
      </c>
      <c r="P142" s="3244"/>
      <c r="Q142" s="3244"/>
      <c r="R142" s="3244">
        <f t="shared" si="32"/>
        <v>1320736</v>
      </c>
      <c r="S142" s="3244">
        <f t="shared" si="33"/>
        <v>1320736</v>
      </c>
      <c r="T142" s="3236"/>
      <c r="U142" s="3236"/>
      <c r="V142" s="3236"/>
      <c r="W142" s="3236">
        <v>600000</v>
      </c>
      <c r="X142" s="3244">
        <f t="shared" si="34"/>
        <v>1920736</v>
      </c>
      <c r="Y142" s="3244">
        <f t="shared" si="35"/>
        <v>0</v>
      </c>
      <c r="Z142" s="3285">
        <f t="shared" si="36"/>
        <v>1</v>
      </c>
      <c r="AA142" s="3226" t="s">
        <v>4416</v>
      </c>
      <c r="AB142" s="3255" t="s">
        <v>4417</v>
      </c>
      <c r="AC142" s="3226" t="s">
        <v>4725</v>
      </c>
      <c r="AD142" s="3286"/>
      <c r="AE142" s="3286"/>
      <c r="AF142" s="3286"/>
      <c r="AG142" s="3323"/>
      <c r="AH142" s="3255"/>
      <c r="AI142" s="3255"/>
      <c r="AJ142" s="3255"/>
      <c r="AK142" s="3287" t="str">
        <f t="shared" si="37"/>
        <v/>
      </c>
      <c r="AL142" s="3288" t="str">
        <f t="shared" si="38"/>
        <v/>
      </c>
      <c r="AM142" s="3226"/>
      <c r="AN142" s="3289"/>
      <c r="AO142" s="3300" t="s">
        <v>4419</v>
      </c>
      <c r="AP142" s="3300" t="s">
        <v>4427</v>
      </c>
      <c r="AQ142" s="3300"/>
      <c r="AR142" s="3292">
        <v>43823</v>
      </c>
      <c r="AS142" s="3292">
        <v>43830</v>
      </c>
      <c r="AT142" s="3292">
        <v>43915</v>
      </c>
      <c r="AU142" s="3293">
        <f t="shared" si="40"/>
        <v>2020</v>
      </c>
      <c r="AV142" s="3293">
        <f t="shared" si="41"/>
        <v>3</v>
      </c>
      <c r="AW142" s="3294" t="s">
        <v>4453</v>
      </c>
      <c r="AX142" s="3236">
        <v>600000</v>
      </c>
      <c r="AY142" s="3244"/>
      <c r="AZ142" s="3295" t="s">
        <v>4441</v>
      </c>
      <c r="BA142" s="3296" t="str">
        <f t="shared" si="39"/>
        <v>签约</v>
      </c>
      <c r="BB142" s="3226"/>
      <c r="BC142" s="3226"/>
      <c r="BD142" s="3292">
        <v>43826</v>
      </c>
      <c r="BE142" s="3297" t="s">
        <v>4696</v>
      </c>
      <c r="BG142" s="3297">
        <f>IFERROR(VLOOKUP(B142,[3]Sheet2!A$1:B$65536,2,FALSE),0)</f>
        <v>0</v>
      </c>
      <c r="BI142" s="3297">
        <f>IFERROR(VLOOKUP(B142,[3]Sheet2!A$1:C$65536,2,FALSE),0)</f>
        <v>0</v>
      </c>
      <c r="BJ142" s="3297">
        <f>IFERROR(VLOOKUP(B142,[3]Sheet2!A$1:C$65536,3,FALSE),0)</f>
        <v>0</v>
      </c>
    </row>
    <row r="143" spans="1:62" s="3261" customFormat="1" ht="20.25" customHeight="1">
      <c r="A143" s="3226">
        <v>141</v>
      </c>
      <c r="B143" s="3250" t="s">
        <v>4726</v>
      </c>
      <c r="C143" s="3227" t="s">
        <v>3333</v>
      </c>
      <c r="D143" s="3252" t="s">
        <v>4727</v>
      </c>
      <c r="E143" s="3229">
        <v>43773</v>
      </c>
      <c r="F143" s="3230">
        <v>20000</v>
      </c>
      <c r="G143" s="3231">
        <v>128.81</v>
      </c>
      <c r="H143" s="3231" t="str">
        <f t="shared" si="28"/>
        <v>普通住宅</v>
      </c>
      <c r="I143" s="3230">
        <v>1932376</v>
      </c>
      <c r="J143" s="3229">
        <v>43780</v>
      </c>
      <c r="K143" s="3284">
        <f t="shared" si="29"/>
        <v>11</v>
      </c>
      <c r="L143" s="3230">
        <v>1907376</v>
      </c>
      <c r="M143" s="3235">
        <f t="shared" si="30"/>
        <v>14807.670211940067</v>
      </c>
      <c r="N143" s="3236">
        <f>557376+1330000</f>
        <v>1887376</v>
      </c>
      <c r="O143" s="3244">
        <f t="shared" si="31"/>
        <v>1907376</v>
      </c>
      <c r="P143" s="3244"/>
      <c r="Q143" s="3244"/>
      <c r="R143" s="3244">
        <f t="shared" si="32"/>
        <v>1907376</v>
      </c>
      <c r="S143" s="3244">
        <f t="shared" si="33"/>
        <v>1907376</v>
      </c>
      <c r="T143" s="3236"/>
      <c r="U143" s="3236"/>
      <c r="V143" s="3236"/>
      <c r="W143" s="3236"/>
      <c r="X143" s="3244">
        <f t="shared" si="34"/>
        <v>1907376</v>
      </c>
      <c r="Y143" s="3244">
        <f t="shared" si="35"/>
        <v>0</v>
      </c>
      <c r="Z143" s="3285">
        <f t="shared" si="36"/>
        <v>1</v>
      </c>
      <c r="AA143" s="3226" t="s">
        <v>4416</v>
      </c>
      <c r="AB143" s="3255" t="s">
        <v>4676</v>
      </c>
      <c r="AC143" s="3226"/>
      <c r="AD143" s="3286"/>
      <c r="AE143" s="3286"/>
      <c r="AF143" s="3286"/>
      <c r="AG143" s="3323"/>
      <c r="AH143" s="3255"/>
      <c r="AI143" s="3255"/>
      <c r="AJ143" s="3255"/>
      <c r="AK143" s="3287" t="str">
        <f t="shared" si="37"/>
        <v/>
      </c>
      <c r="AL143" s="3288" t="str">
        <f t="shared" si="38"/>
        <v/>
      </c>
      <c r="AM143" s="3226"/>
      <c r="AN143" s="3289"/>
      <c r="AO143" s="3300"/>
      <c r="AP143" s="3300"/>
      <c r="AQ143" s="3300"/>
      <c r="AR143" s="3292"/>
      <c r="AS143" s="3292"/>
      <c r="AT143" s="3292"/>
      <c r="AU143" s="3293" t="str">
        <f t="shared" si="40"/>
        <v/>
      </c>
      <c r="AV143" s="3293" t="str">
        <f t="shared" si="41"/>
        <v/>
      </c>
      <c r="AW143" s="3294"/>
      <c r="AX143" s="3236"/>
      <c r="AY143" s="3244"/>
      <c r="AZ143" s="3295" t="s">
        <v>4429</v>
      </c>
      <c r="BA143" s="3296" t="str">
        <f t="shared" si="39"/>
        <v>签约</v>
      </c>
      <c r="BB143" s="3226" t="s">
        <v>4423</v>
      </c>
      <c r="BC143" s="3226"/>
      <c r="BD143" s="3292">
        <f>VLOOKUP(B143,[3]Sheet1!A$1:B$65536,2,0)</f>
        <v>43780</v>
      </c>
      <c r="BE143" s="3297" t="s">
        <v>4449</v>
      </c>
      <c r="BG143" s="3297">
        <f>IFERROR(VLOOKUP(B143,[3]Sheet2!A$1:B$65536,2,FALSE),0)</f>
        <v>0</v>
      </c>
      <c r="BI143" s="3297">
        <f>IFERROR(VLOOKUP(B143,[3]Sheet2!A$1:C$65536,2,FALSE),0)</f>
        <v>0</v>
      </c>
      <c r="BJ143" s="3297">
        <f>IFERROR(VLOOKUP(B143,[3]Sheet2!A$1:C$65536,3,FALSE),0)</f>
        <v>0</v>
      </c>
    </row>
    <row r="144" spans="1:62" s="3261" customFormat="1" ht="20.25" customHeight="1">
      <c r="A144" s="3226">
        <v>142</v>
      </c>
      <c r="B144" s="3250" t="s">
        <v>4728</v>
      </c>
      <c r="C144" s="3227" t="s">
        <v>3333</v>
      </c>
      <c r="D144" s="3252" t="s">
        <v>4729</v>
      </c>
      <c r="E144" s="3229">
        <v>43773</v>
      </c>
      <c r="F144" s="3230">
        <v>20000</v>
      </c>
      <c r="G144" s="3231">
        <v>128.81</v>
      </c>
      <c r="H144" s="3231" t="str">
        <f t="shared" si="28"/>
        <v>普通住宅</v>
      </c>
      <c r="I144" s="3230">
        <v>1939016</v>
      </c>
      <c r="J144" s="3229">
        <v>43790</v>
      </c>
      <c r="K144" s="3284">
        <f t="shared" si="29"/>
        <v>11</v>
      </c>
      <c r="L144" s="3230">
        <v>1929016</v>
      </c>
      <c r="M144" s="3235">
        <f t="shared" si="30"/>
        <v>14975.669590870273</v>
      </c>
      <c r="N144" s="3236">
        <f>559016+350000+100000</f>
        <v>1009016</v>
      </c>
      <c r="O144" s="3244">
        <f t="shared" si="31"/>
        <v>1929016</v>
      </c>
      <c r="P144" s="3244"/>
      <c r="Q144" s="3244"/>
      <c r="R144" s="3244">
        <f t="shared" si="32"/>
        <v>1029016</v>
      </c>
      <c r="S144" s="3244">
        <f t="shared" si="33"/>
        <v>1029016</v>
      </c>
      <c r="T144" s="3236"/>
      <c r="U144" s="3236"/>
      <c r="V144" s="3236">
        <v>600000</v>
      </c>
      <c r="W144" s="3236">
        <v>300000</v>
      </c>
      <c r="X144" s="3244">
        <f t="shared" si="34"/>
        <v>1929016</v>
      </c>
      <c r="Y144" s="3244">
        <f t="shared" si="35"/>
        <v>0</v>
      </c>
      <c r="Z144" s="3285">
        <f t="shared" si="36"/>
        <v>1</v>
      </c>
      <c r="AA144" s="3226" t="s">
        <v>4416</v>
      </c>
      <c r="AB144" s="3255" t="s">
        <v>4417</v>
      </c>
      <c r="AC144" s="3226" t="s">
        <v>4418</v>
      </c>
      <c r="AD144" s="3286" t="s">
        <v>4419</v>
      </c>
      <c r="AE144" s="3286" t="s">
        <v>4427</v>
      </c>
      <c r="AF144" s="3286"/>
      <c r="AG144" s="3323"/>
      <c r="AH144" s="3255">
        <v>43802</v>
      </c>
      <c r="AI144" s="3255">
        <v>43802</v>
      </c>
      <c r="AJ144" s="3255">
        <v>43836</v>
      </c>
      <c r="AK144" s="3287">
        <f t="shared" si="37"/>
        <v>2020</v>
      </c>
      <c r="AL144" s="3288">
        <f t="shared" si="38"/>
        <v>1</v>
      </c>
      <c r="AM144" s="3226" t="s">
        <v>4701</v>
      </c>
      <c r="AN144" s="3289">
        <v>600000</v>
      </c>
      <c r="AO144" s="3300" t="s">
        <v>4419</v>
      </c>
      <c r="AP144" s="3300" t="s">
        <v>4427</v>
      </c>
      <c r="AQ144" s="3300"/>
      <c r="AR144" s="3292">
        <v>43802</v>
      </c>
      <c r="AS144" s="3292">
        <v>43802</v>
      </c>
      <c r="AT144" s="3292">
        <v>43908</v>
      </c>
      <c r="AU144" s="3293">
        <f t="shared" si="40"/>
        <v>2020</v>
      </c>
      <c r="AV144" s="3293">
        <f t="shared" si="41"/>
        <v>3</v>
      </c>
      <c r="AW144" s="3294" t="s">
        <v>4657</v>
      </c>
      <c r="AX144" s="3236">
        <v>300000</v>
      </c>
      <c r="AY144" s="3244"/>
      <c r="AZ144" s="3295" t="s">
        <v>4441</v>
      </c>
      <c r="BA144" s="3296" t="str">
        <f t="shared" si="39"/>
        <v>签约</v>
      </c>
      <c r="BB144" s="3226"/>
      <c r="BC144" s="3226"/>
      <c r="BD144" s="3292">
        <f>VLOOKUP(B144,[3]Sheet1!A$1:B$65536,2,0)</f>
        <v>43801</v>
      </c>
      <c r="BE144" s="3297" t="s">
        <v>4449</v>
      </c>
      <c r="BG144" s="3297">
        <f>IFERROR(VLOOKUP(B144,[3]Sheet2!A$1:B$65536,2,FALSE),0)</f>
        <v>0</v>
      </c>
      <c r="BI144" s="3297">
        <f>IFERROR(VLOOKUP(B144,[3]Sheet2!A$1:C$65536,2,FALSE),0)</f>
        <v>0</v>
      </c>
      <c r="BJ144" s="3297">
        <f>IFERROR(VLOOKUP(B144,[3]Sheet2!A$1:C$65536,3,FALSE),0)</f>
        <v>0</v>
      </c>
    </row>
    <row r="145" spans="1:62" s="3261" customFormat="1" ht="20.25" customHeight="1">
      <c r="A145" s="3226">
        <v>143</v>
      </c>
      <c r="B145" s="3250" t="s">
        <v>4730</v>
      </c>
      <c r="C145" s="3227" t="s">
        <v>3333</v>
      </c>
      <c r="D145" s="3252" t="s">
        <v>4731</v>
      </c>
      <c r="E145" s="3229">
        <v>43773</v>
      </c>
      <c r="F145" s="3230">
        <v>20000</v>
      </c>
      <c r="G145" s="3231">
        <v>128.81</v>
      </c>
      <c r="H145" s="3231" t="str">
        <f t="shared" si="28"/>
        <v>普通住宅</v>
      </c>
      <c r="I145" s="3230">
        <v>1945655</v>
      </c>
      <c r="J145" s="3229">
        <v>43779</v>
      </c>
      <c r="K145" s="3284">
        <f t="shared" si="29"/>
        <v>11</v>
      </c>
      <c r="L145" s="3230">
        <v>1920655</v>
      </c>
      <c r="M145" s="3235">
        <f t="shared" si="30"/>
        <v>14910.760034158839</v>
      </c>
      <c r="N145" s="3236">
        <v>560655</v>
      </c>
      <c r="O145" s="3244">
        <f t="shared" si="31"/>
        <v>1920655</v>
      </c>
      <c r="P145" s="3244"/>
      <c r="Q145" s="3244"/>
      <c r="R145" s="3244">
        <f t="shared" si="32"/>
        <v>580655</v>
      </c>
      <c r="S145" s="3244">
        <f t="shared" si="33"/>
        <v>580655</v>
      </c>
      <c r="T145" s="3236"/>
      <c r="U145" s="3236"/>
      <c r="V145" s="3236">
        <v>1340000</v>
      </c>
      <c r="W145" s="3236"/>
      <c r="X145" s="3244">
        <f t="shared" si="34"/>
        <v>1920655</v>
      </c>
      <c r="Y145" s="3244">
        <f t="shared" si="35"/>
        <v>0</v>
      </c>
      <c r="Z145" s="3285">
        <f t="shared" si="36"/>
        <v>1</v>
      </c>
      <c r="AA145" s="3226" t="s">
        <v>4416</v>
      </c>
      <c r="AB145" s="3255" t="s">
        <v>4417</v>
      </c>
      <c r="AC145" s="3226" t="s">
        <v>4418</v>
      </c>
      <c r="AD145" s="3286" t="s">
        <v>4419</v>
      </c>
      <c r="AE145" s="3286" t="s">
        <v>4427</v>
      </c>
      <c r="AF145" s="3286"/>
      <c r="AG145" s="3323"/>
      <c r="AH145" s="3255">
        <v>43779</v>
      </c>
      <c r="AI145" s="3255">
        <v>43779</v>
      </c>
      <c r="AJ145" s="3255">
        <v>43832</v>
      </c>
      <c r="AK145" s="3287">
        <f t="shared" si="37"/>
        <v>2020</v>
      </c>
      <c r="AL145" s="3288">
        <f t="shared" si="38"/>
        <v>1</v>
      </c>
      <c r="AM145" s="3226" t="s">
        <v>4716</v>
      </c>
      <c r="AN145" s="3289">
        <v>1340000</v>
      </c>
      <c r="AO145" s="3300"/>
      <c r="AP145" s="3300"/>
      <c r="AQ145" s="3300"/>
      <c r="AR145" s="3292"/>
      <c r="AS145" s="3292"/>
      <c r="AT145" s="3292"/>
      <c r="AU145" s="3293" t="str">
        <f t="shared" si="40"/>
        <v/>
      </c>
      <c r="AV145" s="3293" t="str">
        <f t="shared" si="41"/>
        <v/>
      </c>
      <c r="AW145" s="3294"/>
      <c r="AX145" s="3236"/>
      <c r="AY145" s="3244"/>
      <c r="AZ145" s="3295" t="s">
        <v>4429</v>
      </c>
      <c r="BA145" s="3296" t="str">
        <f t="shared" si="39"/>
        <v>签约</v>
      </c>
      <c r="BB145" s="3226" t="s">
        <v>4423</v>
      </c>
      <c r="BC145" s="3226"/>
      <c r="BD145" s="3292">
        <f>VLOOKUP(B145,[3]Sheet1!A$1:B$65536,2,0)</f>
        <v>43780</v>
      </c>
      <c r="BE145" s="3297" t="s">
        <v>4449</v>
      </c>
      <c r="BG145" s="3297">
        <f>IFERROR(VLOOKUP(B145,[3]Sheet2!A$1:B$65536,2,FALSE),0)</f>
        <v>0</v>
      </c>
      <c r="BI145" s="3297">
        <f>IFERROR(VLOOKUP(B145,[3]Sheet2!A$1:C$65536,2,FALSE),0)</f>
        <v>0</v>
      </c>
      <c r="BJ145" s="3297">
        <f>IFERROR(VLOOKUP(B145,[3]Sheet2!A$1:C$65536,3,FALSE),0)</f>
        <v>0</v>
      </c>
    </row>
    <row r="146" spans="1:62" s="3261" customFormat="1" ht="20.25" customHeight="1">
      <c r="A146" s="3226">
        <v>144</v>
      </c>
      <c r="B146" s="3250" t="s">
        <v>4732</v>
      </c>
      <c r="C146" s="3227" t="s">
        <v>3333</v>
      </c>
      <c r="D146" s="3252" t="s">
        <v>4733</v>
      </c>
      <c r="E146" s="3229">
        <v>43766</v>
      </c>
      <c r="F146" s="3230">
        <v>20000</v>
      </c>
      <c r="G146" s="3231">
        <v>128.81</v>
      </c>
      <c r="H146" s="3231" t="str">
        <f t="shared" si="28"/>
        <v>普通住宅</v>
      </c>
      <c r="I146" s="3230">
        <v>1952295</v>
      </c>
      <c r="J146" s="3229">
        <v>43769</v>
      </c>
      <c r="K146" s="3284">
        <f t="shared" si="29"/>
        <v>10</v>
      </c>
      <c r="L146" s="3230">
        <v>1927295</v>
      </c>
      <c r="M146" s="3235">
        <f t="shared" si="30"/>
        <v>14962.30882695443</v>
      </c>
      <c r="N146" s="3236">
        <v>1407295</v>
      </c>
      <c r="O146" s="3244">
        <f t="shared" si="31"/>
        <v>1927295</v>
      </c>
      <c r="P146" s="3244"/>
      <c r="Q146" s="3244"/>
      <c r="R146" s="3244">
        <f t="shared" si="32"/>
        <v>1427295</v>
      </c>
      <c r="S146" s="3244">
        <f t="shared" si="33"/>
        <v>1427295</v>
      </c>
      <c r="T146" s="3236"/>
      <c r="U146" s="3236"/>
      <c r="V146" s="3236">
        <v>500000</v>
      </c>
      <c r="W146" s="3236"/>
      <c r="X146" s="3244">
        <f t="shared" si="34"/>
        <v>1927295</v>
      </c>
      <c r="Y146" s="3244">
        <f t="shared" si="35"/>
        <v>0</v>
      </c>
      <c r="Z146" s="3285">
        <f t="shared" si="36"/>
        <v>1</v>
      </c>
      <c r="AA146" s="3226" t="s">
        <v>4416</v>
      </c>
      <c r="AB146" s="3226" t="s">
        <v>4417</v>
      </c>
      <c r="AC146" s="3226" t="s">
        <v>4418</v>
      </c>
      <c r="AD146" s="3286" t="s">
        <v>4539</v>
      </c>
      <c r="AE146" s="3286" t="s">
        <v>4427</v>
      </c>
      <c r="AF146" s="3286"/>
      <c r="AG146" s="3323"/>
      <c r="AH146" s="3255">
        <v>43770</v>
      </c>
      <c r="AI146" s="3255">
        <v>43780</v>
      </c>
      <c r="AJ146" s="3255">
        <v>43817</v>
      </c>
      <c r="AK146" s="3287">
        <f t="shared" si="37"/>
        <v>2019</v>
      </c>
      <c r="AL146" s="3288">
        <f t="shared" si="38"/>
        <v>12</v>
      </c>
      <c r="AM146" s="3226" t="s">
        <v>4716</v>
      </c>
      <c r="AN146" s="3289">
        <v>500000</v>
      </c>
      <c r="AO146" s="3300"/>
      <c r="AP146" s="3300"/>
      <c r="AQ146" s="3300"/>
      <c r="AR146" s="3292"/>
      <c r="AS146" s="3292"/>
      <c r="AT146" s="3292"/>
      <c r="AU146" s="3293" t="str">
        <f t="shared" si="40"/>
        <v/>
      </c>
      <c r="AV146" s="3293" t="str">
        <f t="shared" si="41"/>
        <v/>
      </c>
      <c r="AW146" s="3294"/>
      <c r="AX146" s="3236"/>
      <c r="AY146" s="3244"/>
      <c r="AZ146" s="3295" t="s">
        <v>4437</v>
      </c>
      <c r="BA146" s="3296" t="str">
        <f t="shared" si="39"/>
        <v>签约</v>
      </c>
      <c r="BB146" s="3226"/>
      <c r="BC146" s="3226"/>
      <c r="BD146" s="3292">
        <f>VLOOKUP(B146,[3]Sheet1!A$1:B$65536,2,0)</f>
        <v>43792</v>
      </c>
      <c r="BE146" s="3297" t="s">
        <v>4449</v>
      </c>
      <c r="BG146" s="3297">
        <f>IFERROR(VLOOKUP(B146,[3]Sheet2!A$1:B$65536,2,FALSE),0)</f>
        <v>0</v>
      </c>
      <c r="BI146" s="3297">
        <f>IFERROR(VLOOKUP(B146,[3]Sheet2!A$1:C$65536,2,FALSE),0)</f>
        <v>0</v>
      </c>
      <c r="BJ146" s="3297">
        <f>IFERROR(VLOOKUP(B146,[3]Sheet2!A$1:C$65536,3,FALSE),0)</f>
        <v>0</v>
      </c>
    </row>
    <row r="147" spans="1:62" s="3261" customFormat="1" ht="20.25" customHeight="1">
      <c r="A147" s="3226">
        <v>145</v>
      </c>
      <c r="B147" s="3250" t="s">
        <v>4734</v>
      </c>
      <c r="C147" s="3227" t="s">
        <v>3333</v>
      </c>
      <c r="D147" s="3253" t="s">
        <v>3613</v>
      </c>
      <c r="E147" s="3229">
        <v>43919</v>
      </c>
      <c r="F147" s="3230">
        <v>50000</v>
      </c>
      <c r="G147" s="3231">
        <v>128.77000000000001</v>
      </c>
      <c r="H147" s="3231" t="str">
        <f t="shared" si="28"/>
        <v>普通住宅</v>
      </c>
      <c r="I147" s="3230">
        <v>1878681</v>
      </c>
      <c r="J147" s="3229">
        <v>43939</v>
      </c>
      <c r="K147" s="3284">
        <f t="shared" si="29"/>
        <v>4</v>
      </c>
      <c r="L147" s="3230">
        <v>1878681</v>
      </c>
      <c r="M147" s="3235">
        <f t="shared" si="30"/>
        <v>14589.430768036033</v>
      </c>
      <c r="N147" s="3236">
        <v>1828681</v>
      </c>
      <c r="O147" s="3244">
        <f t="shared" si="31"/>
        <v>1878681</v>
      </c>
      <c r="P147" s="3244"/>
      <c r="Q147" s="3244"/>
      <c r="R147" s="3244">
        <f t="shared" si="32"/>
        <v>1878681</v>
      </c>
      <c r="S147" s="3244">
        <f t="shared" si="33"/>
        <v>1878681</v>
      </c>
      <c r="T147" s="3236"/>
      <c r="U147" s="3236"/>
      <c r="V147" s="3236"/>
      <c r="W147" s="3236"/>
      <c r="X147" s="3244">
        <f t="shared" si="34"/>
        <v>1878681</v>
      </c>
      <c r="Y147" s="3244">
        <f t="shared" si="35"/>
        <v>0</v>
      </c>
      <c r="Z147" s="3285">
        <f t="shared" si="36"/>
        <v>1</v>
      </c>
      <c r="AA147" s="3226" t="s">
        <v>4416</v>
      </c>
      <c r="AB147" s="3255" t="s">
        <v>4676</v>
      </c>
      <c r="AC147" s="3226"/>
      <c r="AD147" s="3286"/>
      <c r="AE147" s="3286"/>
      <c r="AF147" s="3286"/>
      <c r="AG147" s="3323"/>
      <c r="AH147" s="3255"/>
      <c r="AI147" s="3255"/>
      <c r="AJ147" s="3255"/>
      <c r="AK147" s="3287" t="str">
        <f t="shared" si="37"/>
        <v/>
      </c>
      <c r="AL147" s="3288" t="str">
        <f t="shared" si="38"/>
        <v/>
      </c>
      <c r="AM147" s="3226"/>
      <c r="AN147" s="3289"/>
      <c r="AO147" s="3300"/>
      <c r="AP147" s="3300"/>
      <c r="AQ147" s="3300"/>
      <c r="AR147" s="3292"/>
      <c r="AS147" s="3292"/>
      <c r="AT147" s="3292"/>
      <c r="AU147" s="3293" t="str">
        <f t="shared" si="40"/>
        <v/>
      </c>
      <c r="AV147" s="3293" t="str">
        <f t="shared" si="41"/>
        <v/>
      </c>
      <c r="AW147" s="3294"/>
      <c r="AX147" s="3236"/>
      <c r="AY147" s="3244"/>
      <c r="AZ147" s="3295" t="s">
        <v>4735</v>
      </c>
      <c r="BA147" s="3296" t="str">
        <f t="shared" si="39"/>
        <v>签约</v>
      </c>
      <c r="BB147" s="3226"/>
      <c r="BC147" s="3226"/>
      <c r="BD147" s="3292"/>
      <c r="BE147" s="3297" t="s">
        <v>4367</v>
      </c>
      <c r="BG147" s="3297">
        <f>IFERROR(VLOOKUP(B147,[3]Sheet2!A$1:B$65536,2,FALSE),0)</f>
        <v>0</v>
      </c>
      <c r="BI147" s="3297">
        <f>IFERROR(VLOOKUP(B147,[3]Sheet2!A$1:C$65536,2,FALSE),0)</f>
        <v>0</v>
      </c>
      <c r="BJ147" s="3297">
        <f>IFERROR(VLOOKUP(B147,[3]Sheet2!A$1:C$65536,3,FALSE),0)</f>
        <v>0</v>
      </c>
    </row>
    <row r="148" spans="1:62" s="3261" customFormat="1" ht="20.25" customHeight="1">
      <c r="A148" s="3226">
        <v>146</v>
      </c>
      <c r="B148" s="3250" t="s">
        <v>4736</v>
      </c>
      <c r="C148" s="3227" t="s">
        <v>3333</v>
      </c>
      <c r="D148" s="3252" t="s">
        <v>4737</v>
      </c>
      <c r="E148" s="3229">
        <v>43758</v>
      </c>
      <c r="F148" s="3230">
        <v>20000</v>
      </c>
      <c r="G148" s="3231">
        <v>126.31</v>
      </c>
      <c r="H148" s="3231" t="str">
        <f t="shared" si="28"/>
        <v>普通住宅</v>
      </c>
      <c r="I148" s="3230">
        <v>1649800</v>
      </c>
      <c r="J148" s="3229">
        <v>43758</v>
      </c>
      <c r="K148" s="3284">
        <f t="shared" si="29"/>
        <v>10</v>
      </c>
      <c r="L148" s="3230">
        <v>1624800</v>
      </c>
      <c r="M148" s="3235">
        <f t="shared" si="30"/>
        <v>12863.589581189137</v>
      </c>
      <c r="N148" s="3236">
        <v>474800</v>
      </c>
      <c r="O148" s="3244">
        <f t="shared" si="31"/>
        <v>1624800</v>
      </c>
      <c r="P148" s="3244"/>
      <c r="Q148" s="3244"/>
      <c r="R148" s="3244">
        <f t="shared" si="32"/>
        <v>494800</v>
      </c>
      <c r="S148" s="3244">
        <f t="shared" si="33"/>
        <v>494800</v>
      </c>
      <c r="T148" s="3236"/>
      <c r="U148" s="3236"/>
      <c r="V148" s="3236">
        <v>1130000</v>
      </c>
      <c r="W148" s="3236"/>
      <c r="X148" s="3244">
        <f t="shared" si="34"/>
        <v>1624800</v>
      </c>
      <c r="Y148" s="3244">
        <f t="shared" si="35"/>
        <v>0</v>
      </c>
      <c r="Z148" s="3285">
        <f t="shared" si="36"/>
        <v>1</v>
      </c>
      <c r="AA148" s="3226" t="s">
        <v>4416</v>
      </c>
      <c r="AB148" s="3226" t="s">
        <v>4417</v>
      </c>
      <c r="AC148" s="3226" t="s">
        <v>4418</v>
      </c>
      <c r="AD148" s="3286" t="s">
        <v>4419</v>
      </c>
      <c r="AE148" s="3286" t="s">
        <v>4427</v>
      </c>
      <c r="AF148" s="3286"/>
      <c r="AG148" s="3323"/>
      <c r="AH148" s="3255">
        <v>43759</v>
      </c>
      <c r="AI148" s="3255">
        <v>43768</v>
      </c>
      <c r="AJ148" s="3255">
        <v>43789</v>
      </c>
      <c r="AK148" s="3287">
        <f t="shared" si="37"/>
        <v>2019</v>
      </c>
      <c r="AL148" s="3288">
        <f t="shared" si="38"/>
        <v>11</v>
      </c>
      <c r="AM148" s="3226" t="s">
        <v>4474</v>
      </c>
      <c r="AN148" s="3289">
        <v>1130000</v>
      </c>
      <c r="AO148" s="3300"/>
      <c r="AP148" s="3300"/>
      <c r="AQ148" s="3300"/>
      <c r="AR148" s="3292"/>
      <c r="AS148" s="3292"/>
      <c r="AT148" s="3292"/>
      <c r="AU148" s="3293" t="str">
        <f t="shared" si="40"/>
        <v/>
      </c>
      <c r="AV148" s="3293" t="str">
        <f t="shared" si="41"/>
        <v/>
      </c>
      <c r="AW148" s="3294"/>
      <c r="AX148" s="3236"/>
      <c r="AY148" s="3244"/>
      <c r="AZ148" s="3295" t="s">
        <v>4445</v>
      </c>
      <c r="BA148" s="3296" t="str">
        <f t="shared" si="39"/>
        <v>签约</v>
      </c>
      <c r="BB148" s="3226" t="s">
        <v>4423</v>
      </c>
      <c r="BC148" s="3226" t="s">
        <v>4430</v>
      </c>
      <c r="BD148" s="3292">
        <f>VLOOKUP(B148,[3]Sheet1!A$1:B$65536,2,0)</f>
        <v>43789</v>
      </c>
      <c r="BE148" s="3297" t="s">
        <v>4367</v>
      </c>
      <c r="BG148" s="3297">
        <f>IFERROR(VLOOKUP(B148,[3]Sheet2!A$1:B$65536,2,FALSE),0)</f>
        <v>0</v>
      </c>
      <c r="BI148" s="3297">
        <f>IFERROR(VLOOKUP(B148,[3]Sheet2!A$1:C$65536,2,FALSE),0)</f>
        <v>0</v>
      </c>
      <c r="BJ148" s="3297">
        <f>IFERROR(VLOOKUP(B148,[3]Sheet2!A$1:C$65536,3,FALSE),0)</f>
        <v>0</v>
      </c>
    </row>
    <row r="149" spans="1:62" s="3261" customFormat="1" ht="20.25" customHeight="1">
      <c r="A149" s="3226">
        <v>147</v>
      </c>
      <c r="B149" s="3250" t="s">
        <v>4738</v>
      </c>
      <c r="C149" s="3227" t="s">
        <v>3333</v>
      </c>
      <c r="D149" s="3251" t="s">
        <v>3617</v>
      </c>
      <c r="E149" s="3229">
        <v>43803</v>
      </c>
      <c r="F149" s="3230">
        <v>50000</v>
      </c>
      <c r="G149" s="3231">
        <v>128.81</v>
      </c>
      <c r="H149" s="3231" t="str">
        <f t="shared" si="28"/>
        <v>普通住宅</v>
      </c>
      <c r="I149" s="3230">
        <v>1788280</v>
      </c>
      <c r="J149" s="3229">
        <v>43810</v>
      </c>
      <c r="K149" s="3284">
        <f t="shared" si="29"/>
        <v>12</v>
      </c>
      <c r="L149" s="3230">
        <v>1778280</v>
      </c>
      <c r="M149" s="3235">
        <f t="shared" si="30"/>
        <v>13805.449887431099</v>
      </c>
      <c r="N149" s="3236">
        <v>528280</v>
      </c>
      <c r="O149" s="3244">
        <f t="shared" si="31"/>
        <v>1778280</v>
      </c>
      <c r="P149" s="3244"/>
      <c r="Q149" s="3244"/>
      <c r="R149" s="3244">
        <f t="shared" si="32"/>
        <v>578280</v>
      </c>
      <c r="S149" s="3244">
        <f t="shared" si="33"/>
        <v>578280</v>
      </c>
      <c r="T149" s="3236"/>
      <c r="U149" s="3236"/>
      <c r="V149" s="3236">
        <v>600000</v>
      </c>
      <c r="W149" s="3236">
        <v>600000</v>
      </c>
      <c r="X149" s="3244">
        <f t="shared" si="34"/>
        <v>1778280</v>
      </c>
      <c r="Y149" s="3244">
        <f t="shared" si="35"/>
        <v>0</v>
      </c>
      <c r="Z149" s="3285">
        <f t="shared" si="36"/>
        <v>1</v>
      </c>
      <c r="AA149" s="3226" t="s">
        <v>3319</v>
      </c>
      <c r="AB149" s="3226" t="s">
        <v>4587</v>
      </c>
      <c r="AC149" s="3226" t="s">
        <v>4452</v>
      </c>
      <c r="AD149" s="3286" t="s">
        <v>4539</v>
      </c>
      <c r="AE149" s="3286" t="s">
        <v>4427</v>
      </c>
      <c r="AF149" s="3286"/>
      <c r="AG149" s="3323"/>
      <c r="AH149" s="3255">
        <v>43810</v>
      </c>
      <c r="AI149" s="3255">
        <v>43810</v>
      </c>
      <c r="AJ149" s="3255">
        <v>43833</v>
      </c>
      <c r="AK149" s="3287">
        <f t="shared" si="37"/>
        <v>2020</v>
      </c>
      <c r="AL149" s="3288">
        <f t="shared" si="38"/>
        <v>1</v>
      </c>
      <c r="AM149" s="3226" t="s">
        <v>4739</v>
      </c>
      <c r="AN149" s="3289">
        <v>600000</v>
      </c>
      <c r="AO149" s="3300" t="s">
        <v>4419</v>
      </c>
      <c r="AP149" s="3299" t="s">
        <v>4427</v>
      </c>
      <c r="AQ149" s="3300"/>
      <c r="AR149" s="3292">
        <v>43811</v>
      </c>
      <c r="AS149" s="3292">
        <v>43811</v>
      </c>
      <c r="AT149" s="3292">
        <v>43915</v>
      </c>
      <c r="AU149" s="3293">
        <f t="shared" si="40"/>
        <v>2020</v>
      </c>
      <c r="AV149" s="3293">
        <f t="shared" si="41"/>
        <v>3</v>
      </c>
      <c r="AW149" s="3294" t="s">
        <v>4453</v>
      </c>
      <c r="AX149" s="3236">
        <v>600000</v>
      </c>
      <c r="AY149" s="3244"/>
      <c r="AZ149" s="3295" t="s">
        <v>4448</v>
      </c>
      <c r="BA149" s="3296" t="str">
        <f t="shared" si="39"/>
        <v>签约</v>
      </c>
      <c r="BB149" s="3226"/>
      <c r="BC149" s="3226"/>
      <c r="BD149" s="3292">
        <f>VLOOKUP(B149,[3]Sheet1!A$1:B$65536,2,0)</f>
        <v>43810</v>
      </c>
      <c r="BE149" s="3297" t="s">
        <v>4424</v>
      </c>
      <c r="BG149" s="3297">
        <f>IFERROR(VLOOKUP(B149,[3]Sheet2!A$1:B$65536,2,FALSE),0)</f>
        <v>0</v>
      </c>
      <c r="BI149" s="3297">
        <f>IFERROR(VLOOKUP(B149,[3]Sheet2!A$1:C$65536,2,FALSE),0)</f>
        <v>0</v>
      </c>
      <c r="BJ149" s="3297">
        <f>IFERROR(VLOOKUP(B149,[3]Sheet2!A$1:C$65536,3,FALSE),0)</f>
        <v>0</v>
      </c>
    </row>
    <row r="150" spans="1:62" s="3261" customFormat="1" ht="20.25" customHeight="1">
      <c r="A150" s="3226">
        <v>148</v>
      </c>
      <c r="B150" s="3250" t="s">
        <v>4740</v>
      </c>
      <c r="C150" s="3227" t="s">
        <v>3333</v>
      </c>
      <c r="D150" s="3254" t="s">
        <v>3619</v>
      </c>
      <c r="E150" s="3255">
        <v>43830</v>
      </c>
      <c r="F150" s="3236">
        <v>50000</v>
      </c>
      <c r="G150" s="3231">
        <v>128.81</v>
      </c>
      <c r="H150" s="3231" t="str">
        <f t="shared" si="28"/>
        <v>普通住宅</v>
      </c>
      <c r="I150" s="3230">
        <v>1841398</v>
      </c>
      <c r="J150" s="3229">
        <v>43897</v>
      </c>
      <c r="K150" s="3284">
        <f t="shared" si="29"/>
        <v>3</v>
      </c>
      <c r="L150" s="3230">
        <v>1826398</v>
      </c>
      <c r="M150" s="3235">
        <f t="shared" si="30"/>
        <v>14179.007841006132</v>
      </c>
      <c r="N150" s="3236">
        <f>350000+56398+100000</f>
        <v>506398</v>
      </c>
      <c r="O150" s="3244">
        <f t="shared" si="31"/>
        <v>1826398</v>
      </c>
      <c r="P150" s="3244"/>
      <c r="Q150" s="3244"/>
      <c r="R150" s="3244">
        <f t="shared" si="32"/>
        <v>556398</v>
      </c>
      <c r="S150" s="3244">
        <f t="shared" si="33"/>
        <v>556398</v>
      </c>
      <c r="T150" s="3236"/>
      <c r="U150" s="3236"/>
      <c r="V150" s="3236">
        <v>1270000</v>
      </c>
      <c r="W150" s="3236"/>
      <c r="X150" s="3244">
        <f t="shared" si="34"/>
        <v>1826398</v>
      </c>
      <c r="Y150" s="3244">
        <f t="shared" si="35"/>
        <v>0</v>
      </c>
      <c r="Z150" s="3285">
        <f t="shared" si="36"/>
        <v>1</v>
      </c>
      <c r="AA150" s="3226" t="s">
        <v>3319</v>
      </c>
      <c r="AB150" s="3226" t="s">
        <v>4587</v>
      </c>
      <c r="AC150" s="3226" t="s">
        <v>4698</v>
      </c>
      <c r="AD150" s="3286" t="s">
        <v>4539</v>
      </c>
      <c r="AE150" s="3286" t="s">
        <v>4427</v>
      </c>
      <c r="AF150" s="3286"/>
      <c r="AG150" s="3323"/>
      <c r="AH150" s="3255">
        <v>43897</v>
      </c>
      <c r="AI150" s="3255">
        <v>43897</v>
      </c>
      <c r="AJ150" s="3255">
        <v>43908</v>
      </c>
      <c r="AK150" s="3287">
        <f t="shared" si="37"/>
        <v>2020</v>
      </c>
      <c r="AL150" s="3288">
        <f t="shared" si="38"/>
        <v>3</v>
      </c>
      <c r="AM150" s="3226" t="s">
        <v>4433</v>
      </c>
      <c r="AN150" s="3289">
        <v>1270000</v>
      </c>
      <c r="AO150" s="3300"/>
      <c r="AP150" s="3300"/>
      <c r="AQ150" s="3300"/>
      <c r="AR150" s="3292"/>
      <c r="AS150" s="3292"/>
      <c r="AT150" s="3292"/>
      <c r="AU150" s="3293" t="str">
        <f t="shared" si="40"/>
        <v/>
      </c>
      <c r="AV150" s="3293" t="str">
        <f t="shared" si="41"/>
        <v/>
      </c>
      <c r="AW150" s="3294"/>
      <c r="AX150" s="3236"/>
      <c r="AY150" s="3244"/>
      <c r="AZ150" s="3295" t="s">
        <v>4741</v>
      </c>
      <c r="BA150" s="3296" t="str">
        <f t="shared" si="39"/>
        <v>签约</v>
      </c>
      <c r="BB150" s="3226"/>
      <c r="BC150" s="3226"/>
      <c r="BD150" s="3292"/>
      <c r="BE150" s="3297" t="s">
        <v>4367</v>
      </c>
      <c r="BG150" s="3297">
        <f>IFERROR(VLOOKUP(B150,[3]Sheet2!A$1:B$65536,2,FALSE),0)</f>
        <v>0</v>
      </c>
      <c r="BI150" s="3297">
        <f>IFERROR(VLOOKUP(B150,[3]Sheet2!A$1:C$65536,2,FALSE),0)</f>
        <v>0</v>
      </c>
      <c r="BJ150" s="3297">
        <f>IFERROR(VLOOKUP(B150,[3]Sheet2!A$1:C$65536,3,FALSE),0)</f>
        <v>0</v>
      </c>
    </row>
    <row r="151" spans="1:62" s="3261" customFormat="1" ht="20.25" customHeight="1">
      <c r="A151" s="3226">
        <v>149</v>
      </c>
      <c r="B151" s="3250" t="s">
        <v>4742</v>
      </c>
      <c r="C151" s="3227" t="s">
        <v>3333</v>
      </c>
      <c r="D151" s="3228" t="s">
        <v>4743</v>
      </c>
      <c r="E151" s="3256">
        <v>43749</v>
      </c>
      <c r="F151" s="3230">
        <v>20000</v>
      </c>
      <c r="G151" s="3231">
        <v>128.81</v>
      </c>
      <c r="H151" s="3231" t="str">
        <f t="shared" si="28"/>
        <v>普通住宅</v>
      </c>
      <c r="I151" s="3230">
        <v>1881236</v>
      </c>
      <c r="J151" s="3229">
        <v>43753</v>
      </c>
      <c r="K151" s="3284">
        <f t="shared" si="29"/>
        <v>10</v>
      </c>
      <c r="L151" s="3230">
        <v>1856236</v>
      </c>
      <c r="M151" s="3235">
        <f t="shared" si="30"/>
        <v>14410.651346945113</v>
      </c>
      <c r="N151" s="3236">
        <v>636236</v>
      </c>
      <c r="O151" s="3244">
        <f t="shared" si="31"/>
        <v>1856236</v>
      </c>
      <c r="P151" s="3244"/>
      <c r="Q151" s="3244"/>
      <c r="R151" s="3244">
        <f t="shared" si="32"/>
        <v>656236</v>
      </c>
      <c r="S151" s="3244">
        <f t="shared" si="33"/>
        <v>656236</v>
      </c>
      <c r="T151" s="3236"/>
      <c r="U151" s="3236"/>
      <c r="V151" s="3236">
        <v>1200000</v>
      </c>
      <c r="W151" s="3236"/>
      <c r="X151" s="3244">
        <f t="shared" si="34"/>
        <v>1856236</v>
      </c>
      <c r="Y151" s="3244">
        <f t="shared" si="35"/>
        <v>0</v>
      </c>
      <c r="Z151" s="3285">
        <f t="shared" si="36"/>
        <v>1</v>
      </c>
      <c r="AA151" s="3226" t="s">
        <v>4416</v>
      </c>
      <c r="AB151" s="3226" t="s">
        <v>4417</v>
      </c>
      <c r="AC151" s="3226" t="s">
        <v>4418</v>
      </c>
      <c r="AD151" s="3286" t="s">
        <v>4419</v>
      </c>
      <c r="AE151" s="3286" t="s">
        <v>4427</v>
      </c>
      <c r="AF151" s="3286"/>
      <c r="AG151" s="3323"/>
      <c r="AH151" s="3255">
        <v>43753</v>
      </c>
      <c r="AI151" s="3255">
        <v>43760</v>
      </c>
      <c r="AJ151" s="3255">
        <v>43791</v>
      </c>
      <c r="AK151" s="3287">
        <f t="shared" si="37"/>
        <v>2019</v>
      </c>
      <c r="AL151" s="3288">
        <f t="shared" si="38"/>
        <v>11</v>
      </c>
      <c r="AM151" s="3226" t="s">
        <v>4428</v>
      </c>
      <c r="AN151" s="3289">
        <v>1200000</v>
      </c>
      <c r="AO151" s="3300"/>
      <c r="AP151" s="3300"/>
      <c r="AQ151" s="3300"/>
      <c r="AR151" s="3292"/>
      <c r="AS151" s="3292"/>
      <c r="AT151" s="3292"/>
      <c r="AU151" s="3293" t="str">
        <f t="shared" si="40"/>
        <v/>
      </c>
      <c r="AV151" s="3293" t="str">
        <f t="shared" si="41"/>
        <v/>
      </c>
      <c r="AW151" s="3294"/>
      <c r="AX151" s="3236"/>
      <c r="AY151" s="3244"/>
      <c r="AZ151" s="3295" t="s">
        <v>4437</v>
      </c>
      <c r="BA151" s="3296" t="str">
        <f t="shared" si="39"/>
        <v>签约</v>
      </c>
      <c r="BB151" s="3226" t="s">
        <v>4423</v>
      </c>
      <c r="BC151" s="3226" t="s">
        <v>4430</v>
      </c>
      <c r="BD151" s="3292">
        <f>VLOOKUP(B151,[3]Sheet1!A$1:B$65536,2,0)</f>
        <v>43754</v>
      </c>
      <c r="BE151" s="3297" t="s">
        <v>4367</v>
      </c>
      <c r="BG151" s="3297">
        <f>IFERROR(VLOOKUP(B151,[3]Sheet2!A$1:B$65536,2,FALSE),0)</f>
        <v>0</v>
      </c>
      <c r="BI151" s="3297">
        <f>IFERROR(VLOOKUP(B151,[3]Sheet2!A$1:C$65536,2,FALSE),0)</f>
        <v>0</v>
      </c>
      <c r="BJ151" s="3297">
        <f>IFERROR(VLOOKUP(B151,[3]Sheet2!A$1:C$65536,3,FALSE),0)</f>
        <v>0</v>
      </c>
    </row>
    <row r="152" spans="1:62" s="3261" customFormat="1" ht="20.25" customHeight="1">
      <c r="A152" s="3226">
        <v>150</v>
      </c>
      <c r="B152" s="3250" t="s">
        <v>4744</v>
      </c>
      <c r="C152" s="3227" t="s">
        <v>3333</v>
      </c>
      <c r="D152" s="3252" t="s">
        <v>4745</v>
      </c>
      <c r="E152" s="3229">
        <v>43750</v>
      </c>
      <c r="F152" s="3230">
        <v>20000</v>
      </c>
      <c r="G152" s="3231">
        <v>128.81</v>
      </c>
      <c r="H152" s="3231" t="str">
        <f t="shared" si="28"/>
        <v>普通住宅</v>
      </c>
      <c r="I152" s="3230">
        <v>1914434</v>
      </c>
      <c r="J152" s="3229">
        <v>43762</v>
      </c>
      <c r="K152" s="3284">
        <f t="shared" si="29"/>
        <v>10</v>
      </c>
      <c r="L152" s="3230">
        <v>1889434</v>
      </c>
      <c r="M152" s="3235">
        <f t="shared" si="30"/>
        <v>14668.379784178247</v>
      </c>
      <c r="N152" s="3236">
        <v>569434</v>
      </c>
      <c r="O152" s="3244">
        <f t="shared" si="31"/>
        <v>1889434</v>
      </c>
      <c r="P152" s="3244"/>
      <c r="Q152" s="3244"/>
      <c r="R152" s="3244">
        <f t="shared" si="32"/>
        <v>589434</v>
      </c>
      <c r="S152" s="3244">
        <f t="shared" si="33"/>
        <v>589434</v>
      </c>
      <c r="T152" s="3236"/>
      <c r="U152" s="3236"/>
      <c r="V152" s="3236">
        <v>1300000</v>
      </c>
      <c r="W152" s="3236"/>
      <c r="X152" s="3244">
        <f t="shared" si="34"/>
        <v>1889434</v>
      </c>
      <c r="Y152" s="3244">
        <f t="shared" si="35"/>
        <v>0</v>
      </c>
      <c r="Z152" s="3285">
        <f t="shared" si="36"/>
        <v>1</v>
      </c>
      <c r="AA152" s="3226" t="s">
        <v>4416</v>
      </c>
      <c r="AB152" s="3226" t="s">
        <v>4417</v>
      </c>
      <c r="AC152" s="3226" t="s">
        <v>4418</v>
      </c>
      <c r="AD152" s="3286" t="s">
        <v>4419</v>
      </c>
      <c r="AE152" s="3286" t="s">
        <v>4427</v>
      </c>
      <c r="AF152" s="3286"/>
      <c r="AG152" s="3323"/>
      <c r="AH152" s="3255">
        <v>43768</v>
      </c>
      <c r="AI152" s="3255">
        <v>43768</v>
      </c>
      <c r="AJ152" s="3255">
        <v>43789</v>
      </c>
      <c r="AK152" s="3287">
        <f t="shared" si="37"/>
        <v>2019</v>
      </c>
      <c r="AL152" s="3288">
        <f t="shared" si="38"/>
        <v>11</v>
      </c>
      <c r="AM152" s="3226" t="s">
        <v>4716</v>
      </c>
      <c r="AN152" s="3289">
        <v>1300000</v>
      </c>
      <c r="AO152" s="3300"/>
      <c r="AP152" s="3300"/>
      <c r="AQ152" s="3300"/>
      <c r="AR152" s="3292"/>
      <c r="AS152" s="3292"/>
      <c r="AT152" s="3292"/>
      <c r="AU152" s="3293" t="str">
        <f t="shared" si="40"/>
        <v/>
      </c>
      <c r="AV152" s="3293" t="str">
        <f t="shared" si="41"/>
        <v/>
      </c>
      <c r="AW152" s="3294"/>
      <c r="AX152" s="3236"/>
      <c r="AY152" s="3244"/>
      <c r="AZ152" s="3295" t="s">
        <v>4429</v>
      </c>
      <c r="BA152" s="3296" t="str">
        <f t="shared" si="39"/>
        <v>签约</v>
      </c>
      <c r="BB152" s="3226" t="s">
        <v>4423</v>
      </c>
      <c r="BC152" s="3226" t="s">
        <v>4430</v>
      </c>
      <c r="BD152" s="3292">
        <f>VLOOKUP(B152,[3]Sheet1!A$1:B$65536,2,0)</f>
        <v>43763</v>
      </c>
      <c r="BE152" s="3297" t="s">
        <v>4367</v>
      </c>
      <c r="BG152" s="3297">
        <f>IFERROR(VLOOKUP(B152,[3]Sheet2!A$1:B$65536,2,FALSE),0)</f>
        <v>0</v>
      </c>
      <c r="BI152" s="3297">
        <f>IFERROR(VLOOKUP(B152,[3]Sheet2!A$1:C$65536,2,FALSE),0)</f>
        <v>0</v>
      </c>
      <c r="BJ152" s="3297">
        <f>IFERROR(VLOOKUP(B152,[3]Sheet2!A$1:C$65536,3,FALSE),0)</f>
        <v>0</v>
      </c>
    </row>
    <row r="153" spans="1:62" s="3261" customFormat="1" ht="20.25" customHeight="1">
      <c r="A153" s="3226">
        <v>151</v>
      </c>
      <c r="B153" s="3250" t="s">
        <v>4746</v>
      </c>
      <c r="C153" s="3227" t="s">
        <v>3333</v>
      </c>
      <c r="D153" s="3252" t="s">
        <v>4747</v>
      </c>
      <c r="E153" s="3229">
        <v>43749</v>
      </c>
      <c r="F153" s="3230">
        <v>20000</v>
      </c>
      <c r="G153" s="3231">
        <v>128.81</v>
      </c>
      <c r="H153" s="3231" t="str">
        <f t="shared" si="28"/>
        <v>普通住宅</v>
      </c>
      <c r="I153" s="3230">
        <v>1921074</v>
      </c>
      <c r="J153" s="3229">
        <v>43754</v>
      </c>
      <c r="K153" s="3284">
        <f t="shared" si="29"/>
        <v>10</v>
      </c>
      <c r="L153" s="3230">
        <v>1886074</v>
      </c>
      <c r="M153" s="3235">
        <f t="shared" si="30"/>
        <v>14642.294852884093</v>
      </c>
      <c r="N153" s="3236">
        <f>546074+1320000</f>
        <v>1866074</v>
      </c>
      <c r="O153" s="3244">
        <f t="shared" si="31"/>
        <v>1886074</v>
      </c>
      <c r="P153" s="3244"/>
      <c r="Q153" s="3244"/>
      <c r="R153" s="3244">
        <f t="shared" si="32"/>
        <v>1886074</v>
      </c>
      <c r="S153" s="3244">
        <f t="shared" si="33"/>
        <v>1886074</v>
      </c>
      <c r="T153" s="3236"/>
      <c r="U153" s="3236"/>
      <c r="V153" s="3236"/>
      <c r="W153" s="3236"/>
      <c r="X153" s="3244">
        <f t="shared" si="34"/>
        <v>1886074</v>
      </c>
      <c r="Y153" s="3244">
        <f t="shared" si="35"/>
        <v>0</v>
      </c>
      <c r="Z153" s="3285">
        <f t="shared" si="36"/>
        <v>1</v>
      </c>
      <c r="AA153" s="3226" t="s">
        <v>4416</v>
      </c>
      <c r="AB153" s="3255" t="s">
        <v>4444</v>
      </c>
      <c r="AC153" s="3226"/>
      <c r="AD153" s="3286"/>
      <c r="AE153" s="3286"/>
      <c r="AF153" s="3286"/>
      <c r="AG153" s="3323"/>
      <c r="AH153" s="3255"/>
      <c r="AI153" s="3255"/>
      <c r="AJ153" s="3255"/>
      <c r="AK153" s="3287" t="str">
        <f t="shared" si="37"/>
        <v/>
      </c>
      <c r="AL153" s="3288" t="str">
        <f t="shared" si="38"/>
        <v/>
      </c>
      <c r="AM153" s="3226"/>
      <c r="AN153" s="3289"/>
      <c r="AO153" s="3300"/>
      <c r="AP153" s="3300"/>
      <c r="AQ153" s="3300"/>
      <c r="AR153" s="3292"/>
      <c r="AS153" s="3292"/>
      <c r="AT153" s="3292"/>
      <c r="AU153" s="3293" t="str">
        <f t="shared" si="40"/>
        <v/>
      </c>
      <c r="AV153" s="3293" t="str">
        <f t="shared" si="41"/>
        <v/>
      </c>
      <c r="AW153" s="3294"/>
      <c r="AX153" s="3236"/>
      <c r="AY153" s="3244"/>
      <c r="AZ153" s="3295" t="s">
        <v>4464</v>
      </c>
      <c r="BA153" s="3296" t="str">
        <f t="shared" si="39"/>
        <v>签约</v>
      </c>
      <c r="BB153" s="3226" t="s">
        <v>4455</v>
      </c>
      <c r="BC153" s="3226"/>
      <c r="BD153" s="3292">
        <f>VLOOKUP(B153,[3]Sheet1!A$1:B$65536,2,0)</f>
        <v>43789</v>
      </c>
      <c r="BE153" s="3297" t="s">
        <v>4465</v>
      </c>
      <c r="BG153" s="3297">
        <f>IFERROR(VLOOKUP(B153,[3]Sheet2!A$1:B$65536,2,FALSE),0)</f>
        <v>0</v>
      </c>
      <c r="BI153" s="3297">
        <f>IFERROR(VLOOKUP(B153,[3]Sheet2!A$1:C$65536,2,FALSE),0)</f>
        <v>0</v>
      </c>
      <c r="BJ153" s="3297">
        <f>IFERROR(VLOOKUP(B153,[3]Sheet2!A$1:C$65536,3,FALSE),0)</f>
        <v>0</v>
      </c>
    </row>
    <row r="154" spans="1:62" s="3261" customFormat="1" ht="20.25" customHeight="1">
      <c r="A154" s="3226">
        <v>152</v>
      </c>
      <c r="B154" s="3250" t="s">
        <v>4748</v>
      </c>
      <c r="C154" s="3227" t="s">
        <v>3333</v>
      </c>
      <c r="D154" s="3252" t="s">
        <v>4749</v>
      </c>
      <c r="E154" s="3229">
        <v>43763</v>
      </c>
      <c r="F154" s="3230">
        <v>20000</v>
      </c>
      <c r="G154" s="3231">
        <v>128.81</v>
      </c>
      <c r="H154" s="3231" t="str">
        <f t="shared" si="28"/>
        <v>普通住宅</v>
      </c>
      <c r="I154" s="3230">
        <v>1927714</v>
      </c>
      <c r="J154" s="3229">
        <v>43764</v>
      </c>
      <c r="K154" s="3284">
        <f t="shared" si="29"/>
        <v>10</v>
      </c>
      <c r="L154" s="3230">
        <v>1917714</v>
      </c>
      <c r="M154" s="3235">
        <f t="shared" si="30"/>
        <v>14887.927955904044</v>
      </c>
      <c r="N154" s="3236">
        <v>1297714</v>
      </c>
      <c r="O154" s="3244">
        <f t="shared" si="31"/>
        <v>1917714</v>
      </c>
      <c r="P154" s="3244"/>
      <c r="Q154" s="3244"/>
      <c r="R154" s="3244">
        <f t="shared" si="32"/>
        <v>1317714</v>
      </c>
      <c r="S154" s="3244">
        <f t="shared" si="33"/>
        <v>1317714</v>
      </c>
      <c r="T154" s="3236"/>
      <c r="U154" s="3236"/>
      <c r="V154" s="3236"/>
      <c r="W154" s="3236">
        <v>600000</v>
      </c>
      <c r="X154" s="3244">
        <f t="shared" si="34"/>
        <v>1917714</v>
      </c>
      <c r="Y154" s="3244">
        <f t="shared" si="35"/>
        <v>0</v>
      </c>
      <c r="Z154" s="3285">
        <f t="shared" si="36"/>
        <v>1</v>
      </c>
      <c r="AA154" s="3226" t="s">
        <v>4416</v>
      </c>
      <c r="AB154" s="3255" t="s">
        <v>4417</v>
      </c>
      <c r="AC154" s="3226" t="s">
        <v>4545</v>
      </c>
      <c r="AD154" s="3286"/>
      <c r="AE154" s="3286"/>
      <c r="AF154" s="3286"/>
      <c r="AG154" s="3323"/>
      <c r="AH154" s="3255"/>
      <c r="AI154" s="3255"/>
      <c r="AJ154" s="3255"/>
      <c r="AK154" s="3287" t="str">
        <f t="shared" si="37"/>
        <v/>
      </c>
      <c r="AL154" s="3288" t="str">
        <f t="shared" si="38"/>
        <v/>
      </c>
      <c r="AM154" s="3226"/>
      <c r="AN154" s="3289"/>
      <c r="AO154" s="3300" t="s">
        <v>4419</v>
      </c>
      <c r="AP154" s="3300" t="s">
        <v>4427</v>
      </c>
      <c r="AQ154" s="3300"/>
      <c r="AR154" s="3292">
        <v>43770</v>
      </c>
      <c r="AS154" s="3292">
        <v>43770</v>
      </c>
      <c r="AT154" s="3292">
        <v>43908</v>
      </c>
      <c r="AU154" s="3293">
        <f t="shared" si="40"/>
        <v>2020</v>
      </c>
      <c r="AV154" s="3293">
        <f t="shared" si="41"/>
        <v>3</v>
      </c>
      <c r="AW154" s="3294" t="s">
        <v>4453</v>
      </c>
      <c r="AX154" s="3236">
        <v>600000</v>
      </c>
      <c r="AY154" s="3244"/>
      <c r="AZ154" s="3295" t="s">
        <v>4454</v>
      </c>
      <c r="BA154" s="3296" t="str">
        <f t="shared" si="39"/>
        <v>签约</v>
      </c>
      <c r="BB154" s="3226"/>
      <c r="BC154" s="3226"/>
      <c r="BD154" s="3292">
        <f>VLOOKUP(B154,[3]Sheet1!A$1:B$65536,2,0)</f>
        <v>43769</v>
      </c>
      <c r="BE154" s="3297" t="s">
        <v>4367</v>
      </c>
      <c r="BG154" s="3297">
        <f>IFERROR(VLOOKUP(B154,[3]Sheet2!A$1:B$65536,2,FALSE),0)</f>
        <v>0</v>
      </c>
      <c r="BI154" s="3297">
        <f>IFERROR(VLOOKUP(B154,[3]Sheet2!A$1:C$65536,2,FALSE),0)</f>
        <v>0</v>
      </c>
      <c r="BJ154" s="3297">
        <f>IFERROR(VLOOKUP(B154,[3]Sheet2!A$1:C$65536,3,FALSE),0)</f>
        <v>0</v>
      </c>
    </row>
    <row r="155" spans="1:62" s="3261" customFormat="1" ht="20.25" customHeight="1">
      <c r="A155" s="3226">
        <v>153</v>
      </c>
      <c r="B155" s="3250" t="s">
        <v>4750</v>
      </c>
      <c r="C155" s="3227" t="s">
        <v>3333</v>
      </c>
      <c r="D155" s="3252" t="s">
        <v>4751</v>
      </c>
      <c r="E155" s="3229">
        <v>43767</v>
      </c>
      <c r="F155" s="3230">
        <v>0</v>
      </c>
      <c r="G155" s="3231">
        <v>128.81</v>
      </c>
      <c r="H155" s="3231" t="str">
        <f t="shared" si="28"/>
        <v>普通住宅</v>
      </c>
      <c r="I155" s="3230">
        <v>1934353</v>
      </c>
      <c r="J155" s="3229">
        <v>43767</v>
      </c>
      <c r="K155" s="3284">
        <f t="shared" si="29"/>
        <v>10</v>
      </c>
      <c r="L155" s="3230">
        <v>1919353</v>
      </c>
      <c r="M155" s="3235">
        <f t="shared" si="30"/>
        <v>14900.652123282354</v>
      </c>
      <c r="N155" s="3236">
        <v>579353</v>
      </c>
      <c r="O155" s="3244">
        <f t="shared" si="31"/>
        <v>1919353</v>
      </c>
      <c r="P155" s="3244"/>
      <c r="Q155" s="3244"/>
      <c r="R155" s="3244">
        <f t="shared" si="32"/>
        <v>579353</v>
      </c>
      <c r="S155" s="3244">
        <f t="shared" si="33"/>
        <v>579353</v>
      </c>
      <c r="T155" s="3236"/>
      <c r="U155" s="3236"/>
      <c r="V155" s="3236">
        <v>1340000</v>
      </c>
      <c r="W155" s="3236"/>
      <c r="X155" s="3244">
        <f t="shared" si="34"/>
        <v>1919353</v>
      </c>
      <c r="Y155" s="3244">
        <f t="shared" si="35"/>
        <v>0</v>
      </c>
      <c r="Z155" s="3285">
        <f t="shared" si="36"/>
        <v>1</v>
      </c>
      <c r="AA155" s="3226" t="s">
        <v>4416</v>
      </c>
      <c r="AB155" s="3255" t="s">
        <v>4417</v>
      </c>
      <c r="AC155" s="3226" t="s">
        <v>4418</v>
      </c>
      <c r="AD155" s="3286" t="s">
        <v>4539</v>
      </c>
      <c r="AE155" s="3286" t="s">
        <v>4427</v>
      </c>
      <c r="AF155" s="3286"/>
      <c r="AG155" s="3323"/>
      <c r="AH155" s="3255">
        <v>43773</v>
      </c>
      <c r="AI155" s="3255">
        <v>43773</v>
      </c>
      <c r="AJ155" s="3255">
        <v>43843</v>
      </c>
      <c r="AK155" s="3287">
        <f t="shared" si="37"/>
        <v>2020</v>
      </c>
      <c r="AL155" s="3288">
        <f t="shared" si="38"/>
        <v>1</v>
      </c>
      <c r="AM155" s="3226" t="s">
        <v>4433</v>
      </c>
      <c r="AN155" s="3289">
        <v>1340000</v>
      </c>
      <c r="AO155" s="3300"/>
      <c r="AP155" s="3300"/>
      <c r="AQ155" s="3300"/>
      <c r="AR155" s="3292"/>
      <c r="AS155" s="3292"/>
      <c r="AT155" s="3292"/>
      <c r="AU155" s="3293" t="str">
        <f t="shared" si="40"/>
        <v/>
      </c>
      <c r="AV155" s="3293" t="str">
        <f t="shared" si="41"/>
        <v/>
      </c>
      <c r="AW155" s="3294"/>
      <c r="AX155" s="3236"/>
      <c r="AY155" s="3244"/>
      <c r="AZ155" s="3295" t="s">
        <v>4422</v>
      </c>
      <c r="BA155" s="3296" t="str">
        <f t="shared" si="39"/>
        <v>签约</v>
      </c>
      <c r="BB155" s="3226"/>
      <c r="BC155" s="3226"/>
      <c r="BD155" s="3292">
        <f>VLOOKUP(B155,[3]Sheet1!A$1:B$65536,2,0)</f>
        <v>43780</v>
      </c>
      <c r="BE155" s="3297" t="s">
        <v>4465</v>
      </c>
      <c r="BG155" s="3297">
        <f>IFERROR(VLOOKUP(B155,[3]Sheet2!A$1:B$65536,2,FALSE),0)</f>
        <v>0</v>
      </c>
      <c r="BI155" s="3297">
        <f>IFERROR(VLOOKUP(B155,[3]Sheet2!A$1:C$65536,2,FALSE),0)</f>
        <v>0</v>
      </c>
      <c r="BJ155" s="3297">
        <f>IFERROR(VLOOKUP(B155,[3]Sheet2!A$1:C$65536,3,FALSE),0)</f>
        <v>0</v>
      </c>
    </row>
    <row r="156" spans="1:62" s="3261" customFormat="1" ht="20.25" customHeight="1">
      <c r="A156" s="3226">
        <v>154</v>
      </c>
      <c r="B156" s="3250" t="s">
        <v>4752</v>
      </c>
      <c r="C156" s="3227" t="s">
        <v>3333</v>
      </c>
      <c r="D156" s="3252" t="s">
        <v>4753</v>
      </c>
      <c r="E156" s="3229">
        <v>43750</v>
      </c>
      <c r="F156" s="3230">
        <v>20000</v>
      </c>
      <c r="G156" s="3231">
        <v>128.81</v>
      </c>
      <c r="H156" s="3231" t="str">
        <f t="shared" si="28"/>
        <v>普通住宅</v>
      </c>
      <c r="I156" s="3230">
        <v>1940993</v>
      </c>
      <c r="J156" s="3229">
        <v>43757</v>
      </c>
      <c r="K156" s="3284">
        <f t="shared" si="29"/>
        <v>10</v>
      </c>
      <c r="L156" s="3230">
        <v>1915993</v>
      </c>
      <c r="M156" s="3235">
        <f t="shared" si="30"/>
        <v>14874.567191988199</v>
      </c>
      <c r="N156" s="3236">
        <f>995993+200000</f>
        <v>1195993</v>
      </c>
      <c r="O156" s="3244">
        <f t="shared" si="31"/>
        <v>1915993</v>
      </c>
      <c r="P156" s="3244"/>
      <c r="Q156" s="3244"/>
      <c r="R156" s="3244">
        <f t="shared" si="32"/>
        <v>1215993</v>
      </c>
      <c r="S156" s="3244">
        <f t="shared" si="33"/>
        <v>1215993</v>
      </c>
      <c r="T156" s="3236"/>
      <c r="U156" s="3236"/>
      <c r="V156" s="3236">
        <v>700000</v>
      </c>
      <c r="W156" s="3236"/>
      <c r="X156" s="3244">
        <f t="shared" si="34"/>
        <v>1915993</v>
      </c>
      <c r="Y156" s="3244">
        <f t="shared" si="35"/>
        <v>0</v>
      </c>
      <c r="Z156" s="3285">
        <f t="shared" si="36"/>
        <v>1</v>
      </c>
      <c r="AA156" s="3226" t="s">
        <v>4416</v>
      </c>
      <c r="AB156" s="3255" t="s">
        <v>4417</v>
      </c>
      <c r="AC156" s="3226" t="s">
        <v>4418</v>
      </c>
      <c r="AD156" s="3286" t="s">
        <v>4419</v>
      </c>
      <c r="AE156" s="3286" t="s">
        <v>4427</v>
      </c>
      <c r="AF156" s="3286"/>
      <c r="AG156" s="3323"/>
      <c r="AH156" s="3255">
        <v>43757</v>
      </c>
      <c r="AI156" s="3255">
        <v>43768</v>
      </c>
      <c r="AJ156" s="3255">
        <v>43833</v>
      </c>
      <c r="AK156" s="3287">
        <f t="shared" si="37"/>
        <v>2020</v>
      </c>
      <c r="AL156" s="3288">
        <f t="shared" si="38"/>
        <v>1</v>
      </c>
      <c r="AM156" s="3226" t="s">
        <v>4421</v>
      </c>
      <c r="AN156" s="3289">
        <v>700000</v>
      </c>
      <c r="AO156" s="3300"/>
      <c r="AP156" s="3300"/>
      <c r="AQ156" s="3300"/>
      <c r="AR156" s="3292"/>
      <c r="AS156" s="3292"/>
      <c r="AT156" s="3292"/>
      <c r="AU156" s="3293" t="str">
        <f t="shared" si="40"/>
        <v/>
      </c>
      <c r="AV156" s="3293" t="str">
        <f t="shared" si="41"/>
        <v/>
      </c>
      <c r="AW156" s="3294"/>
      <c r="AX156" s="3236"/>
      <c r="AY156" s="3244"/>
      <c r="AZ156" s="3295" t="s">
        <v>4448</v>
      </c>
      <c r="BA156" s="3296" t="str">
        <f t="shared" si="39"/>
        <v>签约</v>
      </c>
      <c r="BB156" s="3226" t="s">
        <v>4423</v>
      </c>
      <c r="BC156" s="3226"/>
      <c r="BD156" s="3292">
        <f>VLOOKUP(B156,[3]Sheet1!A$1:B$65536,2,0)</f>
        <v>43762</v>
      </c>
      <c r="BE156" s="3297" t="s">
        <v>4367</v>
      </c>
      <c r="BG156" s="3297">
        <f>IFERROR(VLOOKUP(B156,[3]Sheet2!A$1:B$65536,2,FALSE),0)</f>
        <v>0</v>
      </c>
      <c r="BI156" s="3297">
        <f>IFERROR(VLOOKUP(B156,[3]Sheet2!A$1:C$65536,2,FALSE),0)</f>
        <v>0</v>
      </c>
      <c r="BJ156" s="3297">
        <f>IFERROR(VLOOKUP(B156,[3]Sheet2!A$1:C$65536,3,FALSE),0)</f>
        <v>0</v>
      </c>
    </row>
    <row r="157" spans="1:62" s="3261" customFormat="1" ht="20.25" customHeight="1">
      <c r="A157" s="3226">
        <v>155</v>
      </c>
      <c r="B157" s="3250" t="s">
        <v>4754</v>
      </c>
      <c r="C157" s="3227" t="s">
        <v>3333</v>
      </c>
      <c r="D157" s="3252" t="s">
        <v>4755</v>
      </c>
      <c r="E157" s="3229">
        <v>43750</v>
      </c>
      <c r="F157" s="3230">
        <v>20000</v>
      </c>
      <c r="G157" s="3231">
        <v>128.81</v>
      </c>
      <c r="H157" s="3231" t="str">
        <f t="shared" si="28"/>
        <v>普通住宅</v>
      </c>
      <c r="I157" s="3230">
        <v>1947633</v>
      </c>
      <c r="J157" s="3229">
        <v>43762</v>
      </c>
      <c r="K157" s="3284">
        <f t="shared" si="29"/>
        <v>10</v>
      </c>
      <c r="L157" s="3230">
        <v>1922633</v>
      </c>
      <c r="M157" s="3235">
        <f t="shared" si="30"/>
        <v>14926.11598478379</v>
      </c>
      <c r="N157" s="3236">
        <v>562633</v>
      </c>
      <c r="O157" s="3244">
        <f t="shared" si="31"/>
        <v>1922633</v>
      </c>
      <c r="P157" s="3244"/>
      <c r="Q157" s="3244"/>
      <c r="R157" s="3244">
        <f t="shared" si="32"/>
        <v>582633</v>
      </c>
      <c r="S157" s="3244">
        <f t="shared" si="33"/>
        <v>582633</v>
      </c>
      <c r="T157" s="3236"/>
      <c r="U157" s="3236"/>
      <c r="V157" s="3236">
        <v>1340000</v>
      </c>
      <c r="W157" s="3236"/>
      <c r="X157" s="3244">
        <f t="shared" si="34"/>
        <v>1922633</v>
      </c>
      <c r="Y157" s="3244">
        <f t="shared" si="35"/>
        <v>0</v>
      </c>
      <c r="Z157" s="3285">
        <f t="shared" si="36"/>
        <v>1</v>
      </c>
      <c r="AA157" s="3226" t="s">
        <v>4416</v>
      </c>
      <c r="AB157" s="3255" t="s">
        <v>4417</v>
      </c>
      <c r="AC157" s="3226" t="s">
        <v>4418</v>
      </c>
      <c r="AD157" s="3286" t="s">
        <v>4419</v>
      </c>
      <c r="AE157" s="3286" t="s">
        <v>4427</v>
      </c>
      <c r="AF157" s="3286"/>
      <c r="AG157" s="3323"/>
      <c r="AH157" s="3255">
        <v>43762</v>
      </c>
      <c r="AI157" s="3255">
        <v>43797</v>
      </c>
      <c r="AJ157" s="3255">
        <v>43908</v>
      </c>
      <c r="AK157" s="3287">
        <f t="shared" si="37"/>
        <v>2020</v>
      </c>
      <c r="AL157" s="3288">
        <f t="shared" si="38"/>
        <v>3</v>
      </c>
      <c r="AM157" s="3226" t="s">
        <v>4421</v>
      </c>
      <c r="AN157" s="3289">
        <v>1340000</v>
      </c>
      <c r="AO157" s="3300"/>
      <c r="AP157" s="3300"/>
      <c r="AQ157" s="3300"/>
      <c r="AR157" s="3292"/>
      <c r="AS157" s="3292"/>
      <c r="AT157" s="3292"/>
      <c r="AU157" s="3293" t="str">
        <f t="shared" si="40"/>
        <v/>
      </c>
      <c r="AV157" s="3293" t="str">
        <f t="shared" si="41"/>
        <v/>
      </c>
      <c r="AW157" s="3294"/>
      <c r="AX157" s="3236"/>
      <c r="AY157" s="3244"/>
      <c r="AZ157" s="3295" t="s">
        <v>4464</v>
      </c>
      <c r="BA157" s="3296" t="str">
        <f t="shared" si="39"/>
        <v>签约</v>
      </c>
      <c r="BB157" s="3226" t="s">
        <v>4455</v>
      </c>
      <c r="BC157" s="3226"/>
      <c r="BD157" s="3292">
        <f>VLOOKUP(B157,[3]Sheet1!A$1:B$65536,2,0)</f>
        <v>43776</v>
      </c>
      <c r="BE157" s="3297" t="s">
        <v>4367</v>
      </c>
      <c r="BG157" s="3297">
        <f>IFERROR(VLOOKUP(B157,[3]Sheet2!A$1:B$65536,2,FALSE),0)</f>
        <v>0</v>
      </c>
      <c r="BI157" s="3297">
        <f>IFERROR(VLOOKUP(B157,[3]Sheet2!A$1:C$65536,2,FALSE),0)</f>
        <v>0</v>
      </c>
      <c r="BJ157" s="3297">
        <f>IFERROR(VLOOKUP(B157,[3]Sheet2!A$1:C$65536,3,FALSE),0)</f>
        <v>0</v>
      </c>
    </row>
    <row r="158" spans="1:62" s="3261" customFormat="1" ht="20.25" customHeight="1">
      <c r="A158" s="3226">
        <v>156</v>
      </c>
      <c r="B158" s="3250" t="s">
        <v>4756</v>
      </c>
      <c r="C158" s="3227" t="s">
        <v>3333</v>
      </c>
      <c r="D158" s="3251" t="s">
        <v>3635</v>
      </c>
      <c r="E158" s="3229">
        <v>43912</v>
      </c>
      <c r="F158" s="3230">
        <f>20000+30000</f>
        <v>50000</v>
      </c>
      <c r="G158" s="3231">
        <v>128.81</v>
      </c>
      <c r="H158" s="3231" t="str">
        <f t="shared" si="28"/>
        <v>普通住宅</v>
      </c>
      <c r="I158" s="3230">
        <v>1874596</v>
      </c>
      <c r="J158" s="3229">
        <v>43917</v>
      </c>
      <c r="K158" s="3284">
        <f t="shared" si="29"/>
        <v>3</v>
      </c>
      <c r="L158" s="3230">
        <v>1864596</v>
      </c>
      <c r="M158" s="3235">
        <f t="shared" si="30"/>
        <v>14475.553140284139</v>
      </c>
      <c r="N158" s="3236">
        <v>594596</v>
      </c>
      <c r="O158" s="3244">
        <f t="shared" si="31"/>
        <v>1864596</v>
      </c>
      <c r="P158" s="3244"/>
      <c r="Q158" s="3244"/>
      <c r="R158" s="3244">
        <f t="shared" si="32"/>
        <v>644596</v>
      </c>
      <c r="S158" s="3244">
        <f t="shared" si="33"/>
        <v>644596</v>
      </c>
      <c r="T158" s="3236"/>
      <c r="U158" s="3236"/>
      <c r="V158" s="3236">
        <v>1220000</v>
      </c>
      <c r="W158" s="3236"/>
      <c r="X158" s="3244">
        <f t="shared" si="34"/>
        <v>1864596</v>
      </c>
      <c r="Y158" s="3244">
        <f t="shared" si="35"/>
        <v>0</v>
      </c>
      <c r="Z158" s="3285">
        <f t="shared" si="36"/>
        <v>1</v>
      </c>
      <c r="AA158" s="3226" t="s">
        <v>3319</v>
      </c>
      <c r="AB158" s="3226" t="s">
        <v>4587</v>
      </c>
      <c r="AC158" s="3226" t="s">
        <v>4698</v>
      </c>
      <c r="AD158" s="3286" t="s">
        <v>4539</v>
      </c>
      <c r="AE158" s="3286" t="s">
        <v>4427</v>
      </c>
      <c r="AF158" s="3286"/>
      <c r="AG158" s="3323"/>
      <c r="AH158" s="3255">
        <v>43917</v>
      </c>
      <c r="AI158" s="3255">
        <v>43917</v>
      </c>
      <c r="AJ158" s="3255">
        <v>43937</v>
      </c>
      <c r="AK158" s="3287">
        <f t="shared" si="37"/>
        <v>2020</v>
      </c>
      <c r="AL158" s="3288">
        <f t="shared" si="38"/>
        <v>4</v>
      </c>
      <c r="AM158" s="3226" t="s">
        <v>4477</v>
      </c>
      <c r="AN158" s="3289">
        <v>1220000</v>
      </c>
      <c r="AO158" s="3300"/>
      <c r="AP158" s="3300"/>
      <c r="AQ158" s="3300"/>
      <c r="AR158" s="3292"/>
      <c r="AS158" s="3292"/>
      <c r="AT158" s="3292"/>
      <c r="AU158" s="3293" t="str">
        <f t="shared" si="40"/>
        <v/>
      </c>
      <c r="AV158" s="3293" t="str">
        <f t="shared" si="41"/>
        <v/>
      </c>
      <c r="AW158" s="3294"/>
      <c r="AX158" s="3236"/>
      <c r="AY158" s="3244"/>
      <c r="AZ158" s="3295" t="s">
        <v>4735</v>
      </c>
      <c r="BA158" s="3296" t="str">
        <f t="shared" si="39"/>
        <v>签约</v>
      </c>
      <c r="BB158" s="3226"/>
      <c r="BC158" s="3226"/>
      <c r="BD158" s="3292"/>
      <c r="BE158" s="3297" t="s">
        <v>4367</v>
      </c>
      <c r="BG158" s="3297">
        <f>IFERROR(VLOOKUP(B158,[3]Sheet2!A$1:B$65536,2,FALSE),0)</f>
        <v>0</v>
      </c>
      <c r="BI158" s="3297">
        <f>IFERROR(VLOOKUP(B158,[3]Sheet2!A$1:C$65536,2,FALSE),0)</f>
        <v>0</v>
      </c>
      <c r="BJ158" s="3297">
        <f>IFERROR(VLOOKUP(B158,[3]Sheet2!A$1:C$65536,3,FALSE),0)</f>
        <v>0</v>
      </c>
    </row>
    <row r="159" spans="1:62" s="3261" customFormat="1" ht="20.25" customHeight="1">
      <c r="A159" s="3226">
        <v>157</v>
      </c>
      <c r="B159" s="3250" t="s">
        <v>4757</v>
      </c>
      <c r="C159" s="3227" t="s">
        <v>3333</v>
      </c>
      <c r="D159" s="3252" t="s">
        <v>4758</v>
      </c>
      <c r="E159" s="3229">
        <v>43759</v>
      </c>
      <c r="F159" s="3230">
        <v>20000</v>
      </c>
      <c r="G159" s="3231">
        <v>126.31</v>
      </c>
      <c r="H159" s="3231" t="str">
        <f t="shared" si="28"/>
        <v>普通住宅</v>
      </c>
      <c r="I159" s="3230">
        <v>1645228</v>
      </c>
      <c r="J159" s="3229">
        <v>43769</v>
      </c>
      <c r="K159" s="3284">
        <f t="shared" si="29"/>
        <v>10</v>
      </c>
      <c r="L159" s="3230">
        <v>1630228</v>
      </c>
      <c r="M159" s="3235">
        <f t="shared" si="30"/>
        <v>12906.563217480802</v>
      </c>
      <c r="N159" s="3236">
        <v>470228</v>
      </c>
      <c r="O159" s="3244">
        <f t="shared" si="31"/>
        <v>1630228</v>
      </c>
      <c r="P159" s="3244"/>
      <c r="Q159" s="3244"/>
      <c r="R159" s="3244">
        <f t="shared" si="32"/>
        <v>490228</v>
      </c>
      <c r="S159" s="3244">
        <f t="shared" si="33"/>
        <v>490228</v>
      </c>
      <c r="T159" s="3236"/>
      <c r="U159" s="3236"/>
      <c r="V159" s="3236">
        <v>1140000</v>
      </c>
      <c r="W159" s="3236"/>
      <c r="X159" s="3244">
        <f t="shared" si="34"/>
        <v>1630228</v>
      </c>
      <c r="Y159" s="3244">
        <f t="shared" si="35"/>
        <v>0</v>
      </c>
      <c r="Z159" s="3285">
        <f t="shared" si="36"/>
        <v>1</v>
      </c>
      <c r="AA159" s="3226" t="s">
        <v>4416</v>
      </c>
      <c r="AB159" s="3255" t="s">
        <v>4417</v>
      </c>
      <c r="AC159" s="3226" t="s">
        <v>4418</v>
      </c>
      <c r="AD159" s="3286" t="s">
        <v>4419</v>
      </c>
      <c r="AE159" s="3286" t="s">
        <v>4427</v>
      </c>
      <c r="AF159" s="3286"/>
      <c r="AG159" s="3323"/>
      <c r="AH159" s="3255">
        <v>43779</v>
      </c>
      <c r="AI159" s="3255">
        <v>43779</v>
      </c>
      <c r="AJ159" s="3255">
        <v>43810</v>
      </c>
      <c r="AK159" s="3287">
        <f t="shared" si="37"/>
        <v>2019</v>
      </c>
      <c r="AL159" s="3288">
        <f t="shared" si="38"/>
        <v>12</v>
      </c>
      <c r="AM159" s="3226" t="s">
        <v>4474</v>
      </c>
      <c r="AN159" s="3289">
        <v>1140000</v>
      </c>
      <c r="AO159" s="3300"/>
      <c r="AP159" s="3300"/>
      <c r="AQ159" s="3300"/>
      <c r="AR159" s="3292"/>
      <c r="AS159" s="3292"/>
      <c r="AT159" s="3292"/>
      <c r="AU159" s="3293" t="str">
        <f t="shared" si="40"/>
        <v/>
      </c>
      <c r="AV159" s="3293" t="str">
        <f t="shared" si="41"/>
        <v/>
      </c>
      <c r="AW159" s="3294"/>
      <c r="AX159" s="3236"/>
      <c r="AY159" s="3244"/>
      <c r="AZ159" s="3295" t="s">
        <v>4422</v>
      </c>
      <c r="BA159" s="3296" t="str">
        <f t="shared" si="39"/>
        <v>签约</v>
      </c>
      <c r="BB159" s="3226" t="s">
        <v>4423</v>
      </c>
      <c r="BC159" s="3226"/>
      <c r="BD159" s="3292">
        <f>VLOOKUP(B159,[3]Sheet1!A$1:B$65536,2,0)</f>
        <v>43780</v>
      </c>
      <c r="BE159" s="3297" t="s">
        <v>4449</v>
      </c>
      <c r="BG159" s="3297">
        <f>IFERROR(VLOOKUP(B159,[3]Sheet2!A$1:B$65536,2,FALSE),0)</f>
        <v>0</v>
      </c>
      <c r="BI159" s="3297">
        <f>IFERROR(VLOOKUP(B159,[3]Sheet2!A$1:C$65536,2,FALSE),0)</f>
        <v>0</v>
      </c>
      <c r="BJ159" s="3297">
        <f>IFERROR(VLOOKUP(B159,[3]Sheet2!A$1:C$65536,3,FALSE),0)</f>
        <v>0</v>
      </c>
    </row>
    <row r="160" spans="1:62" s="3261" customFormat="1" ht="20.25" customHeight="1">
      <c r="A160" s="3226">
        <v>158</v>
      </c>
      <c r="B160" s="3250" t="s">
        <v>4759</v>
      </c>
      <c r="C160" s="3227" t="s">
        <v>3333</v>
      </c>
      <c r="D160" s="3251" t="s">
        <v>3639</v>
      </c>
      <c r="E160" s="3229">
        <v>43803</v>
      </c>
      <c r="F160" s="3230">
        <v>50000</v>
      </c>
      <c r="G160" s="3231">
        <v>128.81</v>
      </c>
      <c r="H160" s="3231" t="str">
        <f t="shared" si="28"/>
        <v>普通住宅</v>
      </c>
      <c r="I160" s="3230">
        <v>1783618</v>
      </c>
      <c r="J160" s="3229">
        <v>43810</v>
      </c>
      <c r="K160" s="3284">
        <f t="shared" si="29"/>
        <v>12</v>
      </c>
      <c r="L160" s="3230">
        <v>1763618</v>
      </c>
      <c r="M160" s="3235">
        <f t="shared" si="30"/>
        <v>13691.623321170717</v>
      </c>
      <c r="N160" s="3236">
        <v>713618</v>
      </c>
      <c r="O160" s="3244">
        <f t="shared" si="31"/>
        <v>1763618</v>
      </c>
      <c r="P160" s="3244"/>
      <c r="Q160" s="3244"/>
      <c r="R160" s="3244">
        <f t="shared" si="32"/>
        <v>763618</v>
      </c>
      <c r="S160" s="3244">
        <f t="shared" si="33"/>
        <v>763618</v>
      </c>
      <c r="T160" s="3236"/>
      <c r="U160" s="3236"/>
      <c r="V160" s="3236">
        <v>1000000</v>
      </c>
      <c r="W160" s="3236"/>
      <c r="X160" s="3244">
        <f t="shared" si="34"/>
        <v>1763618</v>
      </c>
      <c r="Y160" s="3244">
        <f t="shared" si="35"/>
        <v>0</v>
      </c>
      <c r="Z160" s="3285">
        <f t="shared" si="36"/>
        <v>1</v>
      </c>
      <c r="AA160" s="3226" t="s">
        <v>3319</v>
      </c>
      <c r="AB160" s="3226" t="s">
        <v>4587</v>
      </c>
      <c r="AC160" s="3226" t="s">
        <v>4698</v>
      </c>
      <c r="AD160" s="3286" t="s">
        <v>4539</v>
      </c>
      <c r="AE160" s="3286" t="s">
        <v>4427</v>
      </c>
      <c r="AF160" s="3286"/>
      <c r="AG160" s="3323"/>
      <c r="AH160" s="3255">
        <v>43810</v>
      </c>
      <c r="AI160" s="3255">
        <v>43812</v>
      </c>
      <c r="AJ160" s="3255">
        <v>43833</v>
      </c>
      <c r="AK160" s="3287">
        <f t="shared" si="37"/>
        <v>2020</v>
      </c>
      <c r="AL160" s="3288">
        <f t="shared" si="38"/>
        <v>1</v>
      </c>
      <c r="AM160" s="3226" t="s">
        <v>4739</v>
      </c>
      <c r="AN160" s="3289">
        <v>1000000</v>
      </c>
      <c r="AO160" s="3300"/>
      <c r="AP160" s="3300"/>
      <c r="AQ160" s="3300"/>
      <c r="AR160" s="3292"/>
      <c r="AS160" s="3292"/>
      <c r="AT160" s="3292"/>
      <c r="AU160" s="3293" t="str">
        <f t="shared" si="40"/>
        <v/>
      </c>
      <c r="AV160" s="3293" t="str">
        <f t="shared" si="41"/>
        <v/>
      </c>
      <c r="AW160" s="3294"/>
      <c r="AX160" s="3236"/>
      <c r="AY160" s="3244"/>
      <c r="AZ160" s="3295" t="s">
        <v>4448</v>
      </c>
      <c r="BA160" s="3296" t="str">
        <f t="shared" si="39"/>
        <v>签约</v>
      </c>
      <c r="BB160" s="3226"/>
      <c r="BC160" s="3226"/>
      <c r="BD160" s="3292">
        <f>VLOOKUP(B160,[3]Sheet1!A$1:B$65536,2,0)</f>
        <v>43810</v>
      </c>
      <c r="BE160" s="3297" t="s">
        <v>4424</v>
      </c>
      <c r="BG160" s="3297">
        <f>IFERROR(VLOOKUP(B160,[3]Sheet2!A$1:B$65536,2,FALSE),0)</f>
        <v>0</v>
      </c>
      <c r="BI160" s="3297">
        <f>IFERROR(VLOOKUP(B160,[3]Sheet2!A$1:C$65536,2,FALSE),0)</f>
        <v>0</v>
      </c>
      <c r="BJ160" s="3297">
        <f>IFERROR(VLOOKUP(B160,[3]Sheet2!A$1:C$65536,3,FALSE),0)</f>
        <v>0</v>
      </c>
    </row>
    <row r="161" spans="1:62" s="3261" customFormat="1" ht="20.25" customHeight="1">
      <c r="A161" s="3226">
        <v>159</v>
      </c>
      <c r="B161" s="3250" t="s">
        <v>4760</v>
      </c>
      <c r="C161" s="3227" t="s">
        <v>3333</v>
      </c>
      <c r="D161" s="3252" t="s">
        <v>4761</v>
      </c>
      <c r="E161" s="3229">
        <v>43749</v>
      </c>
      <c r="F161" s="3230">
        <v>20000</v>
      </c>
      <c r="G161" s="3231">
        <v>128.81</v>
      </c>
      <c r="H161" s="3231" t="str">
        <f t="shared" si="28"/>
        <v>普通住宅</v>
      </c>
      <c r="I161" s="3230">
        <v>1836735</v>
      </c>
      <c r="J161" s="3229">
        <v>43751</v>
      </c>
      <c r="K161" s="3284">
        <f t="shared" si="29"/>
        <v>10</v>
      </c>
      <c r="L161" s="3230">
        <v>1811735</v>
      </c>
      <c r="M161" s="3235">
        <f t="shared" si="30"/>
        <v>14065.173511373341</v>
      </c>
      <c r="N161" s="3236">
        <f>180000+351735</f>
        <v>531735</v>
      </c>
      <c r="O161" s="3244">
        <f t="shared" si="31"/>
        <v>1811735</v>
      </c>
      <c r="P161" s="3244"/>
      <c r="Q161" s="3244"/>
      <c r="R161" s="3244">
        <f t="shared" si="32"/>
        <v>551735</v>
      </c>
      <c r="S161" s="3244">
        <f t="shared" si="33"/>
        <v>551735</v>
      </c>
      <c r="T161" s="3236"/>
      <c r="U161" s="3236"/>
      <c r="V161" s="3236">
        <v>1260000</v>
      </c>
      <c r="W161" s="3236"/>
      <c r="X161" s="3244">
        <f t="shared" si="34"/>
        <v>1811735</v>
      </c>
      <c r="Y161" s="3244">
        <f t="shared" si="35"/>
        <v>0</v>
      </c>
      <c r="Z161" s="3285">
        <f t="shared" si="36"/>
        <v>1</v>
      </c>
      <c r="AA161" s="3226" t="s">
        <v>4416</v>
      </c>
      <c r="AB161" s="3226" t="s">
        <v>4417</v>
      </c>
      <c r="AC161" s="3226" t="s">
        <v>4418</v>
      </c>
      <c r="AD161" s="3286" t="s">
        <v>4419</v>
      </c>
      <c r="AE161" s="3286" t="s">
        <v>4427</v>
      </c>
      <c r="AF161" s="3286"/>
      <c r="AG161" s="3323"/>
      <c r="AH161" s="3255">
        <v>43777</v>
      </c>
      <c r="AI161" s="3255">
        <v>43780</v>
      </c>
      <c r="AJ161" s="3255">
        <v>43787</v>
      </c>
      <c r="AK161" s="3287">
        <f t="shared" si="37"/>
        <v>2019</v>
      </c>
      <c r="AL161" s="3288">
        <f t="shared" si="38"/>
        <v>11</v>
      </c>
      <c r="AM161" s="3226" t="s">
        <v>4579</v>
      </c>
      <c r="AN161" s="3289">
        <v>1260000</v>
      </c>
      <c r="AO161" s="3300"/>
      <c r="AP161" s="3300"/>
      <c r="AQ161" s="3300"/>
      <c r="AR161" s="3292"/>
      <c r="AS161" s="3292"/>
      <c r="AT161" s="3292"/>
      <c r="AU161" s="3293" t="str">
        <f t="shared" si="40"/>
        <v/>
      </c>
      <c r="AV161" s="3293" t="str">
        <f t="shared" si="41"/>
        <v/>
      </c>
      <c r="AW161" s="3294"/>
      <c r="AX161" s="3236"/>
      <c r="AY161" s="3244"/>
      <c r="AZ161" s="3295" t="s">
        <v>4429</v>
      </c>
      <c r="BA161" s="3296" t="str">
        <f t="shared" si="39"/>
        <v>签约</v>
      </c>
      <c r="BB161" s="3226" t="s">
        <v>4423</v>
      </c>
      <c r="BC161" s="3226"/>
      <c r="BD161" s="3292">
        <f>VLOOKUP(B161,[3]Sheet1!A$1:B$65536,2,0)</f>
        <v>43777</v>
      </c>
      <c r="BE161" s="3297" t="s">
        <v>4542</v>
      </c>
      <c r="BG161" s="3297">
        <f>IFERROR(VLOOKUP(B161,[3]Sheet2!A$1:B$65536,2,FALSE),0)</f>
        <v>0</v>
      </c>
      <c r="BI161" s="3297">
        <f>IFERROR(VLOOKUP(B161,[3]Sheet2!A$1:C$65536,2,FALSE),0)</f>
        <v>0</v>
      </c>
      <c r="BJ161" s="3297">
        <f>IFERROR(VLOOKUP(B161,[3]Sheet2!A$1:C$65536,3,FALSE),0)</f>
        <v>0</v>
      </c>
    </row>
    <row r="162" spans="1:62" s="3261" customFormat="1" ht="20.25" customHeight="1">
      <c r="A162" s="3226">
        <v>160</v>
      </c>
      <c r="B162" s="3250" t="s">
        <v>4762</v>
      </c>
      <c r="C162" s="3227" t="s">
        <v>3333</v>
      </c>
      <c r="D162" s="3251" t="s">
        <v>3552</v>
      </c>
      <c r="E162" s="3229">
        <v>43842</v>
      </c>
      <c r="F162" s="3230">
        <v>50000</v>
      </c>
      <c r="G162" s="3231">
        <v>128.81</v>
      </c>
      <c r="H162" s="3231" t="str">
        <f t="shared" si="28"/>
        <v>普通住宅</v>
      </c>
      <c r="I162" s="3230">
        <v>1876574</v>
      </c>
      <c r="J162" s="3229">
        <v>43842</v>
      </c>
      <c r="K162" s="3284">
        <f t="shared" si="29"/>
        <v>1</v>
      </c>
      <c r="L162" s="3230">
        <v>1866568</v>
      </c>
      <c r="M162" s="3235">
        <f t="shared" si="30"/>
        <v>14490.862510674637</v>
      </c>
      <c r="N162" s="3236">
        <v>816568</v>
      </c>
      <c r="O162" s="3244">
        <f t="shared" si="31"/>
        <v>1866568</v>
      </c>
      <c r="P162" s="3244"/>
      <c r="Q162" s="3244"/>
      <c r="R162" s="3244">
        <f t="shared" si="32"/>
        <v>866568</v>
      </c>
      <c r="S162" s="3244">
        <f t="shared" si="33"/>
        <v>866568</v>
      </c>
      <c r="T162" s="3236"/>
      <c r="U162" s="3236"/>
      <c r="V162" s="3236">
        <v>1000000</v>
      </c>
      <c r="W162" s="3236"/>
      <c r="X162" s="3244">
        <f t="shared" si="34"/>
        <v>1866568</v>
      </c>
      <c r="Y162" s="3244">
        <f t="shared" si="35"/>
        <v>0</v>
      </c>
      <c r="Z162" s="3285">
        <f t="shared" si="36"/>
        <v>1</v>
      </c>
      <c r="AA162" s="3226" t="s">
        <v>3319</v>
      </c>
      <c r="AB162" s="3226" t="s">
        <v>4587</v>
      </c>
      <c r="AC162" s="3226" t="s">
        <v>4698</v>
      </c>
      <c r="AD162" s="3286" t="s">
        <v>4419</v>
      </c>
      <c r="AE162" s="3286" t="s">
        <v>4427</v>
      </c>
      <c r="AF162" s="3286"/>
      <c r="AG162" s="3323"/>
      <c r="AH162" s="3255">
        <v>43842</v>
      </c>
      <c r="AI162" s="3255">
        <v>43850</v>
      </c>
      <c r="AJ162" s="3255">
        <v>43908</v>
      </c>
      <c r="AK162" s="3287">
        <f t="shared" si="37"/>
        <v>2020</v>
      </c>
      <c r="AL162" s="3288">
        <f t="shared" si="38"/>
        <v>3</v>
      </c>
      <c r="AM162" s="3226" t="s">
        <v>4477</v>
      </c>
      <c r="AN162" s="3289">
        <v>1000000</v>
      </c>
      <c r="AO162" s="3300"/>
      <c r="AP162" s="3300"/>
      <c r="AQ162" s="3300"/>
      <c r="AR162" s="3292"/>
      <c r="AS162" s="3292"/>
      <c r="AT162" s="3292"/>
      <c r="AU162" s="3293" t="str">
        <f t="shared" si="40"/>
        <v/>
      </c>
      <c r="AV162" s="3293" t="str">
        <f t="shared" si="41"/>
        <v/>
      </c>
      <c r="AW162" s="3294"/>
      <c r="AX162" s="3236"/>
      <c r="AY162" s="3244"/>
      <c r="AZ162" s="3295" t="s">
        <v>4445</v>
      </c>
      <c r="BA162" s="3296" t="str">
        <f t="shared" si="39"/>
        <v>签约</v>
      </c>
      <c r="BB162" s="3226"/>
      <c r="BC162" s="3226"/>
      <c r="BD162" s="3292"/>
      <c r="BE162" s="3297" t="s">
        <v>4696</v>
      </c>
      <c r="BG162" s="3297">
        <f>IFERROR(VLOOKUP(B162,[3]Sheet2!A$1:B$65536,2,FALSE),0)</f>
        <v>0</v>
      </c>
      <c r="BI162" s="3297">
        <f>IFERROR(VLOOKUP(B162,[3]Sheet2!A$1:C$65536,2,FALSE),0)</f>
        <v>0</v>
      </c>
      <c r="BJ162" s="3297">
        <f>IFERROR(VLOOKUP(B162,[3]Sheet2!A$1:C$65536,3,FALSE),0)</f>
        <v>0</v>
      </c>
    </row>
    <row r="163" spans="1:62" s="3261" customFormat="1" ht="20.25" customHeight="1">
      <c r="A163" s="3226">
        <v>161</v>
      </c>
      <c r="B163" s="3250" t="s">
        <v>4763</v>
      </c>
      <c r="C163" s="3227" t="s">
        <v>3333</v>
      </c>
      <c r="D163" s="3252" t="s">
        <v>4764</v>
      </c>
      <c r="E163" s="3229">
        <v>43752</v>
      </c>
      <c r="F163" s="3230">
        <v>20000</v>
      </c>
      <c r="G163" s="3231">
        <v>128.81</v>
      </c>
      <c r="H163" s="3231" t="str">
        <f t="shared" si="28"/>
        <v>普通住宅</v>
      </c>
      <c r="I163" s="3230">
        <v>1909772</v>
      </c>
      <c r="J163" s="3229">
        <v>43752</v>
      </c>
      <c r="K163" s="3284">
        <f t="shared" si="29"/>
        <v>10</v>
      </c>
      <c r="L163" s="3230">
        <v>1899772</v>
      </c>
      <c r="M163" s="3235">
        <f t="shared" si="30"/>
        <v>14748.637528142224</v>
      </c>
      <c r="N163" s="3236">
        <v>939772</v>
      </c>
      <c r="O163" s="3244">
        <f t="shared" si="31"/>
        <v>1899772</v>
      </c>
      <c r="P163" s="3244"/>
      <c r="Q163" s="3244"/>
      <c r="R163" s="3244">
        <f t="shared" si="32"/>
        <v>959772</v>
      </c>
      <c r="S163" s="3244">
        <f t="shared" si="33"/>
        <v>959772</v>
      </c>
      <c r="T163" s="3236"/>
      <c r="U163" s="3236"/>
      <c r="V163" s="3236">
        <v>550000</v>
      </c>
      <c r="W163" s="3236">
        <v>390000</v>
      </c>
      <c r="X163" s="3244">
        <f t="shared" si="34"/>
        <v>1899772</v>
      </c>
      <c r="Y163" s="3244">
        <f t="shared" si="35"/>
        <v>0</v>
      </c>
      <c r="Z163" s="3285">
        <f t="shared" si="36"/>
        <v>1</v>
      </c>
      <c r="AA163" s="3226" t="s">
        <v>4416</v>
      </c>
      <c r="AB163" s="3226" t="s">
        <v>4417</v>
      </c>
      <c r="AC163" s="3226" t="s">
        <v>4460</v>
      </c>
      <c r="AD163" s="3286" t="s">
        <v>4419</v>
      </c>
      <c r="AE163" s="3286" t="s">
        <v>4427</v>
      </c>
      <c r="AF163" s="3286"/>
      <c r="AG163" s="3323"/>
      <c r="AH163" s="3255">
        <v>43776</v>
      </c>
      <c r="AI163" s="3255">
        <v>43776</v>
      </c>
      <c r="AJ163" s="3255">
        <v>43836</v>
      </c>
      <c r="AK163" s="3287">
        <f t="shared" si="37"/>
        <v>2020</v>
      </c>
      <c r="AL163" s="3288">
        <f t="shared" si="38"/>
        <v>1</v>
      </c>
      <c r="AM163" s="3226" t="s">
        <v>4534</v>
      </c>
      <c r="AN163" s="3289">
        <v>550000</v>
      </c>
      <c r="AO163" s="3300" t="s">
        <v>4419</v>
      </c>
      <c r="AP163" s="3300" t="s">
        <v>4427</v>
      </c>
      <c r="AQ163" s="3300"/>
      <c r="AR163" s="3292">
        <v>43776</v>
      </c>
      <c r="AS163" s="3292">
        <v>43776</v>
      </c>
      <c r="AT163" s="3292">
        <v>43908</v>
      </c>
      <c r="AU163" s="3293">
        <f t="shared" si="40"/>
        <v>2020</v>
      </c>
      <c r="AV163" s="3293">
        <f t="shared" si="41"/>
        <v>3</v>
      </c>
      <c r="AW163" s="3294" t="s">
        <v>4453</v>
      </c>
      <c r="AX163" s="3236">
        <v>390000</v>
      </c>
      <c r="AY163" s="3244"/>
      <c r="AZ163" s="3295" t="s">
        <v>4441</v>
      </c>
      <c r="BA163" s="3296" t="str">
        <f t="shared" si="39"/>
        <v>签约</v>
      </c>
      <c r="BB163" s="3226" t="s">
        <v>4423</v>
      </c>
      <c r="BC163" s="3226"/>
      <c r="BD163" s="3292">
        <f>VLOOKUP(B163,[3]Sheet1!A$1:B$65536,2,0)</f>
        <v>43773</v>
      </c>
      <c r="BE163" s="3297" t="s">
        <v>4449</v>
      </c>
      <c r="BG163" s="3297">
        <f>IFERROR(VLOOKUP(B163,[3]Sheet2!A$1:B$65536,2,FALSE),0)</f>
        <v>0</v>
      </c>
      <c r="BI163" s="3297">
        <f>IFERROR(VLOOKUP(B163,[3]Sheet2!A$1:C$65536,2,FALSE),0)</f>
        <v>0</v>
      </c>
      <c r="BJ163" s="3297">
        <f>IFERROR(VLOOKUP(B163,[3]Sheet2!A$1:C$65536,3,FALSE),0)</f>
        <v>0</v>
      </c>
    </row>
    <row r="164" spans="1:62" s="3261" customFormat="1" ht="20.25" customHeight="1">
      <c r="A164" s="3226">
        <v>162</v>
      </c>
      <c r="B164" s="3250" t="s">
        <v>4765</v>
      </c>
      <c r="C164" s="3227" t="s">
        <v>3333</v>
      </c>
      <c r="D164" s="3252" t="s">
        <v>3646</v>
      </c>
      <c r="E164" s="3229">
        <v>43749</v>
      </c>
      <c r="F164" s="3230">
        <v>20000</v>
      </c>
      <c r="G164" s="3231">
        <v>128.81</v>
      </c>
      <c r="H164" s="3231" t="str">
        <f t="shared" si="28"/>
        <v>普通住宅</v>
      </c>
      <c r="I164" s="3230">
        <v>1916412</v>
      </c>
      <c r="J164" s="3229">
        <v>43754</v>
      </c>
      <c r="K164" s="3284">
        <f t="shared" si="29"/>
        <v>10</v>
      </c>
      <c r="L164" s="3230">
        <v>1891412</v>
      </c>
      <c r="M164" s="3235">
        <f t="shared" si="30"/>
        <v>14683.735734803198</v>
      </c>
      <c r="N164" s="3236">
        <v>871412</v>
      </c>
      <c r="O164" s="3244">
        <f t="shared" si="31"/>
        <v>1891412</v>
      </c>
      <c r="P164" s="3244"/>
      <c r="Q164" s="3244"/>
      <c r="R164" s="3244">
        <f t="shared" si="32"/>
        <v>891412</v>
      </c>
      <c r="S164" s="3244">
        <f t="shared" si="33"/>
        <v>891412</v>
      </c>
      <c r="T164" s="3236"/>
      <c r="U164" s="3236"/>
      <c r="V164" s="3236">
        <v>1000000</v>
      </c>
      <c r="W164" s="3236"/>
      <c r="X164" s="3244">
        <f t="shared" si="34"/>
        <v>1891412</v>
      </c>
      <c r="Y164" s="3244">
        <f t="shared" si="35"/>
        <v>0</v>
      </c>
      <c r="Z164" s="3285">
        <f t="shared" si="36"/>
        <v>1</v>
      </c>
      <c r="AA164" s="3226" t="s">
        <v>4416</v>
      </c>
      <c r="AB164" s="3226" t="s">
        <v>4417</v>
      </c>
      <c r="AC164" s="3226" t="s">
        <v>4418</v>
      </c>
      <c r="AD164" s="3286" t="s">
        <v>4419</v>
      </c>
      <c r="AE164" s="3286" t="s">
        <v>4427</v>
      </c>
      <c r="AF164" s="3286"/>
      <c r="AG164" s="3323"/>
      <c r="AH164" s="3255">
        <v>43753</v>
      </c>
      <c r="AI164" s="3255">
        <v>43760</v>
      </c>
      <c r="AJ164" s="3255">
        <v>43833</v>
      </c>
      <c r="AK164" s="3287">
        <f t="shared" si="37"/>
        <v>2020</v>
      </c>
      <c r="AL164" s="3288">
        <f t="shared" si="38"/>
        <v>1</v>
      </c>
      <c r="AM164" s="3226" t="s">
        <v>4428</v>
      </c>
      <c r="AN164" s="3289">
        <v>1000000</v>
      </c>
      <c r="AO164" s="3300"/>
      <c r="AP164" s="3300"/>
      <c r="AQ164" s="3300"/>
      <c r="AR164" s="3292"/>
      <c r="AS164" s="3292"/>
      <c r="AT164" s="3292"/>
      <c r="AU164" s="3293" t="str">
        <f t="shared" si="40"/>
        <v/>
      </c>
      <c r="AV164" s="3293" t="str">
        <f t="shared" si="41"/>
        <v/>
      </c>
      <c r="AW164" s="3294"/>
      <c r="AX164" s="3236"/>
      <c r="AY164" s="3244"/>
      <c r="AZ164" s="3295" t="s">
        <v>4437</v>
      </c>
      <c r="BA164" s="3296" t="str">
        <f t="shared" si="39"/>
        <v>签约</v>
      </c>
      <c r="BB164" s="3226" t="s">
        <v>4423</v>
      </c>
      <c r="BC164" s="3226"/>
      <c r="BD164" s="3292">
        <f>VLOOKUP(B164,[3]Sheet1!A$1:B$65536,2,0)</f>
        <v>43754</v>
      </c>
      <c r="BE164" s="3297" t="s">
        <v>4367</v>
      </c>
      <c r="BG164" s="3297">
        <f>IFERROR(VLOOKUP(B164,[3]Sheet2!A$1:B$65536,2,FALSE),0)</f>
        <v>0</v>
      </c>
      <c r="BI164" s="3297">
        <f>IFERROR(VLOOKUP(B164,[3]Sheet2!A$1:C$65536,2,FALSE),0)</f>
        <v>0</v>
      </c>
      <c r="BJ164" s="3297">
        <f>IFERROR(VLOOKUP(B164,[3]Sheet2!A$1:C$65536,3,FALSE),0)</f>
        <v>0</v>
      </c>
    </row>
    <row r="165" spans="1:62" s="3261" customFormat="1" ht="20.25" customHeight="1">
      <c r="A165" s="3226">
        <v>163</v>
      </c>
      <c r="B165" s="3250" t="s">
        <v>4766</v>
      </c>
      <c r="C165" s="3227" t="s">
        <v>3333</v>
      </c>
      <c r="D165" s="3251" t="s">
        <v>3648</v>
      </c>
      <c r="E165" s="3229">
        <v>43793</v>
      </c>
      <c r="F165" s="3230">
        <v>50000</v>
      </c>
      <c r="G165" s="3231">
        <v>128.81</v>
      </c>
      <c r="H165" s="3231" t="str">
        <f t="shared" si="28"/>
        <v>普通住宅</v>
      </c>
      <c r="I165" s="3230">
        <v>1923051</v>
      </c>
      <c r="J165" s="3229">
        <v>43812</v>
      </c>
      <c r="K165" s="3284">
        <f t="shared" si="29"/>
        <v>12</v>
      </c>
      <c r="L165" s="3230">
        <v>1903051</v>
      </c>
      <c r="M165" s="3235">
        <f t="shared" si="30"/>
        <v>14774.093626271251</v>
      </c>
      <c r="N165" s="3236">
        <v>553051</v>
      </c>
      <c r="O165" s="3244">
        <f t="shared" si="31"/>
        <v>1903051</v>
      </c>
      <c r="P165" s="3244"/>
      <c r="Q165" s="3244"/>
      <c r="R165" s="3244">
        <f t="shared" si="32"/>
        <v>603051</v>
      </c>
      <c r="S165" s="3244">
        <f t="shared" si="33"/>
        <v>603051</v>
      </c>
      <c r="T165" s="3236"/>
      <c r="U165" s="3236"/>
      <c r="V165" s="3236">
        <v>1300000</v>
      </c>
      <c r="W165" s="3236"/>
      <c r="X165" s="3244">
        <f t="shared" si="34"/>
        <v>1903051</v>
      </c>
      <c r="Y165" s="3244">
        <f t="shared" si="35"/>
        <v>0</v>
      </c>
      <c r="Z165" s="3285">
        <f t="shared" si="36"/>
        <v>1</v>
      </c>
      <c r="AA165" s="3226" t="s">
        <v>3319</v>
      </c>
      <c r="AB165" s="3226" t="s">
        <v>4587</v>
      </c>
      <c r="AC165" s="3226" t="s">
        <v>4698</v>
      </c>
      <c r="AD165" s="3286" t="s">
        <v>4419</v>
      </c>
      <c r="AE165" s="3286" t="s">
        <v>4427</v>
      </c>
      <c r="AF165" s="3286"/>
      <c r="AG165" s="3323"/>
      <c r="AH165" s="3255">
        <v>43812</v>
      </c>
      <c r="AI165" s="3255">
        <v>43817</v>
      </c>
      <c r="AJ165" s="3255">
        <v>43866</v>
      </c>
      <c r="AK165" s="3287">
        <f t="shared" si="37"/>
        <v>2020</v>
      </c>
      <c r="AL165" s="3288">
        <f t="shared" si="38"/>
        <v>2</v>
      </c>
      <c r="AM165" s="3226" t="s">
        <v>4701</v>
      </c>
      <c r="AN165" s="3289">
        <v>1300000</v>
      </c>
      <c r="AO165" s="3300"/>
      <c r="AP165" s="3300"/>
      <c r="AQ165" s="3300"/>
      <c r="AR165" s="3292"/>
      <c r="AS165" s="3292"/>
      <c r="AT165" s="3292"/>
      <c r="AU165" s="3293" t="str">
        <f t="shared" si="40"/>
        <v/>
      </c>
      <c r="AV165" s="3293" t="str">
        <f t="shared" si="41"/>
        <v/>
      </c>
      <c r="AW165" s="3294"/>
      <c r="AX165" s="3236"/>
      <c r="AY165" s="3244"/>
      <c r="AZ165" s="3295" t="s">
        <v>4429</v>
      </c>
      <c r="BA165" s="3296" t="str">
        <f t="shared" si="39"/>
        <v>签约</v>
      </c>
      <c r="BB165" s="3226"/>
      <c r="BC165" s="3226"/>
      <c r="BD165" s="3292">
        <f>VLOOKUP(B165,[3]Sheet1!A$1:B$65536,2,0)</f>
        <v>43818</v>
      </c>
      <c r="BE165" s="3297" t="s">
        <v>4542</v>
      </c>
      <c r="BG165" s="3297">
        <f>IFERROR(VLOOKUP(B165,[3]Sheet2!A$1:B$65536,2,FALSE),0)</f>
        <v>0</v>
      </c>
      <c r="BI165" s="3297">
        <f>IFERROR(VLOOKUP(B165,[3]Sheet2!A$1:C$65536,2,FALSE),0)</f>
        <v>0</v>
      </c>
      <c r="BJ165" s="3297">
        <f>IFERROR(VLOOKUP(B165,[3]Sheet2!A$1:C$65536,3,FALSE),0)</f>
        <v>0</v>
      </c>
    </row>
    <row r="166" spans="1:62" s="3261" customFormat="1" ht="20.25" customHeight="1">
      <c r="A166" s="3226">
        <v>164</v>
      </c>
      <c r="B166" s="3250" t="s">
        <v>4767</v>
      </c>
      <c r="C166" s="3227" t="s">
        <v>3333</v>
      </c>
      <c r="D166" s="3251" t="s">
        <v>3650</v>
      </c>
      <c r="E166" s="3229">
        <v>43828</v>
      </c>
      <c r="F166" s="3230">
        <v>50000</v>
      </c>
      <c r="G166" s="3231">
        <v>128.81</v>
      </c>
      <c r="H166" s="3231" t="str">
        <f t="shared" si="28"/>
        <v>普通住宅</v>
      </c>
      <c r="I166" s="3230">
        <v>1929691</v>
      </c>
      <c r="J166" s="3229">
        <v>43832</v>
      </c>
      <c r="K166" s="3284">
        <f t="shared" si="29"/>
        <v>1</v>
      </c>
      <c r="L166" s="3230">
        <v>1914691</v>
      </c>
      <c r="M166" s="3235">
        <f t="shared" si="30"/>
        <v>14864.459281111715</v>
      </c>
      <c r="N166" s="3236">
        <f>1000000+864691</f>
        <v>1864691</v>
      </c>
      <c r="O166" s="3244">
        <f t="shared" si="31"/>
        <v>1914691</v>
      </c>
      <c r="P166" s="3244"/>
      <c r="Q166" s="3244"/>
      <c r="R166" s="3244">
        <f t="shared" si="32"/>
        <v>1914691</v>
      </c>
      <c r="S166" s="3244">
        <f t="shared" si="33"/>
        <v>1914691</v>
      </c>
      <c r="T166" s="3236"/>
      <c r="U166" s="3236"/>
      <c r="V166" s="3236"/>
      <c r="W166" s="3236"/>
      <c r="X166" s="3244">
        <f t="shared" si="34"/>
        <v>1914691</v>
      </c>
      <c r="Y166" s="3244">
        <f t="shared" si="35"/>
        <v>0</v>
      </c>
      <c r="Z166" s="3285">
        <f t="shared" si="36"/>
        <v>1</v>
      </c>
      <c r="AA166" s="3226" t="s">
        <v>3319</v>
      </c>
      <c r="AB166" s="3226" t="s">
        <v>4676</v>
      </c>
      <c r="AC166" s="3226"/>
      <c r="AD166" s="3286"/>
      <c r="AE166" s="3286"/>
      <c r="AF166" s="3286"/>
      <c r="AG166" s="3323"/>
      <c r="AH166" s="3255"/>
      <c r="AI166" s="3255"/>
      <c r="AJ166" s="3255"/>
      <c r="AK166" s="3287" t="str">
        <f t="shared" si="37"/>
        <v/>
      </c>
      <c r="AL166" s="3288" t="str">
        <f t="shared" si="38"/>
        <v/>
      </c>
      <c r="AM166" s="3226"/>
      <c r="AN166" s="3289"/>
      <c r="AO166" s="3300"/>
      <c r="AP166" s="3300"/>
      <c r="AQ166" s="3300"/>
      <c r="AR166" s="3292"/>
      <c r="AS166" s="3292"/>
      <c r="AT166" s="3292"/>
      <c r="AU166" s="3293" t="str">
        <f t="shared" si="40"/>
        <v/>
      </c>
      <c r="AV166" s="3293" t="str">
        <f t="shared" si="41"/>
        <v/>
      </c>
      <c r="AW166" s="3294"/>
      <c r="AX166" s="3236"/>
      <c r="AY166" s="3244"/>
      <c r="AZ166" s="3295" t="s">
        <v>4441</v>
      </c>
      <c r="BA166" s="3296" t="str">
        <f t="shared" si="39"/>
        <v>签约</v>
      </c>
      <c r="BB166" s="3226"/>
      <c r="BC166" s="3226"/>
      <c r="BD166" s="3292"/>
      <c r="BE166" s="3297" t="s">
        <v>4449</v>
      </c>
      <c r="BG166" s="3297">
        <f>IFERROR(VLOOKUP(B166,[3]Sheet2!A$1:B$65536,2,FALSE),0)</f>
        <v>0</v>
      </c>
      <c r="BI166" s="3297">
        <f>IFERROR(VLOOKUP(B166,[3]Sheet2!A$1:C$65536,2,FALSE),0)</f>
        <v>0</v>
      </c>
      <c r="BJ166" s="3297">
        <f>IFERROR(VLOOKUP(B166,[3]Sheet2!A$1:C$65536,3,FALSE),0)</f>
        <v>0</v>
      </c>
    </row>
    <row r="167" spans="1:62" s="3261" customFormat="1" ht="20.25" customHeight="1">
      <c r="A167" s="3226">
        <v>165</v>
      </c>
      <c r="B167" s="3250" t="s">
        <v>4768</v>
      </c>
      <c r="C167" s="3227" t="s">
        <v>3333</v>
      </c>
      <c r="D167" s="3252" t="s">
        <v>4769</v>
      </c>
      <c r="E167" s="3229">
        <v>43749</v>
      </c>
      <c r="F167" s="3230">
        <v>20000</v>
      </c>
      <c r="G167" s="3231">
        <v>128.81</v>
      </c>
      <c r="H167" s="3231" t="str">
        <f t="shared" si="28"/>
        <v>普通住宅</v>
      </c>
      <c r="I167" s="3230">
        <v>1936331</v>
      </c>
      <c r="J167" s="3229">
        <v>43752</v>
      </c>
      <c r="K167" s="3284">
        <f t="shared" si="29"/>
        <v>10</v>
      </c>
      <c r="L167" s="3230">
        <v>1911331</v>
      </c>
      <c r="M167" s="3235">
        <f t="shared" si="30"/>
        <v>14838.374349817561</v>
      </c>
      <c r="N167" s="3236">
        <v>561331</v>
      </c>
      <c r="O167" s="3244">
        <f t="shared" si="31"/>
        <v>1911331</v>
      </c>
      <c r="P167" s="3244"/>
      <c r="Q167" s="3244"/>
      <c r="R167" s="3244">
        <f t="shared" si="32"/>
        <v>581331</v>
      </c>
      <c r="S167" s="3244">
        <f t="shared" si="33"/>
        <v>581331</v>
      </c>
      <c r="T167" s="3236"/>
      <c r="U167" s="3236"/>
      <c r="V167" s="3236">
        <v>1330000</v>
      </c>
      <c r="W167" s="3236"/>
      <c r="X167" s="3244">
        <f t="shared" si="34"/>
        <v>1911331</v>
      </c>
      <c r="Y167" s="3244">
        <f t="shared" si="35"/>
        <v>0</v>
      </c>
      <c r="Z167" s="3285">
        <f t="shared" si="36"/>
        <v>1</v>
      </c>
      <c r="AA167" s="3226" t="s">
        <v>4416</v>
      </c>
      <c r="AB167" s="3226" t="s">
        <v>4417</v>
      </c>
      <c r="AC167" s="3226" t="s">
        <v>4418</v>
      </c>
      <c r="AD167" s="3286" t="s">
        <v>4419</v>
      </c>
      <c r="AE167" s="3286" t="s">
        <v>4427</v>
      </c>
      <c r="AF167" s="3286"/>
      <c r="AG167" s="3323"/>
      <c r="AH167" s="3255">
        <v>43752</v>
      </c>
      <c r="AI167" s="3255">
        <v>43757</v>
      </c>
      <c r="AJ167" s="3255">
        <v>43787</v>
      </c>
      <c r="AK167" s="3287">
        <f t="shared" si="37"/>
        <v>2019</v>
      </c>
      <c r="AL167" s="3288">
        <f t="shared" si="38"/>
        <v>11</v>
      </c>
      <c r="AM167" s="3226" t="s">
        <v>4474</v>
      </c>
      <c r="AN167" s="3289">
        <v>1330000</v>
      </c>
      <c r="AO167" s="3300"/>
      <c r="AP167" s="3300"/>
      <c r="AQ167" s="3300"/>
      <c r="AR167" s="3292"/>
      <c r="AS167" s="3292"/>
      <c r="AT167" s="3292"/>
      <c r="AU167" s="3293" t="str">
        <f t="shared" si="40"/>
        <v/>
      </c>
      <c r="AV167" s="3293" t="str">
        <f t="shared" si="41"/>
        <v/>
      </c>
      <c r="AW167" s="3294"/>
      <c r="AX167" s="3236"/>
      <c r="AY167" s="3244"/>
      <c r="AZ167" s="3295" t="s">
        <v>4429</v>
      </c>
      <c r="BA167" s="3296" t="str">
        <f t="shared" si="39"/>
        <v>签约</v>
      </c>
      <c r="BB167" s="3226" t="s">
        <v>4423</v>
      </c>
      <c r="BC167" s="3226" t="s">
        <v>4430</v>
      </c>
      <c r="BD167" s="3292">
        <f>VLOOKUP(B167,[3]Sheet1!A$1:B$65536,2,0)</f>
        <v>43758</v>
      </c>
      <c r="BE167" s="3297" t="s">
        <v>4367</v>
      </c>
      <c r="BG167" s="3297">
        <f>IFERROR(VLOOKUP(B167,[3]Sheet2!A$1:B$65536,2,FALSE),0)</f>
        <v>0</v>
      </c>
      <c r="BI167" s="3297">
        <f>IFERROR(VLOOKUP(B167,[3]Sheet2!A$1:C$65536,2,FALSE),0)</f>
        <v>0</v>
      </c>
      <c r="BJ167" s="3297">
        <f>IFERROR(VLOOKUP(B167,[3]Sheet2!A$1:C$65536,3,FALSE),0)</f>
        <v>0</v>
      </c>
    </row>
    <row r="168" spans="1:62" s="3261" customFormat="1" ht="20.25" customHeight="1">
      <c r="A168" s="3226">
        <v>166</v>
      </c>
      <c r="B168" s="3250" t="s">
        <v>4770</v>
      </c>
      <c r="C168" s="3227" t="s">
        <v>3333</v>
      </c>
      <c r="D168" s="3252" t="s">
        <v>4771</v>
      </c>
      <c r="E168" s="3229">
        <v>43764</v>
      </c>
      <c r="F168" s="3230">
        <v>20000</v>
      </c>
      <c r="G168" s="3231">
        <v>128.81</v>
      </c>
      <c r="H168" s="3231" t="str">
        <f t="shared" si="28"/>
        <v>普通住宅</v>
      </c>
      <c r="I168" s="3230">
        <v>1942971</v>
      </c>
      <c r="J168" s="3229">
        <v>43788</v>
      </c>
      <c r="K168" s="3284">
        <f t="shared" si="29"/>
        <v>11</v>
      </c>
      <c r="L168" s="3230">
        <v>1917971</v>
      </c>
      <c r="M168" s="3235">
        <f t="shared" si="30"/>
        <v>14889.92314261315</v>
      </c>
      <c r="N168" s="3236">
        <v>597971</v>
      </c>
      <c r="O168" s="3244">
        <f t="shared" si="31"/>
        <v>1917971</v>
      </c>
      <c r="P168" s="3244"/>
      <c r="Q168" s="3244"/>
      <c r="R168" s="3244">
        <f t="shared" si="32"/>
        <v>617971</v>
      </c>
      <c r="S168" s="3244">
        <f t="shared" si="33"/>
        <v>617971</v>
      </c>
      <c r="T168" s="3236"/>
      <c r="U168" s="3236"/>
      <c r="V168" s="3236">
        <v>1300000</v>
      </c>
      <c r="W168" s="3236"/>
      <c r="X168" s="3244">
        <f t="shared" si="34"/>
        <v>1917971</v>
      </c>
      <c r="Y168" s="3244">
        <f t="shared" si="35"/>
        <v>0</v>
      </c>
      <c r="Z168" s="3285">
        <f t="shared" si="36"/>
        <v>1</v>
      </c>
      <c r="AA168" s="3226" t="s">
        <v>3319</v>
      </c>
      <c r="AB168" s="3226" t="s">
        <v>4587</v>
      </c>
      <c r="AC168" s="3226" t="s">
        <v>4698</v>
      </c>
      <c r="AD168" s="3286" t="s">
        <v>4419</v>
      </c>
      <c r="AE168" s="3286" t="s">
        <v>4427</v>
      </c>
      <c r="AF168" s="3286"/>
      <c r="AG168" s="3323"/>
      <c r="AH168" s="3255">
        <v>43788</v>
      </c>
      <c r="AI168" s="3255">
        <v>43797</v>
      </c>
      <c r="AJ168" s="3255">
        <v>43833</v>
      </c>
      <c r="AK168" s="3287">
        <f t="shared" si="37"/>
        <v>2020</v>
      </c>
      <c r="AL168" s="3288">
        <f t="shared" si="38"/>
        <v>1</v>
      </c>
      <c r="AM168" s="3226" t="s">
        <v>4477</v>
      </c>
      <c r="AN168" s="3289">
        <v>1300000</v>
      </c>
      <c r="AO168" s="3300"/>
      <c r="AP168" s="3300"/>
      <c r="AQ168" s="3300"/>
      <c r="AR168" s="3292"/>
      <c r="AS168" s="3292"/>
      <c r="AT168" s="3292"/>
      <c r="AU168" s="3293" t="str">
        <f t="shared" si="40"/>
        <v/>
      </c>
      <c r="AV168" s="3293" t="str">
        <f t="shared" si="41"/>
        <v/>
      </c>
      <c r="AW168" s="3294"/>
      <c r="AX168" s="3236"/>
      <c r="AY168" s="3244"/>
      <c r="AZ168" s="3295" t="s">
        <v>4464</v>
      </c>
      <c r="BA168" s="3296" t="str">
        <f t="shared" si="39"/>
        <v>签约</v>
      </c>
      <c r="BB168" s="3226" t="s">
        <v>4455</v>
      </c>
      <c r="BC168" s="3226"/>
      <c r="BD168" s="3292">
        <f>VLOOKUP(B168,[3]Sheet1!A$1:B$65536,2,0)</f>
        <v>43805</v>
      </c>
      <c r="BE168" s="3297" t="s">
        <v>4367</v>
      </c>
      <c r="BG168" s="3297">
        <f>IFERROR(VLOOKUP(B168,[3]Sheet2!A$1:B$65536,2,FALSE),0)</f>
        <v>0</v>
      </c>
      <c r="BI168" s="3297">
        <f>IFERROR(VLOOKUP(B168,[3]Sheet2!A$1:C$65536,2,FALSE),0)</f>
        <v>0</v>
      </c>
      <c r="BJ168" s="3297">
        <f>IFERROR(VLOOKUP(B168,[3]Sheet2!A$1:C$65536,3,FALSE),0)</f>
        <v>0</v>
      </c>
    </row>
    <row r="169" spans="1:62" s="3261" customFormat="1" ht="20.25" customHeight="1">
      <c r="A169" s="3226">
        <v>167</v>
      </c>
      <c r="B169" s="3250" t="s">
        <v>4772</v>
      </c>
      <c r="C169" s="3227" t="s">
        <v>3333</v>
      </c>
      <c r="D169" s="3254" t="s">
        <v>3656</v>
      </c>
      <c r="E169" s="3255">
        <v>43961</v>
      </c>
      <c r="F169" s="3230">
        <v>50000</v>
      </c>
      <c r="G169" s="3231">
        <v>128.81</v>
      </c>
      <c r="H169" s="3231" t="str">
        <f t="shared" si="28"/>
        <v>普通住宅</v>
      </c>
      <c r="I169" s="3230">
        <v>1869934</v>
      </c>
      <c r="J169" s="3229">
        <v>43961</v>
      </c>
      <c r="K169" s="3284">
        <f t="shared" si="29"/>
        <v>5</v>
      </c>
      <c r="L169" s="3230">
        <v>1849934</v>
      </c>
      <c r="M169" s="3235">
        <f t="shared" si="30"/>
        <v>14361.726574023756</v>
      </c>
      <c r="N169" s="3236">
        <v>509934</v>
      </c>
      <c r="O169" s="3244">
        <f t="shared" si="31"/>
        <v>1849934</v>
      </c>
      <c r="P169" s="3244"/>
      <c r="Q169" s="3244"/>
      <c r="R169" s="3244">
        <f t="shared" si="32"/>
        <v>559934</v>
      </c>
      <c r="S169" s="3244">
        <f t="shared" si="33"/>
        <v>559934</v>
      </c>
      <c r="T169" s="3236"/>
      <c r="U169" s="3236"/>
      <c r="V169" s="3236"/>
      <c r="W169" s="3236"/>
      <c r="X169" s="3244">
        <f t="shared" si="34"/>
        <v>559934</v>
      </c>
      <c r="Y169" s="3244">
        <f t="shared" si="35"/>
        <v>1290000</v>
      </c>
      <c r="Z169" s="3285">
        <f t="shared" si="36"/>
        <v>0.30267782526295534</v>
      </c>
      <c r="AA169" s="3226" t="s">
        <v>3319</v>
      </c>
      <c r="AB169" s="3226" t="s">
        <v>4587</v>
      </c>
      <c r="AC169" s="3226" t="s">
        <v>4698</v>
      </c>
      <c r="AD169" s="3286" t="s">
        <v>4773</v>
      </c>
      <c r="AE169" s="3286" t="s">
        <v>4774</v>
      </c>
      <c r="AF169" s="3286"/>
      <c r="AG169" s="3323"/>
      <c r="AH169" s="3255"/>
      <c r="AI169" s="3255"/>
      <c r="AJ169" s="3255"/>
      <c r="AK169" s="3287" t="str">
        <f t="shared" si="37"/>
        <v/>
      </c>
      <c r="AL169" s="3288" t="str">
        <f t="shared" si="38"/>
        <v/>
      </c>
      <c r="AM169" s="3226"/>
      <c r="AN169" s="3289"/>
      <c r="AO169" s="3300"/>
      <c r="AP169" s="3300"/>
      <c r="AQ169" s="3300"/>
      <c r="AR169" s="3292"/>
      <c r="AS169" s="3292"/>
      <c r="AT169" s="3292"/>
      <c r="AU169" s="3293" t="str">
        <f t="shared" si="40"/>
        <v/>
      </c>
      <c r="AV169" s="3293" t="str">
        <f t="shared" si="41"/>
        <v/>
      </c>
      <c r="AW169" s="3294"/>
      <c r="AX169" s="3236"/>
      <c r="AY169" s="3244"/>
      <c r="AZ169" s="3325" t="s">
        <v>3385</v>
      </c>
      <c r="BA169" s="3296" t="str">
        <f t="shared" si="39"/>
        <v>签约</v>
      </c>
      <c r="BB169" s="3226"/>
      <c r="BC169" s="3226"/>
      <c r="BD169" s="3292"/>
      <c r="BE169" s="3326" t="s">
        <v>4449</v>
      </c>
      <c r="BG169" s="3297">
        <f>IFERROR(VLOOKUP(B169,[3]Sheet2!A$1:B$65536,2,FALSE),0)</f>
        <v>0</v>
      </c>
      <c r="BI169" s="3297">
        <f>IFERROR(VLOOKUP(B169,[3]Sheet2!A$1:C$65536,2,FALSE),0)</f>
        <v>0</v>
      </c>
      <c r="BJ169" s="3297">
        <f>IFERROR(VLOOKUP(B169,[3]Sheet2!A$1:C$65536,3,FALSE),0)</f>
        <v>0</v>
      </c>
    </row>
    <row r="170" spans="1:62" s="3261" customFormat="1" ht="20.25" customHeight="1">
      <c r="A170" s="3226">
        <v>168</v>
      </c>
      <c r="B170" s="3250" t="s">
        <v>4775</v>
      </c>
      <c r="C170" s="3227" t="s">
        <v>3333</v>
      </c>
      <c r="D170" s="3251" t="s">
        <v>3658</v>
      </c>
      <c r="E170" s="3257">
        <v>43829</v>
      </c>
      <c r="F170" s="3258">
        <v>20000</v>
      </c>
      <c r="G170" s="3231">
        <v>126.31</v>
      </c>
      <c r="H170" s="3231" t="str">
        <f t="shared" si="28"/>
        <v>普通住宅</v>
      </c>
      <c r="I170" s="3230">
        <v>1640656</v>
      </c>
      <c r="J170" s="3229">
        <v>44011</v>
      </c>
      <c r="K170" s="3284">
        <f t="shared" si="29"/>
        <v>6</v>
      </c>
      <c r="L170" s="3230">
        <v>1567186</v>
      </c>
      <c r="M170" s="3235">
        <f t="shared" si="30"/>
        <v>12407.45784181775</v>
      </c>
      <c r="N170" s="3236">
        <v>457186</v>
      </c>
      <c r="O170" s="3244">
        <f t="shared" si="31"/>
        <v>1567186</v>
      </c>
      <c r="P170" s="3244"/>
      <c r="Q170" s="3244"/>
      <c r="R170" s="3244">
        <f t="shared" si="32"/>
        <v>477186</v>
      </c>
      <c r="S170" s="3244">
        <f t="shared" si="33"/>
        <v>477186</v>
      </c>
      <c r="T170" s="3236"/>
      <c r="U170" s="3236"/>
      <c r="V170" s="3236"/>
      <c r="W170" s="3236"/>
      <c r="X170" s="3244">
        <f t="shared" si="34"/>
        <v>477186</v>
      </c>
      <c r="Y170" s="3244">
        <f t="shared" si="35"/>
        <v>1090000</v>
      </c>
      <c r="Z170" s="3285">
        <f t="shared" si="36"/>
        <v>0.30448587468239252</v>
      </c>
      <c r="AA170" s="3226" t="s">
        <v>3319</v>
      </c>
      <c r="AB170" s="3226" t="s">
        <v>4587</v>
      </c>
      <c r="AC170" s="3226" t="s">
        <v>4698</v>
      </c>
      <c r="AD170" s="3286" t="s">
        <v>4539</v>
      </c>
      <c r="AE170" s="3286" t="s">
        <v>4776</v>
      </c>
      <c r="AF170" s="3286"/>
      <c r="AG170" s="3323"/>
      <c r="AH170" s="3255">
        <v>44015</v>
      </c>
      <c r="AI170" s="3255">
        <v>44026</v>
      </c>
      <c r="AJ170" s="3255"/>
      <c r="AK170" s="3287" t="str">
        <f t="shared" si="37"/>
        <v/>
      </c>
      <c r="AL170" s="3288" t="str">
        <f t="shared" si="38"/>
        <v/>
      </c>
      <c r="AM170" s="3226" t="s">
        <v>4777</v>
      </c>
      <c r="AN170" s="3289">
        <v>1090000</v>
      </c>
      <c r="AO170" s="3300"/>
      <c r="AP170" s="3300"/>
      <c r="AQ170" s="3300"/>
      <c r="AR170" s="3292"/>
      <c r="AS170" s="3292"/>
      <c r="AT170" s="3292"/>
      <c r="AU170" s="3293" t="str">
        <f t="shared" si="40"/>
        <v/>
      </c>
      <c r="AV170" s="3293" t="str">
        <f t="shared" si="41"/>
        <v/>
      </c>
      <c r="AW170" s="3294"/>
      <c r="AX170" s="3236"/>
      <c r="AY170" s="3244"/>
      <c r="AZ170" s="3295">
        <v>0</v>
      </c>
      <c r="BA170" s="3296" t="str">
        <f t="shared" si="39"/>
        <v>签约</v>
      </c>
      <c r="BB170" s="3226"/>
      <c r="BC170" s="3226"/>
      <c r="BD170" s="3292"/>
      <c r="BE170" s="3297" t="s">
        <v>4434</v>
      </c>
      <c r="BG170" s="3297">
        <f>IFERROR(VLOOKUP(B170,[3]Sheet2!A$1:B$65536,2,FALSE),0)</f>
        <v>0</v>
      </c>
      <c r="BI170" s="3297">
        <f>IFERROR(VLOOKUP(B170,[3]Sheet2!A$1:C$65536,2,FALSE),0)</f>
        <v>0</v>
      </c>
      <c r="BJ170" s="3297">
        <f>IFERROR(VLOOKUP(B170,[3]Sheet2!A$1:C$65536,3,FALSE),0)</f>
        <v>0</v>
      </c>
    </row>
    <row r="171" spans="1:62" s="3261" customFormat="1" ht="20.25" customHeight="1">
      <c r="A171" s="3226">
        <v>169</v>
      </c>
      <c r="B171" s="3250" t="s">
        <v>4778</v>
      </c>
      <c r="C171" s="3227" t="s">
        <v>3333</v>
      </c>
      <c r="D171" s="3251" t="s">
        <v>3660</v>
      </c>
      <c r="E171" s="3229">
        <v>43799</v>
      </c>
      <c r="F171" s="3230">
        <v>50000</v>
      </c>
      <c r="G171" s="3231">
        <v>128.81</v>
      </c>
      <c r="H171" s="3231" t="str">
        <f t="shared" si="28"/>
        <v>普通住宅</v>
      </c>
      <c r="I171" s="3230">
        <v>1778956</v>
      </c>
      <c r="J171" s="3229">
        <v>43802</v>
      </c>
      <c r="K171" s="3284">
        <f t="shared" si="29"/>
        <v>12</v>
      </c>
      <c r="L171" s="3230">
        <v>1758956</v>
      </c>
      <c r="M171" s="3235">
        <f t="shared" si="30"/>
        <v>13655.430479000077</v>
      </c>
      <c r="N171" s="3236">
        <v>508956</v>
      </c>
      <c r="O171" s="3244">
        <f t="shared" si="31"/>
        <v>1758956</v>
      </c>
      <c r="P171" s="3244"/>
      <c r="Q171" s="3244"/>
      <c r="R171" s="3244">
        <f t="shared" si="32"/>
        <v>558956</v>
      </c>
      <c r="S171" s="3244">
        <f t="shared" si="33"/>
        <v>558956</v>
      </c>
      <c r="T171" s="3236"/>
      <c r="U171" s="3236"/>
      <c r="V171" s="3236">
        <v>1200000</v>
      </c>
      <c r="W171" s="3236"/>
      <c r="X171" s="3244">
        <f t="shared" si="34"/>
        <v>1758956</v>
      </c>
      <c r="Y171" s="3244">
        <f t="shared" si="35"/>
        <v>0</v>
      </c>
      <c r="Z171" s="3285">
        <f t="shared" si="36"/>
        <v>1</v>
      </c>
      <c r="AA171" s="3226" t="s">
        <v>4416</v>
      </c>
      <c r="AB171" s="3226" t="s">
        <v>4417</v>
      </c>
      <c r="AC171" s="3226" t="s">
        <v>4418</v>
      </c>
      <c r="AD171" s="3286" t="s">
        <v>4419</v>
      </c>
      <c r="AE171" s="3286" t="s">
        <v>4427</v>
      </c>
      <c r="AF171" s="3286"/>
      <c r="AG171" s="3323"/>
      <c r="AH171" s="3255">
        <v>43802</v>
      </c>
      <c r="AI171" s="3255">
        <v>43810</v>
      </c>
      <c r="AJ171" s="3255">
        <v>43836</v>
      </c>
      <c r="AK171" s="3287">
        <f t="shared" si="37"/>
        <v>2020</v>
      </c>
      <c r="AL171" s="3288">
        <f t="shared" si="38"/>
        <v>1</v>
      </c>
      <c r="AM171" s="3226" t="s">
        <v>4701</v>
      </c>
      <c r="AN171" s="3289">
        <v>1200000</v>
      </c>
      <c r="AO171" s="3300"/>
      <c r="AP171" s="3300"/>
      <c r="AQ171" s="3300"/>
      <c r="AR171" s="3292"/>
      <c r="AS171" s="3292"/>
      <c r="AT171" s="3292"/>
      <c r="AU171" s="3293" t="str">
        <f t="shared" si="40"/>
        <v/>
      </c>
      <c r="AV171" s="3293" t="str">
        <f t="shared" si="41"/>
        <v/>
      </c>
      <c r="AW171" s="3294"/>
      <c r="AX171" s="3236"/>
      <c r="AY171" s="3244"/>
      <c r="AZ171" s="3295" t="s">
        <v>4445</v>
      </c>
      <c r="BA171" s="3296" t="str">
        <f t="shared" si="39"/>
        <v>签约</v>
      </c>
      <c r="BB171" s="3226"/>
      <c r="BC171" s="3226"/>
      <c r="BD171" s="3292">
        <f>VLOOKUP(B171,[3]Sheet1!A$1:B$65536,2,0)</f>
        <v>43810</v>
      </c>
      <c r="BE171" s="3297" t="s">
        <v>4696</v>
      </c>
      <c r="BG171" s="3297">
        <f>IFERROR(VLOOKUP(B171,[3]Sheet2!A$1:B$65536,2,FALSE),0)</f>
        <v>0</v>
      </c>
      <c r="BI171" s="3297">
        <f>IFERROR(VLOOKUP(B171,[3]Sheet2!A$1:C$65536,2,FALSE),0)</f>
        <v>0</v>
      </c>
      <c r="BJ171" s="3297">
        <f>IFERROR(VLOOKUP(B171,[3]Sheet2!A$1:C$65536,3,FALSE),0)</f>
        <v>0</v>
      </c>
    </row>
    <row r="172" spans="1:62" s="3261" customFormat="1" ht="20.25" customHeight="1">
      <c r="A172" s="3226">
        <v>170</v>
      </c>
      <c r="B172" s="3250" t="s">
        <v>4779</v>
      </c>
      <c r="C172" s="3227" t="s">
        <v>3333</v>
      </c>
      <c r="D172" s="3251" t="s">
        <v>3662</v>
      </c>
      <c r="E172" s="3229">
        <v>43818</v>
      </c>
      <c r="F172" s="3230">
        <v>50000</v>
      </c>
      <c r="G172" s="3231">
        <v>128.81</v>
      </c>
      <c r="H172" s="3231" t="str">
        <f t="shared" si="28"/>
        <v>普通住宅</v>
      </c>
      <c r="I172" s="3230">
        <v>1832073</v>
      </c>
      <c r="J172" s="3229">
        <v>43829</v>
      </c>
      <c r="K172" s="3284">
        <f t="shared" si="29"/>
        <v>12</v>
      </c>
      <c r="L172" s="3230">
        <v>1822073</v>
      </c>
      <c r="M172" s="3235">
        <f t="shared" si="30"/>
        <v>14145.431255337318</v>
      </c>
      <c r="N172" s="3236">
        <v>792073</v>
      </c>
      <c r="O172" s="3244">
        <f t="shared" si="31"/>
        <v>1822073</v>
      </c>
      <c r="P172" s="3244"/>
      <c r="Q172" s="3244"/>
      <c r="R172" s="3244">
        <f t="shared" si="32"/>
        <v>842073</v>
      </c>
      <c r="S172" s="3244">
        <f t="shared" si="33"/>
        <v>842073</v>
      </c>
      <c r="T172" s="3236"/>
      <c r="U172" s="3236"/>
      <c r="V172" s="3236">
        <v>410000</v>
      </c>
      <c r="W172" s="3236">
        <v>570000</v>
      </c>
      <c r="X172" s="3244">
        <f t="shared" si="34"/>
        <v>1822073</v>
      </c>
      <c r="Y172" s="3244">
        <f t="shared" si="35"/>
        <v>0</v>
      </c>
      <c r="Z172" s="3285">
        <f t="shared" si="36"/>
        <v>1</v>
      </c>
      <c r="AA172" s="3226" t="s">
        <v>4416</v>
      </c>
      <c r="AB172" s="3226" t="s">
        <v>4417</v>
      </c>
      <c r="AC172" s="3226" t="s">
        <v>4452</v>
      </c>
      <c r="AD172" s="3286" t="s">
        <v>4539</v>
      </c>
      <c r="AE172" s="3286" t="s">
        <v>4427</v>
      </c>
      <c r="AF172" s="3286"/>
      <c r="AG172" s="3323"/>
      <c r="AH172" s="3255">
        <v>43891</v>
      </c>
      <c r="AI172" s="3255">
        <v>43891</v>
      </c>
      <c r="AJ172" s="3255">
        <v>43915</v>
      </c>
      <c r="AK172" s="3287">
        <f t="shared" si="37"/>
        <v>2020</v>
      </c>
      <c r="AL172" s="3288">
        <f t="shared" si="38"/>
        <v>3</v>
      </c>
      <c r="AM172" s="3226" t="s">
        <v>4701</v>
      </c>
      <c r="AN172" s="3289">
        <v>410000</v>
      </c>
      <c r="AO172" s="3300" t="s">
        <v>4419</v>
      </c>
      <c r="AP172" s="3300" t="s">
        <v>4427</v>
      </c>
      <c r="AQ172" s="3300"/>
      <c r="AR172" s="3292">
        <v>43891</v>
      </c>
      <c r="AS172" s="3292">
        <v>43891</v>
      </c>
      <c r="AT172" s="3292">
        <v>43924</v>
      </c>
      <c r="AU172" s="3293">
        <f t="shared" si="40"/>
        <v>2020</v>
      </c>
      <c r="AV172" s="3293">
        <f t="shared" si="41"/>
        <v>4</v>
      </c>
      <c r="AW172" s="3294" t="s">
        <v>4657</v>
      </c>
      <c r="AX172" s="3236">
        <v>570000</v>
      </c>
      <c r="AY172" s="3244"/>
      <c r="AZ172" s="3295" t="s">
        <v>4507</v>
      </c>
      <c r="BA172" s="3296" t="str">
        <f t="shared" si="39"/>
        <v>签约</v>
      </c>
      <c r="BB172" s="3226"/>
      <c r="BC172" s="3226"/>
      <c r="BD172" s="3292"/>
      <c r="BE172" s="3297" t="s">
        <v>4367</v>
      </c>
      <c r="BG172" s="3297">
        <f>IFERROR(VLOOKUP(B172,[3]Sheet2!A$1:B$65536,2,FALSE),0)</f>
        <v>0</v>
      </c>
      <c r="BI172" s="3297">
        <f>IFERROR(VLOOKUP(B172,[3]Sheet2!A$1:C$65536,2,FALSE),0)</f>
        <v>0</v>
      </c>
      <c r="BJ172" s="3297">
        <f>IFERROR(VLOOKUP(B172,[3]Sheet2!A$1:C$65536,3,FALSE),0)</f>
        <v>0</v>
      </c>
    </row>
    <row r="173" spans="1:62" s="3261" customFormat="1" ht="20.25" customHeight="1">
      <c r="A173" s="3226">
        <v>171</v>
      </c>
      <c r="B173" s="3250" t="s">
        <v>4780</v>
      </c>
      <c r="C173" s="3227" t="s">
        <v>3333</v>
      </c>
      <c r="D173" s="3251" t="s">
        <v>3664</v>
      </c>
      <c r="E173" s="3229">
        <v>43837</v>
      </c>
      <c r="F173" s="3230">
        <v>50000</v>
      </c>
      <c r="G173" s="3231">
        <v>128.81</v>
      </c>
      <c r="H173" s="3231" t="str">
        <f t="shared" si="28"/>
        <v>普通住宅</v>
      </c>
      <c r="I173" s="3230">
        <v>1871911</v>
      </c>
      <c r="J173" s="3229">
        <v>43893</v>
      </c>
      <c r="K173" s="3284">
        <f t="shared" si="29"/>
        <v>3</v>
      </c>
      <c r="L173" s="3230">
        <v>1871911</v>
      </c>
      <c r="M173" s="3235">
        <f t="shared" si="30"/>
        <v>14532.342209455788</v>
      </c>
      <c r="N173" s="3236">
        <v>511911</v>
      </c>
      <c r="O173" s="3244">
        <f t="shared" si="31"/>
        <v>1871911</v>
      </c>
      <c r="P173" s="3244"/>
      <c r="Q173" s="3244"/>
      <c r="R173" s="3244">
        <f t="shared" si="32"/>
        <v>561911</v>
      </c>
      <c r="S173" s="3244">
        <f t="shared" si="33"/>
        <v>561911</v>
      </c>
      <c r="T173" s="3236"/>
      <c r="U173" s="3236"/>
      <c r="V173" s="3236">
        <v>1310000</v>
      </c>
      <c r="W173" s="3236"/>
      <c r="X173" s="3244">
        <f t="shared" si="34"/>
        <v>1871911</v>
      </c>
      <c r="Y173" s="3244">
        <f t="shared" si="35"/>
        <v>0</v>
      </c>
      <c r="Z173" s="3285">
        <f t="shared" si="36"/>
        <v>1</v>
      </c>
      <c r="AA173" s="3226" t="s">
        <v>3319</v>
      </c>
      <c r="AB173" s="3226" t="s">
        <v>4587</v>
      </c>
      <c r="AC173" s="3226" t="s">
        <v>4698</v>
      </c>
      <c r="AD173" s="3286" t="s">
        <v>4539</v>
      </c>
      <c r="AE173" s="3286" t="s">
        <v>4427</v>
      </c>
      <c r="AF173" s="3286"/>
      <c r="AG173" s="3323"/>
      <c r="AH173" s="3255">
        <v>43899</v>
      </c>
      <c r="AI173" s="3255">
        <v>43899</v>
      </c>
      <c r="AJ173" s="3255">
        <v>43915</v>
      </c>
      <c r="AK173" s="3287">
        <f t="shared" si="37"/>
        <v>2020</v>
      </c>
      <c r="AL173" s="3288">
        <f t="shared" si="38"/>
        <v>3</v>
      </c>
      <c r="AM173" s="3226" t="s">
        <v>4433</v>
      </c>
      <c r="AN173" s="3289">
        <v>1310000</v>
      </c>
      <c r="AO173" s="3300"/>
      <c r="AP173" s="3300"/>
      <c r="AQ173" s="3300"/>
      <c r="AR173" s="3292"/>
      <c r="AS173" s="3292"/>
      <c r="AT173" s="3292"/>
      <c r="AU173" s="3293" t="str">
        <f t="shared" si="40"/>
        <v/>
      </c>
      <c r="AV173" s="3293" t="str">
        <f t="shared" si="41"/>
        <v/>
      </c>
      <c r="AW173" s="3294"/>
      <c r="AX173" s="3236"/>
      <c r="AY173" s="3244"/>
      <c r="AZ173" s="3295" t="s">
        <v>4454</v>
      </c>
      <c r="BA173" s="3296" t="str">
        <f t="shared" si="39"/>
        <v>签约</v>
      </c>
      <c r="BB173" s="3226"/>
      <c r="BC173" s="3226"/>
      <c r="BD173" s="3292"/>
      <c r="BE173" s="3297" t="s">
        <v>4465</v>
      </c>
      <c r="BG173" s="3297">
        <f>IFERROR(VLOOKUP(B173,[3]Sheet2!A$1:B$65536,2,FALSE),0)</f>
        <v>0</v>
      </c>
      <c r="BI173" s="3297">
        <f>IFERROR(VLOOKUP(B173,[3]Sheet2!A$1:C$65536,2,FALSE),0)</f>
        <v>0</v>
      </c>
      <c r="BJ173" s="3297">
        <f>IFERROR(VLOOKUP(B173,[3]Sheet2!A$1:C$65536,3,FALSE),0)</f>
        <v>0</v>
      </c>
    </row>
    <row r="174" spans="1:62" s="3261" customFormat="1" ht="20.25" customHeight="1">
      <c r="A174" s="3226">
        <v>172</v>
      </c>
      <c r="B174" s="3250" t="s">
        <v>4781</v>
      </c>
      <c r="C174" s="3227" t="s">
        <v>3333</v>
      </c>
      <c r="D174" s="3259" t="s">
        <v>3666</v>
      </c>
      <c r="E174" s="3229">
        <v>43800</v>
      </c>
      <c r="F174" s="3230">
        <f>20000+30000</f>
        <v>50000</v>
      </c>
      <c r="G174" s="3231">
        <v>128.81</v>
      </c>
      <c r="H174" s="3231" t="str">
        <f t="shared" si="28"/>
        <v>普通住宅</v>
      </c>
      <c r="I174" s="3230">
        <v>1905110</v>
      </c>
      <c r="J174" s="3229">
        <v>43803</v>
      </c>
      <c r="K174" s="3284">
        <f t="shared" si="29"/>
        <v>12</v>
      </c>
      <c r="L174" s="3230">
        <v>1885110</v>
      </c>
      <c r="M174" s="3235">
        <f t="shared" si="30"/>
        <v>14634.810961881842</v>
      </c>
      <c r="N174" s="3236">
        <v>525110</v>
      </c>
      <c r="O174" s="3244">
        <f t="shared" si="31"/>
        <v>1885110</v>
      </c>
      <c r="P174" s="3244"/>
      <c r="Q174" s="3244"/>
      <c r="R174" s="3244">
        <f t="shared" si="32"/>
        <v>575110</v>
      </c>
      <c r="S174" s="3244">
        <f t="shared" si="33"/>
        <v>575110</v>
      </c>
      <c r="T174" s="3236"/>
      <c r="U174" s="3236"/>
      <c r="V174" s="3236">
        <v>1310000</v>
      </c>
      <c r="W174" s="3236"/>
      <c r="X174" s="3244">
        <f t="shared" si="34"/>
        <v>1885110</v>
      </c>
      <c r="Y174" s="3244">
        <f t="shared" si="35"/>
        <v>0</v>
      </c>
      <c r="Z174" s="3285">
        <f t="shared" si="36"/>
        <v>1</v>
      </c>
      <c r="AA174" s="3226" t="s">
        <v>4416</v>
      </c>
      <c r="AB174" s="3226" t="s">
        <v>4417</v>
      </c>
      <c r="AC174" s="3226" t="s">
        <v>4418</v>
      </c>
      <c r="AD174" s="3286" t="s">
        <v>4539</v>
      </c>
      <c r="AE174" s="3286" t="s">
        <v>4427</v>
      </c>
      <c r="AF174" s="3286"/>
      <c r="AG174" s="3323"/>
      <c r="AH174" s="3255">
        <v>43810</v>
      </c>
      <c r="AI174" s="3255">
        <v>43810</v>
      </c>
      <c r="AJ174" s="3255">
        <v>43843</v>
      </c>
      <c r="AK174" s="3287">
        <f t="shared" si="37"/>
        <v>2020</v>
      </c>
      <c r="AL174" s="3288">
        <f t="shared" si="38"/>
        <v>1</v>
      </c>
      <c r="AM174" s="3226" t="s">
        <v>4433</v>
      </c>
      <c r="AN174" s="3289">
        <v>1310000</v>
      </c>
      <c r="AO174" s="3300"/>
      <c r="AP174" s="3300"/>
      <c r="AQ174" s="3300"/>
      <c r="AR174" s="3292"/>
      <c r="AS174" s="3292"/>
      <c r="AT174" s="3292"/>
      <c r="AU174" s="3293" t="str">
        <f t="shared" si="40"/>
        <v/>
      </c>
      <c r="AV174" s="3293" t="str">
        <f t="shared" si="41"/>
        <v/>
      </c>
      <c r="AW174" s="3294"/>
      <c r="AX174" s="3236"/>
      <c r="AY174" s="3244"/>
      <c r="AZ174" s="3295" t="s">
        <v>4441</v>
      </c>
      <c r="BA174" s="3296" t="str">
        <f t="shared" si="39"/>
        <v>签约</v>
      </c>
      <c r="BB174" s="3226"/>
      <c r="BC174" s="3226"/>
      <c r="BD174" s="3292">
        <v>43823</v>
      </c>
      <c r="BE174" s="3297" t="s">
        <v>4465</v>
      </c>
      <c r="BG174" s="3297">
        <f>IFERROR(VLOOKUP(B174,[3]Sheet2!A$1:B$65536,2,FALSE),0)</f>
        <v>0</v>
      </c>
      <c r="BI174" s="3297">
        <f>IFERROR(VLOOKUP(B174,[3]Sheet2!A$1:C$65536,2,FALSE),0)</f>
        <v>0</v>
      </c>
      <c r="BJ174" s="3297">
        <f>IFERROR(VLOOKUP(B174,[3]Sheet2!A$1:C$65536,3,FALSE),0)</f>
        <v>0</v>
      </c>
    </row>
    <row r="175" spans="1:62" s="3261" customFormat="1" ht="20.25" customHeight="1">
      <c r="A175" s="3226">
        <v>173</v>
      </c>
      <c r="B175" s="3250" t="s">
        <v>4782</v>
      </c>
      <c r="C175" s="3227" t="s">
        <v>3333</v>
      </c>
      <c r="D175" s="3251" t="s">
        <v>3668</v>
      </c>
      <c r="E175" s="3229">
        <v>43764</v>
      </c>
      <c r="F175" s="3230">
        <v>20000</v>
      </c>
      <c r="G175" s="3231">
        <v>128.81</v>
      </c>
      <c r="H175" s="3231" t="str">
        <f t="shared" si="28"/>
        <v>普通住宅</v>
      </c>
      <c r="I175" s="3230">
        <v>1911749</v>
      </c>
      <c r="J175" s="3229">
        <v>43769</v>
      </c>
      <c r="K175" s="3284">
        <f t="shared" si="29"/>
        <v>10</v>
      </c>
      <c r="L175" s="3230">
        <v>1886749</v>
      </c>
      <c r="M175" s="3235">
        <f t="shared" si="30"/>
        <v>14647.53512926015</v>
      </c>
      <c r="N175" s="3236">
        <f>366749+120000+60000</f>
        <v>546749</v>
      </c>
      <c r="O175" s="3244">
        <f t="shared" si="31"/>
        <v>1886749</v>
      </c>
      <c r="P175" s="3244"/>
      <c r="Q175" s="3244"/>
      <c r="R175" s="3244">
        <f t="shared" si="32"/>
        <v>566749</v>
      </c>
      <c r="S175" s="3244">
        <f t="shared" si="33"/>
        <v>566749</v>
      </c>
      <c r="T175" s="3236"/>
      <c r="U175" s="3236"/>
      <c r="V175" s="3236">
        <v>1320000</v>
      </c>
      <c r="W175" s="3236"/>
      <c r="X175" s="3244">
        <f t="shared" si="34"/>
        <v>1886749</v>
      </c>
      <c r="Y175" s="3244">
        <f t="shared" si="35"/>
        <v>0</v>
      </c>
      <c r="Z175" s="3285">
        <f t="shared" si="36"/>
        <v>1</v>
      </c>
      <c r="AA175" s="3226" t="s">
        <v>4416</v>
      </c>
      <c r="AB175" s="3226" t="s">
        <v>4417</v>
      </c>
      <c r="AC175" s="3226" t="s">
        <v>4418</v>
      </c>
      <c r="AD175" s="3286" t="s">
        <v>4539</v>
      </c>
      <c r="AE175" s="3286" t="s">
        <v>4427</v>
      </c>
      <c r="AF175" s="3286"/>
      <c r="AG175" s="3323"/>
      <c r="AH175" s="3255">
        <v>43828</v>
      </c>
      <c r="AI175" s="3255">
        <v>43853</v>
      </c>
      <c r="AJ175" s="3255">
        <v>43866</v>
      </c>
      <c r="AK175" s="3287">
        <f t="shared" si="37"/>
        <v>2020</v>
      </c>
      <c r="AL175" s="3288">
        <f t="shared" si="38"/>
        <v>2</v>
      </c>
      <c r="AM175" s="3226" t="s">
        <v>4739</v>
      </c>
      <c r="AN175" s="3289">
        <v>1320000</v>
      </c>
      <c r="AO175" s="3300"/>
      <c r="AP175" s="3300"/>
      <c r="AQ175" s="3300"/>
      <c r="AR175" s="3292"/>
      <c r="AS175" s="3292"/>
      <c r="AT175" s="3292"/>
      <c r="AU175" s="3293" t="str">
        <f t="shared" si="40"/>
        <v/>
      </c>
      <c r="AV175" s="3293" t="str">
        <f t="shared" si="41"/>
        <v/>
      </c>
      <c r="AW175" s="3294"/>
      <c r="AX175" s="3236"/>
      <c r="AY175" s="3244"/>
      <c r="AZ175" s="3295" t="s">
        <v>4448</v>
      </c>
      <c r="BA175" s="3296" t="str">
        <f t="shared" si="39"/>
        <v>签约</v>
      </c>
      <c r="BB175" s="3226" t="s">
        <v>4423</v>
      </c>
      <c r="BC175" s="3226"/>
      <c r="BD175" s="3292"/>
      <c r="BE175" s="3297" t="s">
        <v>4367</v>
      </c>
      <c r="BG175" s="3297">
        <f>IFERROR(VLOOKUP(B175,[3]Sheet2!A$1:B$65536,2,FALSE),0)</f>
        <v>0</v>
      </c>
      <c r="BI175" s="3297">
        <f>IFERROR(VLOOKUP(B175,[3]Sheet2!A$1:C$65536,2,FALSE),0)</f>
        <v>0</v>
      </c>
      <c r="BJ175" s="3297">
        <f>IFERROR(VLOOKUP(B175,[3]Sheet2!A$1:C$65536,3,FALSE),0)</f>
        <v>0</v>
      </c>
    </row>
    <row r="176" spans="1:62" s="3261" customFormat="1" ht="20.25" customHeight="1">
      <c r="A176" s="3226">
        <v>174</v>
      </c>
      <c r="B176" s="3250" t="s">
        <v>4783</v>
      </c>
      <c r="C176" s="3227" t="s">
        <v>3333</v>
      </c>
      <c r="D176" s="3252" t="s">
        <v>4784</v>
      </c>
      <c r="E176" s="3229">
        <v>43769</v>
      </c>
      <c r="F176" s="3230">
        <v>20000</v>
      </c>
      <c r="G176" s="3231">
        <v>128.81</v>
      </c>
      <c r="H176" s="3231" t="str">
        <f t="shared" si="28"/>
        <v>普通住宅</v>
      </c>
      <c r="I176" s="3230">
        <v>1918389</v>
      </c>
      <c r="J176" s="3229">
        <v>43769</v>
      </c>
      <c r="K176" s="3284">
        <f t="shared" si="29"/>
        <v>10</v>
      </c>
      <c r="L176" s="3230">
        <v>1908389</v>
      </c>
      <c r="M176" s="3235">
        <f t="shared" si="30"/>
        <v>14815.534508190358</v>
      </c>
      <c r="N176" s="3236">
        <f>558389+730000</f>
        <v>1288389</v>
      </c>
      <c r="O176" s="3244">
        <f t="shared" si="31"/>
        <v>1908389</v>
      </c>
      <c r="P176" s="3244"/>
      <c r="Q176" s="3244"/>
      <c r="R176" s="3244">
        <f t="shared" si="32"/>
        <v>1308389</v>
      </c>
      <c r="S176" s="3244">
        <f t="shared" si="33"/>
        <v>1308389</v>
      </c>
      <c r="T176" s="3236"/>
      <c r="U176" s="3236"/>
      <c r="V176" s="3236"/>
      <c r="W176" s="3236">
        <v>600000</v>
      </c>
      <c r="X176" s="3244">
        <f t="shared" si="34"/>
        <v>1908389</v>
      </c>
      <c r="Y176" s="3244">
        <f t="shared" si="35"/>
        <v>0</v>
      </c>
      <c r="Z176" s="3285">
        <f t="shared" si="36"/>
        <v>1</v>
      </c>
      <c r="AA176" s="3226" t="s">
        <v>4416</v>
      </c>
      <c r="AB176" s="3226" t="s">
        <v>4417</v>
      </c>
      <c r="AC176" s="3226" t="s">
        <v>4545</v>
      </c>
      <c r="AD176" s="3286"/>
      <c r="AE176" s="3286"/>
      <c r="AF176" s="3286"/>
      <c r="AG176" s="3323"/>
      <c r="AH176" s="3255"/>
      <c r="AI176" s="3255"/>
      <c r="AJ176" s="3255"/>
      <c r="AK176" s="3287" t="str">
        <f t="shared" si="37"/>
        <v/>
      </c>
      <c r="AL176" s="3288" t="str">
        <f t="shared" si="38"/>
        <v/>
      </c>
      <c r="AM176" s="3226"/>
      <c r="AN176" s="3289"/>
      <c r="AO176" s="3300" t="s">
        <v>4419</v>
      </c>
      <c r="AP176" s="3300" t="s">
        <v>4427</v>
      </c>
      <c r="AQ176" s="3300"/>
      <c r="AR176" s="3292">
        <v>43777</v>
      </c>
      <c r="AS176" s="3292">
        <v>43777</v>
      </c>
      <c r="AT176" s="3292">
        <v>43908</v>
      </c>
      <c r="AU176" s="3293">
        <f t="shared" si="40"/>
        <v>2020</v>
      </c>
      <c r="AV176" s="3293">
        <f t="shared" si="41"/>
        <v>3</v>
      </c>
      <c r="AW176" s="3294" t="s">
        <v>4453</v>
      </c>
      <c r="AX176" s="3236">
        <v>600000</v>
      </c>
      <c r="AY176" s="3244"/>
      <c r="AZ176" s="3295" t="s">
        <v>4441</v>
      </c>
      <c r="BA176" s="3296" t="str">
        <f t="shared" si="39"/>
        <v>签约</v>
      </c>
      <c r="BB176" s="3226" t="s">
        <v>4423</v>
      </c>
      <c r="BC176" s="3226"/>
      <c r="BD176" s="3292">
        <f>VLOOKUP(B176,[3]Sheet1!A$1:B$65536,2,0)</f>
        <v>43775</v>
      </c>
      <c r="BE176" s="3297" t="s">
        <v>4449</v>
      </c>
      <c r="BG176" s="3297">
        <f>IFERROR(VLOOKUP(B176,[3]Sheet2!A$1:B$65536,2,FALSE),0)</f>
        <v>0</v>
      </c>
      <c r="BI176" s="3297">
        <f>IFERROR(VLOOKUP(B176,[3]Sheet2!A$1:C$65536,2,FALSE),0)</f>
        <v>0</v>
      </c>
      <c r="BJ176" s="3297">
        <f>IFERROR(VLOOKUP(B176,[3]Sheet2!A$1:C$65536,3,FALSE),0)</f>
        <v>0</v>
      </c>
    </row>
    <row r="177" spans="1:62" s="3261" customFormat="1" ht="20.25" customHeight="1">
      <c r="A177" s="3226">
        <v>175</v>
      </c>
      <c r="B177" s="3250" t="s">
        <v>4785</v>
      </c>
      <c r="C177" s="3227" t="s">
        <v>3333</v>
      </c>
      <c r="D177" s="3251" t="s">
        <v>3672</v>
      </c>
      <c r="E177" s="3229">
        <v>43800</v>
      </c>
      <c r="F177" s="3230">
        <v>50000</v>
      </c>
      <c r="G177" s="3231">
        <v>128.81</v>
      </c>
      <c r="H177" s="3231" t="str">
        <f t="shared" si="28"/>
        <v>普通住宅</v>
      </c>
      <c r="I177" s="3230">
        <v>1925029</v>
      </c>
      <c r="J177" s="3229">
        <v>43801</v>
      </c>
      <c r="K177" s="3284">
        <f t="shared" si="29"/>
        <v>12</v>
      </c>
      <c r="L177" s="3230">
        <v>1900029</v>
      </c>
      <c r="M177" s="3235">
        <f t="shared" si="30"/>
        <v>14750.632714851332</v>
      </c>
      <c r="N177" s="3236">
        <f>350000+1500029</f>
        <v>1850029</v>
      </c>
      <c r="O177" s="3244">
        <f t="shared" si="31"/>
        <v>1900029</v>
      </c>
      <c r="P177" s="3244"/>
      <c r="Q177" s="3244"/>
      <c r="R177" s="3244">
        <f t="shared" si="32"/>
        <v>1900029</v>
      </c>
      <c r="S177" s="3244">
        <f t="shared" si="33"/>
        <v>1900029</v>
      </c>
      <c r="T177" s="3236"/>
      <c r="U177" s="3236"/>
      <c r="V177" s="3236"/>
      <c r="W177" s="3236"/>
      <c r="X177" s="3244">
        <f t="shared" si="34"/>
        <v>1900029</v>
      </c>
      <c r="Y177" s="3244">
        <f t="shared" si="35"/>
        <v>0</v>
      </c>
      <c r="Z177" s="3285">
        <f t="shared" si="36"/>
        <v>1</v>
      </c>
      <c r="AA177" s="3226" t="s">
        <v>3319</v>
      </c>
      <c r="AB177" s="3226" t="s">
        <v>4676</v>
      </c>
      <c r="AC177" s="3226"/>
      <c r="AD177" s="3286"/>
      <c r="AE177" s="3286"/>
      <c r="AF177" s="3286"/>
      <c r="AG177" s="3323"/>
      <c r="AH177" s="3255"/>
      <c r="AI177" s="3255"/>
      <c r="AJ177" s="3255"/>
      <c r="AK177" s="3287" t="str">
        <f t="shared" si="37"/>
        <v/>
      </c>
      <c r="AL177" s="3288" t="str">
        <f t="shared" si="38"/>
        <v/>
      </c>
      <c r="AM177" s="3226"/>
      <c r="AN177" s="3289"/>
      <c r="AO177" s="3300"/>
      <c r="AP177" s="3300"/>
      <c r="AQ177" s="3300"/>
      <c r="AR177" s="3292"/>
      <c r="AS177" s="3292"/>
      <c r="AT177" s="3292"/>
      <c r="AU177" s="3293" t="str">
        <f t="shared" si="40"/>
        <v/>
      </c>
      <c r="AV177" s="3293" t="str">
        <f t="shared" si="41"/>
        <v/>
      </c>
      <c r="AW177" s="3294"/>
      <c r="AX177" s="3236"/>
      <c r="AY177" s="3244"/>
      <c r="AZ177" s="3295" t="s">
        <v>4429</v>
      </c>
      <c r="BA177" s="3296" t="str">
        <f t="shared" si="39"/>
        <v>签约</v>
      </c>
      <c r="BB177" s="3226"/>
      <c r="BC177" s="3226"/>
      <c r="BD177" s="3292">
        <v>43823</v>
      </c>
      <c r="BE177" s="3297" t="s">
        <v>4367</v>
      </c>
      <c r="BG177" s="3297">
        <f>IFERROR(VLOOKUP(B177,[3]Sheet2!A$1:B$65536,2,FALSE),0)</f>
        <v>0</v>
      </c>
      <c r="BI177" s="3297">
        <f>IFERROR(VLOOKUP(B177,[3]Sheet2!A$1:C$65536,2,FALSE),0)</f>
        <v>0</v>
      </c>
      <c r="BJ177" s="3297">
        <f>IFERROR(VLOOKUP(B177,[3]Sheet2!A$1:C$65536,3,FALSE),0)</f>
        <v>0</v>
      </c>
    </row>
    <row r="178" spans="1:62" s="3261" customFormat="1" ht="20.25" customHeight="1">
      <c r="A178" s="3226">
        <v>176</v>
      </c>
      <c r="B178" s="3250" t="s">
        <v>4786</v>
      </c>
      <c r="C178" s="3227" t="s">
        <v>3333</v>
      </c>
      <c r="D178" s="3252" t="s">
        <v>4787</v>
      </c>
      <c r="E178" s="3229">
        <v>43768</v>
      </c>
      <c r="F178" s="3230">
        <v>20000</v>
      </c>
      <c r="G178" s="3231">
        <v>128.81</v>
      </c>
      <c r="H178" s="3231" t="str">
        <f t="shared" si="28"/>
        <v>普通住宅</v>
      </c>
      <c r="I178" s="3230">
        <v>1931669</v>
      </c>
      <c r="J178" s="3229">
        <v>43770</v>
      </c>
      <c r="K178" s="3284">
        <f t="shared" si="29"/>
        <v>11</v>
      </c>
      <c r="L178" s="3230">
        <v>1906669</v>
      </c>
      <c r="M178" s="3235">
        <f t="shared" si="30"/>
        <v>14802.181507646921</v>
      </c>
      <c r="N178" s="3236">
        <v>556669</v>
      </c>
      <c r="O178" s="3244">
        <f t="shared" si="31"/>
        <v>1906669</v>
      </c>
      <c r="P178" s="3244"/>
      <c r="Q178" s="3244"/>
      <c r="R178" s="3244">
        <f t="shared" si="32"/>
        <v>576669</v>
      </c>
      <c r="S178" s="3244">
        <f t="shared" si="33"/>
        <v>576669</v>
      </c>
      <c r="T178" s="3236"/>
      <c r="U178" s="3236"/>
      <c r="V178" s="3236">
        <v>1330000</v>
      </c>
      <c r="W178" s="3236"/>
      <c r="X178" s="3244">
        <f t="shared" si="34"/>
        <v>1906669</v>
      </c>
      <c r="Y178" s="3244">
        <f t="shared" si="35"/>
        <v>0</v>
      </c>
      <c r="Z178" s="3285">
        <f t="shared" si="36"/>
        <v>1</v>
      </c>
      <c r="AA178" s="3226" t="s">
        <v>4416</v>
      </c>
      <c r="AB178" s="3226" t="s">
        <v>4417</v>
      </c>
      <c r="AC178" s="3226" t="s">
        <v>4418</v>
      </c>
      <c r="AD178" s="3286" t="s">
        <v>4539</v>
      </c>
      <c r="AE178" s="3286" t="s">
        <v>4427</v>
      </c>
      <c r="AF178" s="3286"/>
      <c r="AG178" s="3323"/>
      <c r="AH178" s="3255">
        <v>43770</v>
      </c>
      <c r="AI178" s="3255">
        <v>43770</v>
      </c>
      <c r="AJ178" s="3255">
        <v>43782</v>
      </c>
      <c r="AK178" s="3287">
        <f t="shared" si="37"/>
        <v>2019</v>
      </c>
      <c r="AL178" s="3288">
        <f t="shared" si="38"/>
        <v>11</v>
      </c>
      <c r="AM178" s="3226" t="s">
        <v>4579</v>
      </c>
      <c r="AN178" s="3289">
        <v>1330000</v>
      </c>
      <c r="AO178" s="3300"/>
      <c r="AP178" s="3300"/>
      <c r="AQ178" s="3300"/>
      <c r="AR178" s="3292"/>
      <c r="AS178" s="3292"/>
      <c r="AT178" s="3292"/>
      <c r="AU178" s="3293" t="str">
        <f t="shared" si="40"/>
        <v/>
      </c>
      <c r="AV178" s="3293" t="str">
        <f t="shared" si="41"/>
        <v/>
      </c>
      <c r="AW178" s="3294"/>
      <c r="AX178" s="3236"/>
      <c r="AY178" s="3244"/>
      <c r="AZ178" s="3295" t="s">
        <v>4441</v>
      </c>
      <c r="BA178" s="3296" t="str">
        <f t="shared" si="39"/>
        <v>签约</v>
      </c>
      <c r="BB178" s="3226"/>
      <c r="BC178" s="3226" t="s">
        <v>4430</v>
      </c>
      <c r="BD178" s="3292">
        <f>VLOOKUP(B178,[3]Sheet1!A$1:B$65536,2,0)</f>
        <v>43775</v>
      </c>
      <c r="BE178" s="3297" t="s">
        <v>4367</v>
      </c>
      <c r="BG178" s="3297">
        <f>IFERROR(VLOOKUP(B178,[3]Sheet2!A$1:B$65536,2,FALSE),0)</f>
        <v>0</v>
      </c>
      <c r="BI178" s="3297">
        <f>IFERROR(VLOOKUP(B178,[3]Sheet2!A$1:C$65536,2,FALSE),0)</f>
        <v>0</v>
      </c>
      <c r="BJ178" s="3297">
        <f>IFERROR(VLOOKUP(B178,[3]Sheet2!A$1:C$65536,3,FALSE),0)</f>
        <v>0</v>
      </c>
    </row>
    <row r="179" spans="1:62" s="3261" customFormat="1" ht="20.25" customHeight="1">
      <c r="A179" s="3226">
        <v>177</v>
      </c>
      <c r="B179" s="3250" t="s">
        <v>4788</v>
      </c>
      <c r="C179" s="3227" t="s">
        <v>3333</v>
      </c>
      <c r="D179" s="3251" t="s">
        <v>3676</v>
      </c>
      <c r="E179" s="3229">
        <v>43782</v>
      </c>
      <c r="F179" s="3230">
        <v>20000</v>
      </c>
      <c r="G179" s="3231">
        <v>128.81</v>
      </c>
      <c r="H179" s="3231" t="str">
        <f t="shared" si="28"/>
        <v>普通住宅</v>
      </c>
      <c r="I179" s="3230">
        <v>1938308</v>
      </c>
      <c r="J179" s="3229">
        <v>43799</v>
      </c>
      <c r="K179" s="3284">
        <f t="shared" si="29"/>
        <v>11</v>
      </c>
      <c r="L179" s="3230">
        <v>1918308</v>
      </c>
      <c r="M179" s="3235">
        <f t="shared" si="30"/>
        <v>14892.539399114976</v>
      </c>
      <c r="N179" s="3236">
        <f>648308+1250000</f>
        <v>1898308</v>
      </c>
      <c r="O179" s="3244">
        <f t="shared" si="31"/>
        <v>1918308</v>
      </c>
      <c r="P179" s="3244"/>
      <c r="Q179" s="3244"/>
      <c r="R179" s="3244">
        <f t="shared" si="32"/>
        <v>1918308</v>
      </c>
      <c r="S179" s="3244">
        <f t="shared" si="33"/>
        <v>1918308</v>
      </c>
      <c r="T179" s="3236"/>
      <c r="U179" s="3236"/>
      <c r="V179" s="3236"/>
      <c r="W179" s="3236"/>
      <c r="X179" s="3244">
        <f t="shared" si="34"/>
        <v>1918308</v>
      </c>
      <c r="Y179" s="3244">
        <f t="shared" si="35"/>
        <v>0</v>
      </c>
      <c r="Z179" s="3285">
        <f t="shared" si="36"/>
        <v>1</v>
      </c>
      <c r="AA179" s="3226" t="s">
        <v>3319</v>
      </c>
      <c r="AB179" s="3226" t="s">
        <v>4676</v>
      </c>
      <c r="AC179" s="3226"/>
      <c r="AD179" s="3286"/>
      <c r="AE179" s="3286"/>
      <c r="AF179" s="3286"/>
      <c r="AG179" s="3323"/>
      <c r="AH179" s="3255"/>
      <c r="AI179" s="3255"/>
      <c r="AJ179" s="3255"/>
      <c r="AK179" s="3287" t="str">
        <f t="shared" si="37"/>
        <v/>
      </c>
      <c r="AL179" s="3288" t="str">
        <f t="shared" si="38"/>
        <v/>
      </c>
      <c r="AM179" s="3226"/>
      <c r="AN179" s="3289"/>
      <c r="AO179" s="3300"/>
      <c r="AP179" s="3300"/>
      <c r="AQ179" s="3300"/>
      <c r="AR179" s="3292"/>
      <c r="AS179" s="3292"/>
      <c r="AT179" s="3292"/>
      <c r="AU179" s="3293" t="str">
        <f t="shared" si="40"/>
        <v/>
      </c>
      <c r="AV179" s="3293" t="str">
        <f t="shared" si="41"/>
        <v/>
      </c>
      <c r="AW179" s="3294"/>
      <c r="AX179" s="3236"/>
      <c r="AY179" s="3244"/>
      <c r="AZ179" s="3295" t="s">
        <v>4441</v>
      </c>
      <c r="BA179" s="3296" t="str">
        <f t="shared" si="39"/>
        <v>签约</v>
      </c>
      <c r="BB179" s="3226"/>
      <c r="BC179" s="3226"/>
      <c r="BD179" s="3292">
        <f>VLOOKUP(B179,[3]Sheet1!A$1:B$65536,2,0)</f>
        <v>43818</v>
      </c>
      <c r="BE179" s="3297" t="s">
        <v>4367</v>
      </c>
      <c r="BG179" s="3297">
        <f>IFERROR(VLOOKUP(B179,[3]Sheet2!A$1:B$65536,2,FALSE),0)</f>
        <v>0</v>
      </c>
      <c r="BI179" s="3297">
        <f>IFERROR(VLOOKUP(B179,[3]Sheet2!A$1:C$65536,2,FALSE),0)</f>
        <v>0</v>
      </c>
      <c r="BJ179" s="3297">
        <f>IFERROR(VLOOKUP(B179,[3]Sheet2!A$1:C$65536,3,FALSE),0)</f>
        <v>0</v>
      </c>
    </row>
    <row r="180" spans="1:62" s="3261" customFormat="1" ht="20.25" customHeight="1">
      <c r="A180" s="3226">
        <v>178</v>
      </c>
      <c r="B180" s="3250" t="s">
        <v>4789</v>
      </c>
      <c r="C180" s="3227" t="s">
        <v>3333</v>
      </c>
      <c r="D180" s="3251" t="s">
        <v>3678</v>
      </c>
      <c r="E180" s="3229">
        <v>43927</v>
      </c>
      <c r="F180" s="3230">
        <v>50000</v>
      </c>
      <c r="G180" s="3231">
        <v>128.77000000000001</v>
      </c>
      <c r="H180" s="3231" t="str">
        <f t="shared" si="28"/>
        <v>普通住宅</v>
      </c>
      <c r="I180" s="3230">
        <v>1864699</v>
      </c>
      <c r="J180" s="3229">
        <v>43937</v>
      </c>
      <c r="K180" s="3284">
        <f t="shared" si="29"/>
        <v>4</v>
      </c>
      <c r="L180" s="3230">
        <v>1864699</v>
      </c>
      <c r="M180" s="3235">
        <f t="shared" si="30"/>
        <v>14480.849576764773</v>
      </c>
      <c r="N180" s="3236">
        <v>1814699</v>
      </c>
      <c r="O180" s="3244">
        <f t="shared" si="31"/>
        <v>1864699</v>
      </c>
      <c r="P180" s="3244"/>
      <c r="Q180" s="3244"/>
      <c r="R180" s="3244">
        <f t="shared" si="32"/>
        <v>1864699</v>
      </c>
      <c r="S180" s="3244">
        <f t="shared" si="33"/>
        <v>1864699</v>
      </c>
      <c r="T180" s="3236"/>
      <c r="U180" s="3236"/>
      <c r="V180" s="3236"/>
      <c r="W180" s="3236"/>
      <c r="X180" s="3244">
        <f t="shared" si="34"/>
        <v>1864699</v>
      </c>
      <c r="Y180" s="3244">
        <f t="shared" si="35"/>
        <v>0</v>
      </c>
      <c r="Z180" s="3285">
        <f t="shared" si="36"/>
        <v>1</v>
      </c>
      <c r="AA180" s="3226" t="s">
        <v>3319</v>
      </c>
      <c r="AB180" s="3226" t="s">
        <v>4676</v>
      </c>
      <c r="AC180" s="3226"/>
      <c r="AD180" s="3286"/>
      <c r="AE180" s="3286"/>
      <c r="AF180" s="3286"/>
      <c r="AG180" s="3323"/>
      <c r="AH180" s="3255"/>
      <c r="AI180" s="3255"/>
      <c r="AJ180" s="3255"/>
      <c r="AK180" s="3287" t="str">
        <f t="shared" si="37"/>
        <v/>
      </c>
      <c r="AL180" s="3288" t="str">
        <f t="shared" si="38"/>
        <v/>
      </c>
      <c r="AM180" s="3226"/>
      <c r="AN180" s="3289"/>
      <c r="AO180" s="3300"/>
      <c r="AP180" s="3300"/>
      <c r="AQ180" s="3300"/>
      <c r="AR180" s="3292"/>
      <c r="AS180" s="3292"/>
      <c r="AT180" s="3292"/>
      <c r="AU180" s="3293" t="str">
        <f t="shared" si="40"/>
        <v/>
      </c>
      <c r="AV180" s="3293" t="str">
        <f t="shared" si="41"/>
        <v/>
      </c>
      <c r="AW180" s="3294"/>
      <c r="AX180" s="3236"/>
      <c r="AY180" s="3244"/>
      <c r="AZ180" s="3325" t="s">
        <v>4735</v>
      </c>
      <c r="BA180" s="3296" t="str">
        <f t="shared" si="39"/>
        <v>签约</v>
      </c>
      <c r="BB180" s="3226"/>
      <c r="BC180" s="3226"/>
      <c r="BD180" s="3292"/>
      <c r="BE180" s="3326" t="s">
        <v>4449</v>
      </c>
      <c r="BG180" s="3297">
        <f>IFERROR(VLOOKUP(B180,[3]Sheet2!A$1:B$65536,2,FALSE),0)</f>
        <v>0</v>
      </c>
      <c r="BI180" s="3297">
        <f>IFERROR(VLOOKUP(B180,[3]Sheet2!A$1:C$65536,2,FALSE),0)</f>
        <v>0</v>
      </c>
      <c r="BJ180" s="3297">
        <f>IFERROR(VLOOKUP(B180,[3]Sheet2!A$1:C$65536,3,FALSE),0)</f>
        <v>0</v>
      </c>
    </row>
    <row r="181" spans="1:62" s="3261" customFormat="1" ht="20.25" customHeight="1">
      <c r="A181" s="3226">
        <v>179</v>
      </c>
      <c r="B181" s="3250" t="s">
        <v>4790</v>
      </c>
      <c r="C181" s="3227" t="s">
        <v>3333</v>
      </c>
      <c r="D181" s="3251" t="s">
        <v>3532</v>
      </c>
      <c r="E181" s="3229">
        <v>43829</v>
      </c>
      <c r="F181" s="3230">
        <v>20000</v>
      </c>
      <c r="G181" s="3231">
        <v>145.68</v>
      </c>
      <c r="H181" s="3231" t="str">
        <f t="shared" si="28"/>
        <v>非普通住宅</v>
      </c>
      <c r="I181" s="3230">
        <v>1854819</v>
      </c>
      <c r="J181" s="3229">
        <v>44011</v>
      </c>
      <c r="K181" s="3284">
        <f t="shared" si="29"/>
        <v>6</v>
      </c>
      <c r="L181" s="3230">
        <v>1774924</v>
      </c>
      <c r="M181" s="3235">
        <f t="shared" si="30"/>
        <v>12183.717737506864</v>
      </c>
      <c r="N181" s="3236">
        <f>440000+74924</f>
        <v>514924</v>
      </c>
      <c r="O181" s="3244">
        <f t="shared" si="31"/>
        <v>1774924</v>
      </c>
      <c r="P181" s="3244"/>
      <c r="Q181" s="3244"/>
      <c r="R181" s="3244">
        <f t="shared" si="32"/>
        <v>534924</v>
      </c>
      <c r="S181" s="3244">
        <f t="shared" si="33"/>
        <v>534924</v>
      </c>
      <c r="T181" s="3236"/>
      <c r="U181" s="3236"/>
      <c r="V181" s="3236">
        <v>1240000</v>
      </c>
      <c r="W181" s="3236"/>
      <c r="X181" s="3244">
        <f t="shared" si="34"/>
        <v>1774924</v>
      </c>
      <c r="Y181" s="3244">
        <f t="shared" si="35"/>
        <v>0</v>
      </c>
      <c r="Z181" s="3285">
        <f t="shared" si="36"/>
        <v>1</v>
      </c>
      <c r="AA181" s="3226" t="s">
        <v>3319</v>
      </c>
      <c r="AB181" s="3226" t="s">
        <v>4587</v>
      </c>
      <c r="AC181" s="3226" t="s">
        <v>4698</v>
      </c>
      <c r="AD181" s="3286" t="s">
        <v>4539</v>
      </c>
      <c r="AE181" s="3286" t="s">
        <v>4427</v>
      </c>
      <c r="AF181" s="3286"/>
      <c r="AG181" s="3323"/>
      <c r="AH181" s="3255">
        <v>44015</v>
      </c>
      <c r="AI181" s="3255">
        <v>44022</v>
      </c>
      <c r="AJ181" s="3255">
        <v>44034</v>
      </c>
      <c r="AK181" s="3287">
        <f t="shared" si="37"/>
        <v>2020</v>
      </c>
      <c r="AL181" s="3288">
        <f t="shared" si="38"/>
        <v>7</v>
      </c>
      <c r="AM181" s="3226" t="s">
        <v>4433</v>
      </c>
      <c r="AN181" s="3289">
        <v>1240000</v>
      </c>
      <c r="AO181" s="3300"/>
      <c r="AP181" s="3300"/>
      <c r="AQ181" s="3300"/>
      <c r="AR181" s="3292"/>
      <c r="AS181" s="3292"/>
      <c r="AT181" s="3292"/>
      <c r="AU181" s="3293" t="str">
        <f t="shared" si="40"/>
        <v/>
      </c>
      <c r="AV181" s="3293" t="str">
        <f t="shared" si="41"/>
        <v/>
      </c>
      <c r="AW181" s="3294"/>
      <c r="AX181" s="3236"/>
      <c r="AY181" s="3244"/>
      <c r="AZ181" s="3295">
        <v>0</v>
      </c>
      <c r="BA181" s="3296" t="str">
        <f t="shared" si="39"/>
        <v>签约</v>
      </c>
      <c r="BB181" s="3226"/>
      <c r="BC181" s="3226"/>
      <c r="BD181" s="3292"/>
      <c r="BE181" s="3297" t="s">
        <v>4434</v>
      </c>
      <c r="BG181" s="3297">
        <f>IFERROR(VLOOKUP(B181,[3]Sheet2!A$1:B$65536,2,FALSE),0)</f>
        <v>0</v>
      </c>
      <c r="BI181" s="3297">
        <f>IFERROR(VLOOKUP(B181,[3]Sheet2!A$1:C$65536,2,FALSE),0)</f>
        <v>0</v>
      </c>
      <c r="BJ181" s="3297">
        <f>IFERROR(VLOOKUP(B181,[3]Sheet2!A$1:C$65536,3,FALSE),0)</f>
        <v>0</v>
      </c>
    </row>
    <row r="182" spans="1:62" s="3261" customFormat="1" ht="20.25" customHeight="1">
      <c r="A182" s="3226">
        <v>180</v>
      </c>
      <c r="B182" s="3250" t="s">
        <v>4791</v>
      </c>
      <c r="C182" s="3227" t="s">
        <v>3333</v>
      </c>
      <c r="D182" s="3251" t="s">
        <v>3681</v>
      </c>
      <c r="E182" s="3229">
        <v>43823</v>
      </c>
      <c r="F182" s="3230">
        <v>50000</v>
      </c>
      <c r="G182" s="3231">
        <v>147.97999999999999</v>
      </c>
      <c r="H182" s="3231" t="str">
        <f t="shared" si="28"/>
        <v>非普通住宅</v>
      </c>
      <c r="I182" s="3230">
        <v>2005823</v>
      </c>
      <c r="J182" s="3229">
        <v>43830</v>
      </c>
      <c r="K182" s="3284">
        <f t="shared" si="29"/>
        <v>12</v>
      </c>
      <c r="L182" s="3230">
        <v>2000000</v>
      </c>
      <c r="M182" s="3235">
        <f t="shared" si="30"/>
        <v>13515.339910798757</v>
      </c>
      <c r="N182" s="3236">
        <v>650000</v>
      </c>
      <c r="O182" s="3244">
        <f t="shared" si="31"/>
        <v>2000000</v>
      </c>
      <c r="P182" s="3244"/>
      <c r="Q182" s="3244"/>
      <c r="R182" s="3244">
        <f t="shared" si="32"/>
        <v>700000</v>
      </c>
      <c r="S182" s="3244">
        <f t="shared" si="33"/>
        <v>700000</v>
      </c>
      <c r="T182" s="3236"/>
      <c r="U182" s="3236"/>
      <c r="V182" s="3236">
        <v>1000000</v>
      </c>
      <c r="W182" s="3236">
        <v>300000</v>
      </c>
      <c r="X182" s="3244">
        <f t="shared" si="34"/>
        <v>2000000</v>
      </c>
      <c r="Y182" s="3244">
        <f t="shared" si="35"/>
        <v>0</v>
      </c>
      <c r="Z182" s="3285">
        <f t="shared" si="36"/>
        <v>1</v>
      </c>
      <c r="AA182" s="3226" t="s">
        <v>3319</v>
      </c>
      <c r="AB182" s="3226" t="s">
        <v>4587</v>
      </c>
      <c r="AC182" s="3226" t="s">
        <v>4452</v>
      </c>
      <c r="AD182" s="3286" t="s">
        <v>4539</v>
      </c>
      <c r="AE182" s="3286" t="s">
        <v>4427</v>
      </c>
      <c r="AF182" s="3286"/>
      <c r="AG182" s="3323"/>
      <c r="AH182" s="3255">
        <v>43852</v>
      </c>
      <c r="AI182" s="3255">
        <v>43852</v>
      </c>
      <c r="AJ182" s="3255">
        <v>43882</v>
      </c>
      <c r="AK182" s="3287">
        <f t="shared" si="37"/>
        <v>2020</v>
      </c>
      <c r="AL182" s="3288">
        <f t="shared" si="38"/>
        <v>2</v>
      </c>
      <c r="AM182" s="3226" t="s">
        <v>4792</v>
      </c>
      <c r="AN182" s="3289">
        <v>1000000</v>
      </c>
      <c r="AO182" s="3300" t="s">
        <v>4419</v>
      </c>
      <c r="AP182" s="3300" t="s">
        <v>4427</v>
      </c>
      <c r="AQ182" s="3300"/>
      <c r="AR182" s="3292">
        <v>43851</v>
      </c>
      <c r="AS182" s="3292">
        <v>43852</v>
      </c>
      <c r="AT182" s="3292">
        <v>43915</v>
      </c>
      <c r="AU182" s="3293">
        <f t="shared" si="40"/>
        <v>2020</v>
      </c>
      <c r="AV182" s="3293">
        <f t="shared" si="41"/>
        <v>3</v>
      </c>
      <c r="AW182" s="3294" t="s">
        <v>4657</v>
      </c>
      <c r="AX182" s="3236">
        <v>300000</v>
      </c>
      <c r="AY182" s="3244"/>
      <c r="AZ182" s="3295" t="s">
        <v>4445</v>
      </c>
      <c r="BA182" s="3296" t="str">
        <f t="shared" si="39"/>
        <v>签约</v>
      </c>
      <c r="BB182" s="3226"/>
      <c r="BC182" s="3226"/>
      <c r="BD182" s="3292"/>
      <c r="BE182" s="3297" t="s">
        <v>4465</v>
      </c>
      <c r="BG182" s="3297">
        <f>IFERROR(VLOOKUP(B182,[3]Sheet2!A$1:B$65536,2,FALSE),0)</f>
        <v>0</v>
      </c>
      <c r="BI182" s="3297">
        <f>IFERROR(VLOOKUP(B182,[3]Sheet2!A$1:C$65536,2,FALSE),0)</f>
        <v>0</v>
      </c>
      <c r="BJ182" s="3297">
        <f>IFERROR(VLOOKUP(B182,[3]Sheet2!A$1:C$65536,3,FALSE),0)</f>
        <v>0</v>
      </c>
    </row>
    <row r="183" spans="1:62" s="3261" customFormat="1" ht="20.25" customHeight="1">
      <c r="A183" s="3226">
        <v>181</v>
      </c>
      <c r="B183" s="3250" t="s">
        <v>4793</v>
      </c>
      <c r="C183" s="3227" t="s">
        <v>3333</v>
      </c>
      <c r="D183" s="3251" t="s">
        <v>3683</v>
      </c>
      <c r="E183" s="3229">
        <v>43830</v>
      </c>
      <c r="F183" s="3230">
        <v>50000</v>
      </c>
      <c r="G183" s="3231">
        <v>147.97999999999999</v>
      </c>
      <c r="H183" s="3231" t="str">
        <f t="shared" si="28"/>
        <v>非普通住宅</v>
      </c>
      <c r="I183" s="3230">
        <v>2066846</v>
      </c>
      <c r="J183" s="3229">
        <v>43890</v>
      </c>
      <c r="K183" s="3284">
        <f t="shared" si="29"/>
        <v>2</v>
      </c>
      <c r="L183" s="3230">
        <v>2051846</v>
      </c>
      <c r="M183" s="3235">
        <f t="shared" si="30"/>
        <v>13865.698067306394</v>
      </c>
      <c r="N183" s="3236">
        <v>571846</v>
      </c>
      <c r="O183" s="3244">
        <f t="shared" si="31"/>
        <v>2051846</v>
      </c>
      <c r="P183" s="3244"/>
      <c r="Q183" s="3244"/>
      <c r="R183" s="3244">
        <f t="shared" si="32"/>
        <v>621846</v>
      </c>
      <c r="S183" s="3244">
        <f t="shared" si="33"/>
        <v>621846</v>
      </c>
      <c r="T183" s="3236"/>
      <c r="U183" s="3236"/>
      <c r="V183" s="3236">
        <v>1430000</v>
      </c>
      <c r="W183" s="3236"/>
      <c r="X183" s="3244">
        <f t="shared" si="34"/>
        <v>2051846</v>
      </c>
      <c r="Y183" s="3244">
        <f t="shared" si="35"/>
        <v>0</v>
      </c>
      <c r="Z183" s="3285">
        <f t="shared" si="36"/>
        <v>1</v>
      </c>
      <c r="AA183" s="3226" t="s">
        <v>4416</v>
      </c>
      <c r="AB183" s="3226" t="s">
        <v>4417</v>
      </c>
      <c r="AC183" s="3226" t="s">
        <v>4418</v>
      </c>
      <c r="AD183" s="3286" t="s">
        <v>4539</v>
      </c>
      <c r="AE183" s="3286" t="s">
        <v>4427</v>
      </c>
      <c r="AF183" s="3286"/>
      <c r="AG183" s="3323"/>
      <c r="AH183" s="3255">
        <v>43890</v>
      </c>
      <c r="AI183" s="3255">
        <v>43891</v>
      </c>
      <c r="AJ183" s="3255">
        <v>43906</v>
      </c>
      <c r="AK183" s="3287">
        <f t="shared" si="37"/>
        <v>2020</v>
      </c>
      <c r="AL183" s="3288">
        <f t="shared" si="38"/>
        <v>3</v>
      </c>
      <c r="AM183" s="3226" t="s">
        <v>4433</v>
      </c>
      <c r="AN183" s="3289">
        <v>1430000</v>
      </c>
      <c r="AO183" s="3300"/>
      <c r="AP183" s="3300"/>
      <c r="AQ183" s="3300"/>
      <c r="AR183" s="3292"/>
      <c r="AS183" s="3292"/>
      <c r="AT183" s="3292"/>
      <c r="AU183" s="3293" t="str">
        <f t="shared" si="40"/>
        <v/>
      </c>
      <c r="AV183" s="3293" t="str">
        <f t="shared" si="41"/>
        <v/>
      </c>
      <c r="AW183" s="3294"/>
      <c r="AX183" s="3236"/>
      <c r="AY183" s="3244"/>
      <c r="AZ183" s="3295" t="s">
        <v>4441</v>
      </c>
      <c r="BA183" s="3296" t="str">
        <f t="shared" si="39"/>
        <v>签约</v>
      </c>
      <c r="BB183" s="3226"/>
      <c r="BC183" s="3226"/>
      <c r="BD183" s="3292"/>
      <c r="BE183" s="3297" t="s">
        <v>4367</v>
      </c>
      <c r="BG183" s="3297">
        <f>IFERROR(VLOOKUP(B183,[3]Sheet2!A$1:B$65536,2,FALSE),0)</f>
        <v>0</v>
      </c>
      <c r="BI183" s="3297">
        <f>IFERROR(VLOOKUP(B183,[3]Sheet2!A$1:C$65536,2,FALSE),0)</f>
        <v>0</v>
      </c>
      <c r="BJ183" s="3297">
        <f>IFERROR(VLOOKUP(B183,[3]Sheet2!A$1:C$65536,3,FALSE),0)</f>
        <v>0</v>
      </c>
    </row>
    <row r="184" spans="1:62" s="3261" customFormat="1" ht="20.25" customHeight="1">
      <c r="A184" s="3226">
        <v>182</v>
      </c>
      <c r="B184" s="3250" t="s">
        <v>4794</v>
      </c>
      <c r="C184" s="3227" t="s">
        <v>3333</v>
      </c>
      <c r="D184" s="3251" t="s">
        <v>3685</v>
      </c>
      <c r="E184" s="3229">
        <v>43828</v>
      </c>
      <c r="F184" s="3230">
        <v>50000</v>
      </c>
      <c r="G184" s="3231">
        <v>147.97999999999999</v>
      </c>
      <c r="H184" s="3231" t="str">
        <f t="shared" si="28"/>
        <v>非普通住宅</v>
      </c>
      <c r="I184" s="3230">
        <v>2112613</v>
      </c>
      <c r="J184" s="3229">
        <v>43830</v>
      </c>
      <c r="K184" s="3284">
        <f t="shared" si="29"/>
        <v>12</v>
      </c>
      <c r="L184" s="3230">
        <v>2106613</v>
      </c>
      <c r="M184" s="3235">
        <f t="shared" si="30"/>
        <v>14235.795377753751</v>
      </c>
      <c r="N184" s="3236">
        <v>586613</v>
      </c>
      <c r="O184" s="3244">
        <f t="shared" si="31"/>
        <v>2106613</v>
      </c>
      <c r="P184" s="3244"/>
      <c r="Q184" s="3244"/>
      <c r="R184" s="3244">
        <f t="shared" si="32"/>
        <v>636613</v>
      </c>
      <c r="S184" s="3244">
        <f t="shared" si="33"/>
        <v>636613</v>
      </c>
      <c r="T184" s="3236"/>
      <c r="U184" s="3236"/>
      <c r="V184" s="3236">
        <v>1470000</v>
      </c>
      <c r="W184" s="3236"/>
      <c r="X184" s="3244">
        <f t="shared" si="34"/>
        <v>2106613</v>
      </c>
      <c r="Y184" s="3244">
        <f t="shared" si="35"/>
        <v>0</v>
      </c>
      <c r="Z184" s="3285">
        <f t="shared" si="36"/>
        <v>1</v>
      </c>
      <c r="AA184" s="3226" t="s">
        <v>4416</v>
      </c>
      <c r="AB184" s="3226" t="s">
        <v>4417</v>
      </c>
      <c r="AC184" s="3226" t="s">
        <v>4418</v>
      </c>
      <c r="AD184" s="3286" t="s">
        <v>4419</v>
      </c>
      <c r="AE184" s="3286" t="s">
        <v>4427</v>
      </c>
      <c r="AF184" s="3286"/>
      <c r="AG184" s="3323"/>
      <c r="AH184" s="3255">
        <v>43830</v>
      </c>
      <c r="AI184" s="3255">
        <v>43830</v>
      </c>
      <c r="AJ184" s="3255">
        <v>43866</v>
      </c>
      <c r="AK184" s="3287">
        <f t="shared" si="37"/>
        <v>2020</v>
      </c>
      <c r="AL184" s="3288">
        <f t="shared" si="38"/>
        <v>2</v>
      </c>
      <c r="AM184" s="3226" t="s">
        <v>4701</v>
      </c>
      <c r="AN184" s="3289">
        <v>1470000</v>
      </c>
      <c r="AO184" s="3300"/>
      <c r="AP184" s="3300"/>
      <c r="AQ184" s="3300"/>
      <c r="AR184" s="3292"/>
      <c r="AS184" s="3292"/>
      <c r="AT184" s="3292"/>
      <c r="AU184" s="3293" t="str">
        <f t="shared" si="40"/>
        <v/>
      </c>
      <c r="AV184" s="3293" t="str">
        <f t="shared" si="41"/>
        <v/>
      </c>
      <c r="AW184" s="3294"/>
      <c r="AX184" s="3236"/>
      <c r="AY184" s="3244"/>
      <c r="AZ184" s="3295" t="s">
        <v>4507</v>
      </c>
      <c r="BA184" s="3296" t="str">
        <f t="shared" si="39"/>
        <v>签约</v>
      </c>
      <c r="BB184" s="3226"/>
      <c r="BC184" s="3226"/>
      <c r="BD184" s="3292"/>
      <c r="BE184" s="3297" t="s">
        <v>4367</v>
      </c>
      <c r="BG184" s="3297">
        <f>IFERROR(VLOOKUP(B184,[3]Sheet2!A$1:B$65536,2,FALSE),0)</f>
        <v>0</v>
      </c>
      <c r="BI184" s="3297">
        <f>IFERROR(VLOOKUP(B184,[3]Sheet2!A$1:C$65536,2,FALSE),0)</f>
        <v>0</v>
      </c>
      <c r="BJ184" s="3297">
        <f>IFERROR(VLOOKUP(B184,[3]Sheet2!A$1:C$65536,3,FALSE),0)</f>
        <v>0</v>
      </c>
    </row>
    <row r="185" spans="1:62" s="3261" customFormat="1" ht="20.25" customHeight="1">
      <c r="A185" s="3226">
        <v>183</v>
      </c>
      <c r="B185" s="3250" t="s">
        <v>4795</v>
      </c>
      <c r="C185" s="3227" t="s">
        <v>3333</v>
      </c>
      <c r="D185" s="3252" t="s">
        <v>4796</v>
      </c>
      <c r="E185" s="3229">
        <v>43753</v>
      </c>
      <c r="F185" s="3230">
        <v>20000</v>
      </c>
      <c r="G185" s="3231">
        <v>147.97999999999999</v>
      </c>
      <c r="H185" s="3231" t="str">
        <f t="shared" si="28"/>
        <v>非普通住宅</v>
      </c>
      <c r="I185" s="3230">
        <v>2150752</v>
      </c>
      <c r="J185" s="3229">
        <v>43756</v>
      </c>
      <c r="K185" s="3284">
        <f t="shared" si="29"/>
        <v>10</v>
      </c>
      <c r="L185" s="3230">
        <v>2125752</v>
      </c>
      <c r="M185" s="3235">
        <f t="shared" si="30"/>
        <v>14365.130423030139</v>
      </c>
      <c r="N185" s="3236">
        <v>655752</v>
      </c>
      <c r="O185" s="3244">
        <f t="shared" si="31"/>
        <v>2125752</v>
      </c>
      <c r="P185" s="3244"/>
      <c r="Q185" s="3244"/>
      <c r="R185" s="3244">
        <f t="shared" si="32"/>
        <v>675752</v>
      </c>
      <c r="S185" s="3244">
        <f t="shared" si="33"/>
        <v>675752</v>
      </c>
      <c r="T185" s="3236"/>
      <c r="U185" s="3236"/>
      <c r="V185" s="3236">
        <v>1450000</v>
      </c>
      <c r="W185" s="3236"/>
      <c r="X185" s="3244">
        <f t="shared" si="34"/>
        <v>2125752</v>
      </c>
      <c r="Y185" s="3244">
        <f t="shared" si="35"/>
        <v>0</v>
      </c>
      <c r="Z185" s="3285">
        <f t="shared" si="36"/>
        <v>1</v>
      </c>
      <c r="AA185" s="3226" t="s">
        <v>4416</v>
      </c>
      <c r="AB185" s="3226" t="s">
        <v>4417</v>
      </c>
      <c r="AC185" s="3226" t="s">
        <v>4418</v>
      </c>
      <c r="AD185" s="3286" t="s">
        <v>4419</v>
      </c>
      <c r="AE185" s="3286" t="s">
        <v>4427</v>
      </c>
      <c r="AF185" s="3286"/>
      <c r="AG185" s="3323"/>
      <c r="AH185" s="3255">
        <v>43756</v>
      </c>
      <c r="AI185" s="3255">
        <v>43768</v>
      </c>
      <c r="AJ185" s="3255">
        <v>43833</v>
      </c>
      <c r="AK185" s="3287">
        <f t="shared" si="37"/>
        <v>2020</v>
      </c>
      <c r="AL185" s="3288">
        <f t="shared" si="38"/>
        <v>1</v>
      </c>
      <c r="AM185" s="3226" t="s">
        <v>4428</v>
      </c>
      <c r="AN185" s="3289">
        <v>1450000</v>
      </c>
      <c r="AO185" s="3300"/>
      <c r="AP185" s="3300"/>
      <c r="AQ185" s="3300"/>
      <c r="AR185" s="3292"/>
      <c r="AS185" s="3292"/>
      <c r="AT185" s="3292"/>
      <c r="AU185" s="3293" t="str">
        <f t="shared" si="40"/>
        <v/>
      </c>
      <c r="AV185" s="3293" t="str">
        <f t="shared" si="41"/>
        <v/>
      </c>
      <c r="AW185" s="3294"/>
      <c r="AX185" s="3236"/>
      <c r="AY185" s="3244"/>
      <c r="AZ185" s="3295" t="s">
        <v>4437</v>
      </c>
      <c r="BA185" s="3296" t="str">
        <f t="shared" si="39"/>
        <v>签约</v>
      </c>
      <c r="BB185" s="3226" t="s">
        <v>4423</v>
      </c>
      <c r="BC185" s="3226"/>
      <c r="BD185" s="3292">
        <f>VLOOKUP(B185,[3]Sheet1!A$1:B$65536,2,0)</f>
        <v>43761</v>
      </c>
      <c r="BE185" s="3297" t="s">
        <v>4449</v>
      </c>
      <c r="BG185" s="3297">
        <f>IFERROR(VLOOKUP(B185,[3]Sheet2!A$1:B$65536,2,FALSE),0)</f>
        <v>0</v>
      </c>
      <c r="BI185" s="3297">
        <f>IFERROR(VLOOKUP(B185,[3]Sheet2!A$1:C$65536,2,FALSE),0)</f>
        <v>0</v>
      </c>
      <c r="BJ185" s="3297">
        <f>IFERROR(VLOOKUP(B185,[3]Sheet2!A$1:C$65536,3,FALSE),0)</f>
        <v>0</v>
      </c>
    </row>
    <row r="186" spans="1:62" s="3261" customFormat="1" ht="20.25" customHeight="1">
      <c r="A186" s="3226">
        <v>184</v>
      </c>
      <c r="B186" s="3250" t="s">
        <v>4797</v>
      </c>
      <c r="C186" s="3227" t="s">
        <v>3333</v>
      </c>
      <c r="D186" s="3259" t="s">
        <v>3689</v>
      </c>
      <c r="E186" s="3229">
        <v>43799</v>
      </c>
      <c r="F186" s="3230">
        <v>50000</v>
      </c>
      <c r="G186" s="3231">
        <v>147.97999999999999</v>
      </c>
      <c r="H186" s="3231" t="str">
        <f t="shared" si="28"/>
        <v>非普通住宅</v>
      </c>
      <c r="I186" s="3230">
        <v>2158380</v>
      </c>
      <c r="J186" s="3229">
        <v>43809</v>
      </c>
      <c r="K186" s="3284">
        <f t="shared" si="29"/>
        <v>12</v>
      </c>
      <c r="L186" s="3230">
        <v>2138380</v>
      </c>
      <c r="M186" s="3235">
        <f t="shared" si="30"/>
        <v>14450.466279226923</v>
      </c>
      <c r="N186" s="3236">
        <v>598380</v>
      </c>
      <c r="O186" s="3244">
        <f t="shared" si="31"/>
        <v>2138380</v>
      </c>
      <c r="P186" s="3244"/>
      <c r="Q186" s="3244"/>
      <c r="R186" s="3244">
        <f t="shared" si="32"/>
        <v>648380</v>
      </c>
      <c r="S186" s="3244">
        <f t="shared" si="33"/>
        <v>648380</v>
      </c>
      <c r="T186" s="3236"/>
      <c r="U186" s="3236"/>
      <c r="V186" s="3236">
        <v>1490000</v>
      </c>
      <c r="W186" s="3236"/>
      <c r="X186" s="3244">
        <f t="shared" si="34"/>
        <v>2138380</v>
      </c>
      <c r="Y186" s="3244">
        <f t="shared" si="35"/>
        <v>0</v>
      </c>
      <c r="Z186" s="3285">
        <f t="shared" si="36"/>
        <v>1</v>
      </c>
      <c r="AA186" s="3226" t="s">
        <v>3319</v>
      </c>
      <c r="AB186" s="3226" t="s">
        <v>4587</v>
      </c>
      <c r="AC186" s="3226" t="s">
        <v>4698</v>
      </c>
      <c r="AD186" s="3286" t="s">
        <v>4419</v>
      </c>
      <c r="AE186" s="3286" t="s">
        <v>4427</v>
      </c>
      <c r="AF186" s="3286"/>
      <c r="AG186" s="3323"/>
      <c r="AH186" s="3255">
        <v>43810</v>
      </c>
      <c r="AI186" s="3255">
        <v>43810</v>
      </c>
      <c r="AJ186" s="3255">
        <v>43866</v>
      </c>
      <c r="AK186" s="3287">
        <f t="shared" si="37"/>
        <v>2020</v>
      </c>
      <c r="AL186" s="3288">
        <f t="shared" si="38"/>
        <v>2</v>
      </c>
      <c r="AM186" s="3226" t="s">
        <v>4701</v>
      </c>
      <c r="AN186" s="3289">
        <v>1490000</v>
      </c>
      <c r="AO186" s="3300"/>
      <c r="AP186" s="3300"/>
      <c r="AQ186" s="3300"/>
      <c r="AR186" s="3292"/>
      <c r="AS186" s="3292"/>
      <c r="AT186" s="3292"/>
      <c r="AU186" s="3293" t="str">
        <f t="shared" si="40"/>
        <v/>
      </c>
      <c r="AV186" s="3293" t="str">
        <f t="shared" si="41"/>
        <v/>
      </c>
      <c r="AW186" s="3294"/>
      <c r="AX186" s="3236"/>
      <c r="AY186" s="3244"/>
      <c r="AZ186" s="3295" t="s">
        <v>4486</v>
      </c>
      <c r="BA186" s="3296" t="str">
        <f t="shared" si="39"/>
        <v>签约</v>
      </c>
      <c r="BB186" s="3226" t="s">
        <v>4423</v>
      </c>
      <c r="BC186" s="3226"/>
      <c r="BD186" s="3292">
        <f>VLOOKUP(B186,[3]Sheet1!A$1:B$65536,2,0)</f>
        <v>43811</v>
      </c>
      <c r="BE186" s="3297" t="s">
        <v>4424</v>
      </c>
      <c r="BG186" s="3297">
        <f>IFERROR(VLOOKUP(B186,[3]Sheet2!A$1:B$65536,2,FALSE),0)</f>
        <v>0</v>
      </c>
      <c r="BI186" s="3297">
        <f>IFERROR(VLOOKUP(B186,[3]Sheet2!A$1:C$65536,2,FALSE),0)</f>
        <v>0</v>
      </c>
      <c r="BJ186" s="3297">
        <f>IFERROR(VLOOKUP(B186,[3]Sheet2!A$1:C$65536,3,FALSE),0)</f>
        <v>0</v>
      </c>
    </row>
    <row r="187" spans="1:62" s="3261" customFormat="1" ht="20.25" customHeight="1">
      <c r="A187" s="3226">
        <v>185</v>
      </c>
      <c r="B187" s="3250" t="s">
        <v>4798</v>
      </c>
      <c r="C187" s="3227" t="s">
        <v>3333</v>
      </c>
      <c r="D187" s="3252" t="s">
        <v>4799</v>
      </c>
      <c r="E187" s="3229">
        <v>43753</v>
      </c>
      <c r="F187" s="3230">
        <v>20000</v>
      </c>
      <c r="G187" s="3231">
        <v>147.97999999999999</v>
      </c>
      <c r="H187" s="3231" t="str">
        <f t="shared" si="28"/>
        <v>非普通住宅</v>
      </c>
      <c r="I187" s="3230">
        <v>2166007</v>
      </c>
      <c r="J187" s="3229">
        <v>43763</v>
      </c>
      <c r="K187" s="3284">
        <f t="shared" si="29"/>
        <v>10</v>
      </c>
      <c r="L187" s="3230">
        <v>2141007</v>
      </c>
      <c r="M187" s="3235">
        <f t="shared" si="30"/>
        <v>14468.218678199757</v>
      </c>
      <c r="N187" s="3236">
        <f>631007+140000</f>
        <v>771007</v>
      </c>
      <c r="O187" s="3244">
        <f t="shared" si="31"/>
        <v>2141007</v>
      </c>
      <c r="P187" s="3244"/>
      <c r="Q187" s="3244"/>
      <c r="R187" s="3244">
        <f t="shared" si="32"/>
        <v>791007</v>
      </c>
      <c r="S187" s="3244">
        <f t="shared" si="33"/>
        <v>791007</v>
      </c>
      <c r="T187" s="3236"/>
      <c r="U187" s="3236"/>
      <c r="V187" s="3236">
        <v>1350000</v>
      </c>
      <c r="W187" s="3236"/>
      <c r="X187" s="3244">
        <f t="shared" si="34"/>
        <v>2141007</v>
      </c>
      <c r="Y187" s="3244">
        <f t="shared" si="35"/>
        <v>0</v>
      </c>
      <c r="Z187" s="3285">
        <f t="shared" si="36"/>
        <v>1</v>
      </c>
      <c r="AA187" s="3226" t="s">
        <v>4416</v>
      </c>
      <c r="AB187" s="3255" t="s">
        <v>4417</v>
      </c>
      <c r="AC187" s="3226" t="s">
        <v>4418</v>
      </c>
      <c r="AD187" s="3286" t="s">
        <v>4419</v>
      </c>
      <c r="AE187" s="3286" t="s">
        <v>4427</v>
      </c>
      <c r="AF187" s="3286"/>
      <c r="AG187" s="3323"/>
      <c r="AH187" s="3255">
        <v>43778</v>
      </c>
      <c r="AI187" s="3255">
        <v>43780</v>
      </c>
      <c r="AJ187" s="3255">
        <v>43803</v>
      </c>
      <c r="AK187" s="3287">
        <f t="shared" si="37"/>
        <v>2019</v>
      </c>
      <c r="AL187" s="3288">
        <f t="shared" si="38"/>
        <v>12</v>
      </c>
      <c r="AM187" s="3226" t="s">
        <v>4579</v>
      </c>
      <c r="AN187" s="3289">
        <v>1350000</v>
      </c>
      <c r="AO187" s="3300"/>
      <c r="AP187" s="3300"/>
      <c r="AQ187" s="3300"/>
      <c r="AR187" s="3292"/>
      <c r="AS187" s="3292"/>
      <c r="AT187" s="3292"/>
      <c r="AU187" s="3293" t="str">
        <f t="shared" si="40"/>
        <v/>
      </c>
      <c r="AV187" s="3293" t="str">
        <f t="shared" si="41"/>
        <v/>
      </c>
      <c r="AW187" s="3294"/>
      <c r="AX187" s="3236"/>
      <c r="AY187" s="3244"/>
      <c r="AZ187" s="3295" t="s">
        <v>4464</v>
      </c>
      <c r="BA187" s="3296" t="str">
        <f t="shared" si="39"/>
        <v>签约</v>
      </c>
      <c r="BB187" s="3226" t="s">
        <v>4455</v>
      </c>
      <c r="BC187" s="3226"/>
      <c r="BD187" s="3292">
        <f>VLOOKUP(B187,[3]Sheet1!A$1:B$65536,2,0)</f>
        <v>43791</v>
      </c>
      <c r="BE187" s="3297" t="s">
        <v>4367</v>
      </c>
      <c r="BG187" s="3297">
        <f>IFERROR(VLOOKUP(B187,[3]Sheet2!A$1:B$65536,2,FALSE),0)</f>
        <v>0</v>
      </c>
      <c r="BI187" s="3297">
        <f>IFERROR(VLOOKUP(B187,[3]Sheet2!A$1:C$65536,2,FALSE),0)</f>
        <v>0</v>
      </c>
      <c r="BJ187" s="3297">
        <f>IFERROR(VLOOKUP(B187,[3]Sheet2!A$1:C$65536,3,FALSE),0)</f>
        <v>0</v>
      </c>
    </row>
    <row r="188" spans="1:62" s="3261" customFormat="1" ht="20.25" customHeight="1">
      <c r="A188" s="3226">
        <v>186</v>
      </c>
      <c r="B188" s="3250" t="s">
        <v>4800</v>
      </c>
      <c r="C188" s="3227" t="s">
        <v>3333</v>
      </c>
      <c r="D188" s="3252" t="s">
        <v>4801</v>
      </c>
      <c r="E188" s="3229">
        <v>43749</v>
      </c>
      <c r="F188" s="3230">
        <v>20000</v>
      </c>
      <c r="G188" s="3231">
        <v>147.97999999999999</v>
      </c>
      <c r="H188" s="3231" t="str">
        <f t="shared" si="28"/>
        <v>非普通住宅</v>
      </c>
      <c r="I188" s="3230">
        <v>2173635</v>
      </c>
      <c r="J188" s="3229">
        <v>43752</v>
      </c>
      <c r="K188" s="3284">
        <f t="shared" si="29"/>
        <v>10</v>
      </c>
      <c r="L188" s="3230">
        <v>2148635</v>
      </c>
      <c r="M188" s="3235">
        <f t="shared" si="30"/>
        <v>14519.766184619544</v>
      </c>
      <c r="N188" s="3236">
        <v>928635</v>
      </c>
      <c r="O188" s="3244">
        <f t="shared" si="31"/>
        <v>2148635</v>
      </c>
      <c r="P188" s="3244"/>
      <c r="Q188" s="3244"/>
      <c r="R188" s="3244">
        <f t="shared" si="32"/>
        <v>948635</v>
      </c>
      <c r="S188" s="3244">
        <f t="shared" si="33"/>
        <v>948635</v>
      </c>
      <c r="T188" s="3236"/>
      <c r="U188" s="3236"/>
      <c r="V188" s="3236">
        <v>1200000</v>
      </c>
      <c r="W188" s="3236"/>
      <c r="X188" s="3244">
        <f t="shared" si="34"/>
        <v>2148635</v>
      </c>
      <c r="Y188" s="3244">
        <f t="shared" si="35"/>
        <v>0</v>
      </c>
      <c r="Z188" s="3285">
        <f t="shared" si="36"/>
        <v>1</v>
      </c>
      <c r="AA188" s="3226" t="s">
        <v>4416</v>
      </c>
      <c r="AB188" s="3226" t="s">
        <v>4417</v>
      </c>
      <c r="AC188" s="3226" t="s">
        <v>4418</v>
      </c>
      <c r="AD188" s="3286" t="s">
        <v>4419</v>
      </c>
      <c r="AE188" s="3286" t="s">
        <v>4427</v>
      </c>
      <c r="AF188" s="3286"/>
      <c r="AG188" s="3323"/>
      <c r="AH188" s="3255">
        <v>43752</v>
      </c>
      <c r="AI188" s="3255">
        <v>43760</v>
      </c>
      <c r="AJ188" s="3255">
        <v>43833</v>
      </c>
      <c r="AK188" s="3287">
        <f t="shared" si="37"/>
        <v>2020</v>
      </c>
      <c r="AL188" s="3288">
        <f t="shared" si="38"/>
        <v>1</v>
      </c>
      <c r="AM188" s="3226" t="s">
        <v>4428</v>
      </c>
      <c r="AN188" s="3289">
        <v>1200000</v>
      </c>
      <c r="AO188" s="3300"/>
      <c r="AP188" s="3300"/>
      <c r="AQ188" s="3300"/>
      <c r="AR188" s="3292"/>
      <c r="AS188" s="3292"/>
      <c r="AT188" s="3292"/>
      <c r="AU188" s="3293" t="str">
        <f t="shared" si="40"/>
        <v/>
      </c>
      <c r="AV188" s="3293" t="str">
        <f t="shared" si="41"/>
        <v/>
      </c>
      <c r="AW188" s="3294"/>
      <c r="AX188" s="3236"/>
      <c r="AY188" s="3244"/>
      <c r="AZ188" s="3295" t="s">
        <v>4429</v>
      </c>
      <c r="BA188" s="3296" t="str">
        <f t="shared" si="39"/>
        <v>签约</v>
      </c>
      <c r="BB188" s="3226" t="s">
        <v>4423</v>
      </c>
      <c r="BC188" s="3226"/>
      <c r="BD188" s="3292">
        <f>VLOOKUP(B188,[3]Sheet1!A$1:B$65536,2,0)</f>
        <v>43758</v>
      </c>
      <c r="BE188" s="3297" t="s">
        <v>4449</v>
      </c>
      <c r="BG188" s="3297">
        <f>IFERROR(VLOOKUP(B188,[3]Sheet2!A$1:B$65536,2,FALSE),0)</f>
        <v>0</v>
      </c>
      <c r="BI188" s="3297">
        <f>IFERROR(VLOOKUP(B188,[3]Sheet2!A$1:C$65536,2,FALSE),0)</f>
        <v>0</v>
      </c>
      <c r="BJ188" s="3297">
        <f>IFERROR(VLOOKUP(B188,[3]Sheet2!A$1:C$65536,3,FALSE),0)</f>
        <v>0</v>
      </c>
    </row>
    <row r="189" spans="1:62" s="3261" customFormat="1" ht="20.25" customHeight="1">
      <c r="A189" s="3226">
        <v>187</v>
      </c>
      <c r="B189" s="3250" t="s">
        <v>4802</v>
      </c>
      <c r="C189" s="3227" t="s">
        <v>3333</v>
      </c>
      <c r="D189" s="3252" t="s">
        <v>4803</v>
      </c>
      <c r="E189" s="3229">
        <v>43749</v>
      </c>
      <c r="F189" s="3230">
        <v>20000</v>
      </c>
      <c r="G189" s="3231">
        <v>147.97999999999999</v>
      </c>
      <c r="H189" s="3231" t="str">
        <f t="shared" si="28"/>
        <v>非普通住宅</v>
      </c>
      <c r="I189" s="3230">
        <v>2181263</v>
      </c>
      <c r="J189" s="3229">
        <v>43751</v>
      </c>
      <c r="K189" s="3284">
        <f t="shared" si="29"/>
        <v>10</v>
      </c>
      <c r="L189" s="3230">
        <v>2146263</v>
      </c>
      <c r="M189" s="3235">
        <f t="shared" si="30"/>
        <v>14503.736991485337</v>
      </c>
      <c r="N189" s="3235">
        <v>2126263</v>
      </c>
      <c r="O189" s="3244">
        <f t="shared" si="31"/>
        <v>2146263</v>
      </c>
      <c r="P189" s="3244"/>
      <c r="Q189" s="3244"/>
      <c r="R189" s="3244">
        <f t="shared" si="32"/>
        <v>2146263</v>
      </c>
      <c r="S189" s="3244">
        <f t="shared" si="33"/>
        <v>2146263</v>
      </c>
      <c r="T189" s="3236"/>
      <c r="U189" s="3236"/>
      <c r="V189" s="3236"/>
      <c r="W189" s="3236"/>
      <c r="X189" s="3244">
        <f t="shared" si="34"/>
        <v>2146263</v>
      </c>
      <c r="Y189" s="3244">
        <f t="shared" si="35"/>
        <v>0</v>
      </c>
      <c r="Z189" s="3285">
        <f t="shared" si="36"/>
        <v>1</v>
      </c>
      <c r="AA189" s="3226" t="s">
        <v>4416</v>
      </c>
      <c r="AB189" s="3226" t="s">
        <v>4444</v>
      </c>
      <c r="AC189" s="3226"/>
      <c r="AD189" s="3286"/>
      <c r="AE189" s="3286"/>
      <c r="AF189" s="3286"/>
      <c r="AG189" s="3323"/>
      <c r="AH189" s="3255"/>
      <c r="AI189" s="3255"/>
      <c r="AJ189" s="3255"/>
      <c r="AK189" s="3287" t="str">
        <f t="shared" si="37"/>
        <v/>
      </c>
      <c r="AL189" s="3288" t="str">
        <f t="shared" si="38"/>
        <v/>
      </c>
      <c r="AM189" s="3226"/>
      <c r="AN189" s="3289"/>
      <c r="AO189" s="3300"/>
      <c r="AP189" s="3300"/>
      <c r="AQ189" s="3300"/>
      <c r="AR189" s="3292"/>
      <c r="AS189" s="3292"/>
      <c r="AT189" s="3292"/>
      <c r="AU189" s="3293" t="str">
        <f t="shared" si="40"/>
        <v/>
      </c>
      <c r="AV189" s="3293" t="str">
        <f t="shared" si="41"/>
        <v/>
      </c>
      <c r="AW189" s="3294"/>
      <c r="AX189" s="3236"/>
      <c r="AY189" s="3244"/>
      <c r="AZ189" s="3295" t="s">
        <v>4441</v>
      </c>
      <c r="BA189" s="3296" t="str">
        <f t="shared" si="39"/>
        <v>签约</v>
      </c>
      <c r="BB189" s="3226" t="s">
        <v>4423</v>
      </c>
      <c r="BC189" s="3226"/>
      <c r="BD189" s="3292">
        <f>VLOOKUP(B189,[3]Sheet1!A$1:B$65536,2,0)</f>
        <v>43754</v>
      </c>
      <c r="BE189" s="3297" t="s">
        <v>4424</v>
      </c>
      <c r="BG189" s="3297">
        <f>IFERROR(VLOOKUP(B189,[3]Sheet2!A$1:B$65536,2,FALSE),0)</f>
        <v>0</v>
      </c>
      <c r="BI189" s="3297">
        <f>IFERROR(VLOOKUP(B189,[3]Sheet2!A$1:C$65536,2,FALSE),0)</f>
        <v>0</v>
      </c>
      <c r="BJ189" s="3297">
        <f>IFERROR(VLOOKUP(B189,[3]Sheet2!A$1:C$65536,3,FALSE),0)</f>
        <v>0</v>
      </c>
    </row>
    <row r="190" spans="1:62" s="3261" customFormat="1" ht="20.25" customHeight="1">
      <c r="A190" s="3226">
        <v>188</v>
      </c>
      <c r="B190" s="3250" t="s">
        <v>4804</v>
      </c>
      <c r="C190" s="3227" t="s">
        <v>3333</v>
      </c>
      <c r="D190" s="3252" t="s">
        <v>4805</v>
      </c>
      <c r="E190" s="3229">
        <v>43749</v>
      </c>
      <c r="F190" s="3230">
        <v>20000</v>
      </c>
      <c r="G190" s="3231">
        <v>147.97999999999999</v>
      </c>
      <c r="H190" s="3231" t="str">
        <f t="shared" si="28"/>
        <v>非普通住宅</v>
      </c>
      <c r="I190" s="3230">
        <v>2188891</v>
      </c>
      <c r="J190" s="3229">
        <v>43752</v>
      </c>
      <c r="K190" s="3284">
        <f t="shared" si="29"/>
        <v>10</v>
      </c>
      <c r="L190" s="3230">
        <v>2163891</v>
      </c>
      <c r="M190" s="3235">
        <f t="shared" si="30"/>
        <v>14622.861197459117</v>
      </c>
      <c r="N190" s="3236">
        <v>633891</v>
      </c>
      <c r="O190" s="3244">
        <f t="shared" si="31"/>
        <v>2163891</v>
      </c>
      <c r="P190" s="3244"/>
      <c r="Q190" s="3244"/>
      <c r="R190" s="3244">
        <f t="shared" si="32"/>
        <v>653891</v>
      </c>
      <c r="S190" s="3244">
        <f t="shared" si="33"/>
        <v>653891</v>
      </c>
      <c r="T190" s="3236"/>
      <c r="U190" s="3236"/>
      <c r="V190" s="3236">
        <v>1510000</v>
      </c>
      <c r="W190" s="3236"/>
      <c r="X190" s="3244">
        <f t="shared" si="34"/>
        <v>2163891</v>
      </c>
      <c r="Y190" s="3244">
        <f t="shared" si="35"/>
        <v>0</v>
      </c>
      <c r="Z190" s="3285">
        <f t="shared" si="36"/>
        <v>1</v>
      </c>
      <c r="AA190" s="3226" t="s">
        <v>4416</v>
      </c>
      <c r="AB190" s="3226" t="s">
        <v>4417</v>
      </c>
      <c r="AC190" s="3226" t="s">
        <v>4418</v>
      </c>
      <c r="AD190" s="3286" t="s">
        <v>4419</v>
      </c>
      <c r="AE190" s="3286" t="s">
        <v>4420</v>
      </c>
      <c r="AF190" s="3286"/>
      <c r="AG190" s="3323"/>
      <c r="AH190" s="3255">
        <v>43752</v>
      </c>
      <c r="AI190" s="3255">
        <v>43756</v>
      </c>
      <c r="AJ190" s="3255">
        <v>43761</v>
      </c>
      <c r="AK190" s="3287">
        <f t="shared" si="37"/>
        <v>2019</v>
      </c>
      <c r="AL190" s="3288">
        <f t="shared" si="38"/>
        <v>10</v>
      </c>
      <c r="AM190" s="3226" t="s">
        <v>4421</v>
      </c>
      <c r="AN190" s="3289">
        <v>1510000</v>
      </c>
      <c r="AO190" s="3300"/>
      <c r="AP190" s="3300"/>
      <c r="AQ190" s="3300"/>
      <c r="AR190" s="3292"/>
      <c r="AS190" s="3292"/>
      <c r="AT190" s="3292"/>
      <c r="AU190" s="3293" t="str">
        <f t="shared" si="40"/>
        <v/>
      </c>
      <c r="AV190" s="3293" t="str">
        <f t="shared" si="41"/>
        <v/>
      </c>
      <c r="AW190" s="3294"/>
      <c r="AX190" s="3236"/>
      <c r="AY190" s="3244"/>
      <c r="AZ190" s="3295" t="s">
        <v>4454</v>
      </c>
      <c r="BA190" s="3296" t="str">
        <f t="shared" si="39"/>
        <v>签约</v>
      </c>
      <c r="BB190" s="3226" t="s">
        <v>4455</v>
      </c>
      <c r="BC190" s="3226"/>
      <c r="BD190" s="3292">
        <f>VLOOKUP(B190,[3]Sheet1!A$1:B$65536,2,0)</f>
        <v>43758</v>
      </c>
      <c r="BE190" s="3297" t="s">
        <v>4465</v>
      </c>
      <c r="BG190" s="3297">
        <f>IFERROR(VLOOKUP(B190,[3]Sheet2!A$1:B$65536,2,FALSE),0)</f>
        <v>0</v>
      </c>
      <c r="BI190" s="3297">
        <f>IFERROR(VLOOKUP(B190,[3]Sheet2!A$1:C$65536,2,FALSE),0)</f>
        <v>0</v>
      </c>
      <c r="BJ190" s="3297">
        <f>IFERROR(VLOOKUP(B190,[3]Sheet2!A$1:C$65536,3,FALSE),0)</f>
        <v>0</v>
      </c>
    </row>
    <row r="191" spans="1:62" s="3261" customFormat="1" ht="20.25" customHeight="1">
      <c r="A191" s="3226">
        <v>189</v>
      </c>
      <c r="B191" s="3250" t="s">
        <v>4806</v>
      </c>
      <c r="C191" s="3227" t="s">
        <v>3333</v>
      </c>
      <c r="D191" s="3251" t="s">
        <v>3699</v>
      </c>
      <c r="E191" s="3229">
        <v>43927</v>
      </c>
      <c r="F191" s="3230">
        <v>50000</v>
      </c>
      <c r="G191" s="3231">
        <v>148.04</v>
      </c>
      <c r="H191" s="3231" t="str">
        <f t="shared" si="28"/>
        <v>非普通住宅</v>
      </c>
      <c r="I191" s="3230">
        <v>2197401</v>
      </c>
      <c r="J191" s="3229">
        <v>43939</v>
      </c>
      <c r="K191" s="3284">
        <f t="shared" si="29"/>
        <v>4</v>
      </c>
      <c r="L191" s="3230">
        <v>2197401</v>
      </c>
      <c r="M191" s="3235">
        <f t="shared" si="30"/>
        <v>14843.292353417995</v>
      </c>
      <c r="N191" s="3236">
        <v>1147401</v>
      </c>
      <c r="O191" s="3244">
        <f t="shared" si="31"/>
        <v>2197401</v>
      </c>
      <c r="P191" s="3244"/>
      <c r="Q191" s="3244"/>
      <c r="R191" s="3244">
        <f t="shared" si="32"/>
        <v>1197401</v>
      </c>
      <c r="S191" s="3244">
        <f t="shared" si="33"/>
        <v>1197401</v>
      </c>
      <c r="T191" s="3236"/>
      <c r="U191" s="3236"/>
      <c r="V191" s="3236">
        <v>1000000</v>
      </c>
      <c r="W191" s="3236"/>
      <c r="X191" s="3244">
        <f t="shared" si="34"/>
        <v>2197401</v>
      </c>
      <c r="Y191" s="3244">
        <f t="shared" si="35"/>
        <v>0</v>
      </c>
      <c r="Z191" s="3285">
        <f t="shared" si="36"/>
        <v>1</v>
      </c>
      <c r="AA191" s="3226" t="s">
        <v>3319</v>
      </c>
      <c r="AB191" s="3226" t="s">
        <v>4587</v>
      </c>
      <c r="AC191" s="3226" t="s">
        <v>4698</v>
      </c>
      <c r="AD191" s="3286" t="s">
        <v>4539</v>
      </c>
      <c r="AE191" s="3286" t="s">
        <v>4427</v>
      </c>
      <c r="AF191" s="3286"/>
      <c r="AG191" s="3323"/>
      <c r="AH191" s="3255">
        <v>43939</v>
      </c>
      <c r="AI191" s="3255">
        <v>43939</v>
      </c>
      <c r="AJ191" s="3255">
        <v>43950</v>
      </c>
      <c r="AK191" s="3287">
        <f t="shared" si="37"/>
        <v>2020</v>
      </c>
      <c r="AL191" s="3288">
        <f t="shared" si="38"/>
        <v>4</v>
      </c>
      <c r="AM191" s="3226" t="s">
        <v>4433</v>
      </c>
      <c r="AN191" s="3289">
        <v>1000000</v>
      </c>
      <c r="AO191" s="3300"/>
      <c r="AP191" s="3300"/>
      <c r="AQ191" s="3300"/>
      <c r="AR191" s="3292"/>
      <c r="AS191" s="3292"/>
      <c r="AT191" s="3292"/>
      <c r="AU191" s="3293" t="str">
        <f t="shared" si="40"/>
        <v/>
      </c>
      <c r="AV191" s="3293" t="str">
        <f t="shared" si="41"/>
        <v/>
      </c>
      <c r="AW191" s="3294"/>
      <c r="AX191" s="3236"/>
      <c r="AY191" s="3244"/>
      <c r="AZ191" s="3325" t="s">
        <v>4429</v>
      </c>
      <c r="BA191" s="3296" t="str">
        <f t="shared" si="39"/>
        <v>签约</v>
      </c>
      <c r="BB191" s="3226" t="s">
        <v>4423</v>
      </c>
      <c r="BC191" s="3226"/>
      <c r="BD191" s="3292"/>
      <c r="BE191" s="3297" t="s">
        <v>4465</v>
      </c>
      <c r="BG191" s="3297">
        <f>IFERROR(VLOOKUP(B191,[3]Sheet2!A$1:B$65536,2,FALSE),0)</f>
        <v>0</v>
      </c>
      <c r="BI191" s="3297">
        <f>IFERROR(VLOOKUP(B191,[3]Sheet2!A$1:C$65536,2,FALSE),0)</f>
        <v>0</v>
      </c>
      <c r="BJ191" s="3297">
        <f>IFERROR(VLOOKUP(B191,[3]Sheet2!A$1:C$65536,3,FALSE),0)</f>
        <v>0</v>
      </c>
    </row>
    <row r="192" spans="1:62" s="3261" customFormat="1" ht="20.25" customHeight="1">
      <c r="A192" s="3226">
        <v>190</v>
      </c>
      <c r="B192" s="3250" t="s">
        <v>4807</v>
      </c>
      <c r="C192" s="3227" t="s">
        <v>3333</v>
      </c>
      <c r="D192" s="3251" t="s">
        <v>3701</v>
      </c>
      <c r="E192" s="3229">
        <v>43828</v>
      </c>
      <c r="F192" s="3230">
        <v>50000</v>
      </c>
      <c r="G192" s="3231">
        <v>150.22</v>
      </c>
      <c r="H192" s="3231" t="str">
        <f t="shared" si="28"/>
        <v>非普通住宅</v>
      </c>
      <c r="I192" s="3230">
        <v>1987141</v>
      </c>
      <c r="J192" s="3229">
        <v>43830</v>
      </c>
      <c r="K192" s="3284">
        <f t="shared" si="29"/>
        <v>12</v>
      </c>
      <c r="L192" s="3230">
        <v>1980000</v>
      </c>
      <c r="M192" s="3235">
        <f t="shared" si="30"/>
        <v>13180.668353082146</v>
      </c>
      <c r="N192" s="3236">
        <v>700000</v>
      </c>
      <c r="O192" s="3244">
        <f t="shared" si="31"/>
        <v>1980000</v>
      </c>
      <c r="P192" s="3244"/>
      <c r="Q192" s="3244"/>
      <c r="R192" s="3244">
        <f t="shared" si="32"/>
        <v>750000</v>
      </c>
      <c r="S192" s="3244">
        <f t="shared" si="33"/>
        <v>750000</v>
      </c>
      <c r="T192" s="3236"/>
      <c r="U192" s="3236"/>
      <c r="V192" s="3236">
        <v>630000</v>
      </c>
      <c r="W192" s="3236">
        <v>600000</v>
      </c>
      <c r="X192" s="3244">
        <f t="shared" si="34"/>
        <v>1980000</v>
      </c>
      <c r="Y192" s="3244">
        <f t="shared" si="35"/>
        <v>0</v>
      </c>
      <c r="Z192" s="3285">
        <f t="shared" si="36"/>
        <v>1</v>
      </c>
      <c r="AA192" s="3226" t="s">
        <v>4416</v>
      </c>
      <c r="AB192" s="3226" t="s">
        <v>4417</v>
      </c>
      <c r="AC192" s="3226" t="s">
        <v>4418</v>
      </c>
      <c r="AD192" s="3286" t="s">
        <v>4539</v>
      </c>
      <c r="AE192" s="3286" t="s">
        <v>4427</v>
      </c>
      <c r="AF192" s="3286"/>
      <c r="AG192" s="3323"/>
      <c r="AH192" s="3255">
        <v>43892</v>
      </c>
      <c r="AI192" s="3255">
        <v>43892</v>
      </c>
      <c r="AJ192" s="3255">
        <v>43901</v>
      </c>
      <c r="AK192" s="3287">
        <f t="shared" si="37"/>
        <v>2020</v>
      </c>
      <c r="AL192" s="3288">
        <f t="shared" si="38"/>
        <v>3</v>
      </c>
      <c r="AM192" s="3226" t="s">
        <v>4440</v>
      </c>
      <c r="AN192" s="3289">
        <v>630000</v>
      </c>
      <c r="AO192" s="3300" t="s">
        <v>4539</v>
      </c>
      <c r="AP192" s="3300" t="s">
        <v>4427</v>
      </c>
      <c r="AQ192" s="3300"/>
      <c r="AR192" s="3292">
        <v>43892</v>
      </c>
      <c r="AS192" s="3292">
        <v>43892</v>
      </c>
      <c r="AT192" s="3292">
        <v>43920</v>
      </c>
      <c r="AU192" s="3293">
        <f t="shared" si="40"/>
        <v>2020</v>
      </c>
      <c r="AV192" s="3293">
        <f t="shared" si="41"/>
        <v>3</v>
      </c>
      <c r="AW192" s="3294" t="s">
        <v>4657</v>
      </c>
      <c r="AX192" s="3236">
        <v>600000</v>
      </c>
      <c r="AY192" s="3244"/>
      <c r="AZ192" s="3295" t="s">
        <v>4507</v>
      </c>
      <c r="BA192" s="3296" t="str">
        <f t="shared" si="39"/>
        <v>签约</v>
      </c>
      <c r="BB192" s="3226"/>
      <c r="BC192" s="3226"/>
      <c r="BD192" s="3292"/>
      <c r="BE192" s="3297" t="s">
        <v>4367</v>
      </c>
      <c r="BG192" s="3297">
        <f>IFERROR(VLOOKUP(B192,[3]Sheet2!A$1:B$65536,2,FALSE),0)</f>
        <v>0</v>
      </c>
      <c r="BI192" s="3297">
        <f>IFERROR(VLOOKUP(B192,[3]Sheet2!A$1:C$65536,2,FALSE),0)</f>
        <v>0</v>
      </c>
      <c r="BJ192" s="3297">
        <f>IFERROR(VLOOKUP(B192,[3]Sheet2!A$1:C$65536,3,FALSE),0)</f>
        <v>0</v>
      </c>
    </row>
    <row r="193" spans="1:62" s="3261" customFormat="1" ht="20.25" customHeight="1">
      <c r="A193" s="3226">
        <v>191</v>
      </c>
      <c r="B193" s="3250" t="s">
        <v>4808</v>
      </c>
      <c r="C193" s="3227" t="s">
        <v>3333</v>
      </c>
      <c r="D193" s="3251" t="s">
        <v>3703</v>
      </c>
      <c r="E193" s="3229">
        <v>43908</v>
      </c>
      <c r="F193" s="3230">
        <v>50000</v>
      </c>
      <c r="G193" s="3231">
        <v>150.22</v>
      </c>
      <c r="H193" s="3231" t="str">
        <f t="shared" si="28"/>
        <v>非普通住宅</v>
      </c>
      <c r="I193" s="3230">
        <v>2056831</v>
      </c>
      <c r="J193" s="3229">
        <v>43919</v>
      </c>
      <c r="K193" s="3284">
        <f t="shared" si="29"/>
        <v>3</v>
      </c>
      <c r="L193" s="3230">
        <v>2046831</v>
      </c>
      <c r="M193" s="3235">
        <f t="shared" si="30"/>
        <v>13625.555851417921</v>
      </c>
      <c r="N193" s="3236">
        <v>566831</v>
      </c>
      <c r="O193" s="3244">
        <f t="shared" si="31"/>
        <v>2046831</v>
      </c>
      <c r="P193" s="3244"/>
      <c r="Q193" s="3244"/>
      <c r="R193" s="3244">
        <f t="shared" si="32"/>
        <v>616831</v>
      </c>
      <c r="S193" s="3244">
        <f t="shared" si="33"/>
        <v>616831</v>
      </c>
      <c r="T193" s="3236"/>
      <c r="U193" s="3236"/>
      <c r="V193" s="3236">
        <v>1430000</v>
      </c>
      <c r="W193" s="3236"/>
      <c r="X193" s="3244">
        <f t="shared" si="34"/>
        <v>2046831</v>
      </c>
      <c r="Y193" s="3244">
        <f t="shared" si="35"/>
        <v>0</v>
      </c>
      <c r="Z193" s="3285">
        <f t="shared" si="36"/>
        <v>1</v>
      </c>
      <c r="AA193" s="3226" t="s">
        <v>3319</v>
      </c>
      <c r="AB193" s="3226" t="s">
        <v>4587</v>
      </c>
      <c r="AC193" s="3226" t="s">
        <v>4698</v>
      </c>
      <c r="AD193" s="3286" t="s">
        <v>4539</v>
      </c>
      <c r="AE193" s="3286" t="s">
        <v>4427</v>
      </c>
      <c r="AF193" s="3286"/>
      <c r="AG193" s="3323"/>
      <c r="AH193" s="3255">
        <v>43924</v>
      </c>
      <c r="AI193" s="3255">
        <v>43924</v>
      </c>
      <c r="AJ193" s="3255">
        <v>43959</v>
      </c>
      <c r="AK193" s="3287">
        <f t="shared" si="37"/>
        <v>2020</v>
      </c>
      <c r="AL193" s="3288">
        <f t="shared" si="38"/>
        <v>5</v>
      </c>
      <c r="AM193" s="3226" t="s">
        <v>4440</v>
      </c>
      <c r="AN193" s="3289">
        <v>1430000</v>
      </c>
      <c r="AO193" s="3300"/>
      <c r="AP193" s="3300"/>
      <c r="AQ193" s="3300"/>
      <c r="AR193" s="3292"/>
      <c r="AS193" s="3292"/>
      <c r="AT193" s="3292"/>
      <c r="AU193" s="3293" t="str">
        <f t="shared" si="40"/>
        <v/>
      </c>
      <c r="AV193" s="3293" t="str">
        <f t="shared" si="41"/>
        <v/>
      </c>
      <c r="AW193" s="3294"/>
      <c r="AX193" s="3236"/>
      <c r="AY193" s="3244"/>
      <c r="AZ193" s="3295" t="s">
        <v>4454</v>
      </c>
      <c r="BA193" s="3296" t="str">
        <f t="shared" si="39"/>
        <v>签约</v>
      </c>
      <c r="BB193" s="3226"/>
      <c r="BC193" s="3226"/>
      <c r="BD193" s="3292"/>
      <c r="BE193" s="3297" t="s">
        <v>4367</v>
      </c>
      <c r="BG193" s="3297">
        <f>IFERROR(VLOOKUP(B193,[3]Sheet2!A$1:B$65536,2,FALSE),0)</f>
        <v>0</v>
      </c>
      <c r="BI193" s="3297">
        <f>IFERROR(VLOOKUP(B193,[3]Sheet2!A$1:C$65536,2,FALSE),0)</f>
        <v>0</v>
      </c>
      <c r="BJ193" s="3297">
        <f>IFERROR(VLOOKUP(B193,[3]Sheet2!A$1:C$65536,3,FALSE),0)</f>
        <v>0</v>
      </c>
    </row>
    <row r="194" spans="1:62" s="3261" customFormat="1" ht="20.25" customHeight="1">
      <c r="A194" s="3226">
        <v>192</v>
      </c>
      <c r="B194" s="3250" t="s">
        <v>4809</v>
      </c>
      <c r="C194" s="3227" t="s">
        <v>3333</v>
      </c>
      <c r="D194" s="3251" t="s">
        <v>3613</v>
      </c>
      <c r="E194" s="3229">
        <v>43919</v>
      </c>
      <c r="F194" s="3230">
        <v>50000</v>
      </c>
      <c r="G194" s="3231">
        <v>150.22</v>
      </c>
      <c r="H194" s="3231" t="str">
        <f t="shared" si="28"/>
        <v>非普通住宅</v>
      </c>
      <c r="I194" s="3230">
        <v>2103291</v>
      </c>
      <c r="J194" s="3229">
        <v>43939</v>
      </c>
      <c r="K194" s="3284">
        <f t="shared" si="29"/>
        <v>4</v>
      </c>
      <c r="L194" s="3230">
        <v>2103291</v>
      </c>
      <c r="M194" s="3235">
        <f t="shared" si="30"/>
        <v>14001.40460657702</v>
      </c>
      <c r="N194" s="3236">
        <v>2053291</v>
      </c>
      <c r="O194" s="3244">
        <f t="shared" si="31"/>
        <v>2103291</v>
      </c>
      <c r="P194" s="3244"/>
      <c r="Q194" s="3244"/>
      <c r="R194" s="3244">
        <f t="shared" si="32"/>
        <v>2103291</v>
      </c>
      <c r="S194" s="3244">
        <f t="shared" si="33"/>
        <v>2103291</v>
      </c>
      <c r="T194" s="3236"/>
      <c r="U194" s="3236"/>
      <c r="V194" s="3236"/>
      <c r="W194" s="3236"/>
      <c r="X194" s="3244">
        <f t="shared" si="34"/>
        <v>2103291</v>
      </c>
      <c r="Y194" s="3244">
        <f t="shared" si="35"/>
        <v>0</v>
      </c>
      <c r="Z194" s="3285">
        <f t="shared" si="36"/>
        <v>1</v>
      </c>
      <c r="AA194" s="3226" t="s">
        <v>4416</v>
      </c>
      <c r="AB194" s="3226" t="s">
        <v>4676</v>
      </c>
      <c r="AC194" s="3226"/>
      <c r="AD194" s="3286"/>
      <c r="AE194" s="3286"/>
      <c r="AF194" s="3286"/>
      <c r="AG194" s="3323"/>
      <c r="AH194" s="3255"/>
      <c r="AI194" s="3255"/>
      <c r="AJ194" s="3255"/>
      <c r="AK194" s="3287" t="str">
        <f t="shared" si="37"/>
        <v/>
      </c>
      <c r="AL194" s="3288"/>
      <c r="AM194" s="3226"/>
      <c r="AN194" s="3289"/>
      <c r="AO194" s="3300"/>
      <c r="AP194" s="3300"/>
      <c r="AQ194" s="3300"/>
      <c r="AR194" s="3292"/>
      <c r="AS194" s="3292"/>
      <c r="AT194" s="3292"/>
      <c r="AU194" s="3293" t="str">
        <f t="shared" si="40"/>
        <v/>
      </c>
      <c r="AV194" s="3293" t="str">
        <f t="shared" si="41"/>
        <v/>
      </c>
      <c r="AW194" s="3294"/>
      <c r="AX194" s="3236"/>
      <c r="AY194" s="3244"/>
      <c r="AZ194" s="3295" t="s">
        <v>4735</v>
      </c>
      <c r="BA194" s="3296" t="str">
        <f t="shared" si="39"/>
        <v>签约</v>
      </c>
      <c r="BB194" s="3226"/>
      <c r="BC194" s="3226"/>
      <c r="BD194" s="3292"/>
      <c r="BE194" s="3297" t="s">
        <v>4367</v>
      </c>
      <c r="BG194" s="3297">
        <f>IFERROR(VLOOKUP(B194,[3]Sheet2!A$1:B$65536,2,FALSE),0)</f>
        <v>0</v>
      </c>
      <c r="BI194" s="3297">
        <f>IFERROR(VLOOKUP(B194,[3]Sheet2!A$1:C$65536,2,FALSE),0)</f>
        <v>0</v>
      </c>
      <c r="BJ194" s="3297">
        <f>IFERROR(VLOOKUP(B194,[3]Sheet2!A$1:C$65536,3,FALSE),0)</f>
        <v>0</v>
      </c>
    </row>
    <row r="195" spans="1:62" s="3261" customFormat="1" ht="20.25" customHeight="1">
      <c r="A195" s="3226">
        <v>193</v>
      </c>
      <c r="B195" s="3250" t="s">
        <v>4810</v>
      </c>
      <c r="C195" s="3227" t="s">
        <v>3333</v>
      </c>
      <c r="D195" s="3251" t="s">
        <v>3706</v>
      </c>
      <c r="E195" s="3229">
        <v>43829</v>
      </c>
      <c r="F195" s="3230">
        <v>50000</v>
      </c>
      <c r="G195" s="3231">
        <v>150.22</v>
      </c>
      <c r="H195" s="3231" t="str">
        <f t="shared" si="28"/>
        <v>非普通住宅</v>
      </c>
      <c r="I195" s="3230">
        <v>2142007</v>
      </c>
      <c r="J195" s="3229">
        <v>43836</v>
      </c>
      <c r="K195" s="3284">
        <f t="shared" si="29"/>
        <v>1</v>
      </c>
      <c r="L195" s="3238">
        <v>2127007</v>
      </c>
      <c r="M195" s="3235">
        <f t="shared" si="30"/>
        <v>14159.279723072827</v>
      </c>
      <c r="N195" s="3236">
        <f>602007+1475000</f>
        <v>2077007</v>
      </c>
      <c r="O195" s="3244">
        <f t="shared" si="31"/>
        <v>2127007</v>
      </c>
      <c r="P195" s="3244"/>
      <c r="Q195" s="3244"/>
      <c r="R195" s="3244">
        <f t="shared" si="32"/>
        <v>2127007</v>
      </c>
      <c r="S195" s="3244">
        <f t="shared" si="33"/>
        <v>2127007</v>
      </c>
      <c r="T195" s="3236"/>
      <c r="U195" s="3236"/>
      <c r="V195" s="3236"/>
      <c r="W195" s="3236"/>
      <c r="X195" s="3244">
        <f t="shared" si="34"/>
        <v>2127007</v>
      </c>
      <c r="Y195" s="3244">
        <f t="shared" si="35"/>
        <v>0</v>
      </c>
      <c r="Z195" s="3285">
        <f t="shared" si="36"/>
        <v>1</v>
      </c>
      <c r="AA195" s="3226" t="s">
        <v>4416</v>
      </c>
      <c r="AB195" s="3226" t="s">
        <v>4676</v>
      </c>
      <c r="AC195" s="3226"/>
      <c r="AD195" s="3286"/>
      <c r="AE195" s="3286"/>
      <c r="AF195" s="3286"/>
      <c r="AG195" s="3323"/>
      <c r="AH195" s="3255"/>
      <c r="AI195" s="3255"/>
      <c r="AJ195" s="3255"/>
      <c r="AK195" s="3287" t="str">
        <f t="shared" si="37"/>
        <v/>
      </c>
      <c r="AL195" s="3288"/>
      <c r="AM195" s="3226"/>
      <c r="AN195" s="3289"/>
      <c r="AO195" s="3300"/>
      <c r="AP195" s="3300"/>
      <c r="AQ195" s="3300"/>
      <c r="AR195" s="3292"/>
      <c r="AS195" s="3292"/>
      <c r="AT195" s="3292"/>
      <c r="AU195" s="3293" t="str">
        <f t="shared" si="40"/>
        <v/>
      </c>
      <c r="AV195" s="3293" t="str">
        <f t="shared" si="41"/>
        <v/>
      </c>
      <c r="AW195" s="3294"/>
      <c r="AX195" s="3236"/>
      <c r="AY195" s="3244"/>
      <c r="AZ195" s="3295" t="s">
        <v>4441</v>
      </c>
      <c r="BA195" s="3296" t="str">
        <f t="shared" si="39"/>
        <v>签约</v>
      </c>
      <c r="BB195" s="3226"/>
      <c r="BC195" s="3226"/>
      <c r="BD195" s="3292"/>
      <c r="BE195" s="3297" t="s">
        <v>4696</v>
      </c>
      <c r="BG195" s="3297">
        <f>IFERROR(VLOOKUP(B195,[3]Sheet2!A$1:B$65536,2,FALSE),0)</f>
        <v>0</v>
      </c>
      <c r="BI195" s="3297">
        <f>IFERROR(VLOOKUP(B195,[3]Sheet2!A$1:C$65536,2,FALSE),0)</f>
        <v>0</v>
      </c>
      <c r="BJ195" s="3297">
        <f>IFERROR(VLOOKUP(B195,[3]Sheet2!A$1:C$65536,3,FALSE),0)</f>
        <v>0</v>
      </c>
    </row>
    <row r="196" spans="1:62" s="3261" customFormat="1" ht="20.25" customHeight="1">
      <c r="A196" s="3226">
        <v>194</v>
      </c>
      <c r="B196" s="3250" t="s">
        <v>4811</v>
      </c>
      <c r="C196" s="3227" t="s">
        <v>3333</v>
      </c>
      <c r="D196" s="3251" t="s">
        <v>3708</v>
      </c>
      <c r="E196" s="3229">
        <v>43814</v>
      </c>
      <c r="F196" s="3230">
        <v>50000</v>
      </c>
      <c r="G196" s="3231">
        <v>150.22</v>
      </c>
      <c r="H196" s="3231" t="str">
        <f t="shared" ref="H196:H259" si="42">IF(G196&lt;144,"普通住宅","非普通住宅")</f>
        <v>非普通住宅</v>
      </c>
      <c r="I196" s="3230">
        <v>2149751</v>
      </c>
      <c r="J196" s="3229">
        <v>43815</v>
      </c>
      <c r="K196" s="3284">
        <f t="shared" ref="K196:K259" si="43">IF(ISBLANK(J196),"",MONTH(J196))</f>
        <v>12</v>
      </c>
      <c r="L196" s="3230">
        <v>2139751</v>
      </c>
      <c r="M196" s="3235">
        <f t="shared" ref="M196:M259" si="44">L196/G196</f>
        <v>14244.115297563574</v>
      </c>
      <c r="N196" s="3236">
        <v>599751</v>
      </c>
      <c r="O196" s="3244">
        <f t="shared" ref="O196:O259" si="45">L196-P196-Q196</f>
        <v>2139751</v>
      </c>
      <c r="P196" s="3244"/>
      <c r="Q196" s="3244"/>
      <c r="R196" s="3244">
        <f t="shared" ref="R196:R259" si="46">F196+N196</f>
        <v>649751</v>
      </c>
      <c r="S196" s="3244">
        <f t="shared" ref="S196:S259" si="47">R196-T196-U196</f>
        <v>649751</v>
      </c>
      <c r="T196" s="3236"/>
      <c r="U196" s="3236"/>
      <c r="V196" s="3236">
        <v>1490000</v>
      </c>
      <c r="W196" s="3236"/>
      <c r="X196" s="3244">
        <f t="shared" ref="X196:X259" si="48">R196+V196+W196</f>
        <v>2139751</v>
      </c>
      <c r="Y196" s="3244">
        <f t="shared" ref="Y196:Y259" si="49">L196-X196</f>
        <v>0</v>
      </c>
      <c r="Z196" s="3285">
        <f t="shared" ref="Z196:Z259" si="50">X196/L196</f>
        <v>1</v>
      </c>
      <c r="AA196" s="3226" t="s">
        <v>4416</v>
      </c>
      <c r="AB196" s="3226" t="s">
        <v>4417</v>
      </c>
      <c r="AC196" s="3226" t="s">
        <v>4418</v>
      </c>
      <c r="AD196" s="3286" t="s">
        <v>4419</v>
      </c>
      <c r="AE196" s="3286" t="s">
        <v>4427</v>
      </c>
      <c r="AF196" s="3286"/>
      <c r="AG196" s="3323"/>
      <c r="AH196" s="3255">
        <v>43815</v>
      </c>
      <c r="AI196" s="3255">
        <v>43822</v>
      </c>
      <c r="AJ196" s="3255">
        <v>43866</v>
      </c>
      <c r="AK196" s="3287">
        <f t="shared" ref="AK196:AK259" si="51">IF(ISBLANK(AJ196),"",YEAR(AJ196))</f>
        <v>2020</v>
      </c>
      <c r="AL196" s="3288">
        <f t="shared" ref="AL196:AL259" si="52">IF(ISBLANK(AJ196),"",MONTH(AJ196))</f>
        <v>2</v>
      </c>
      <c r="AM196" s="3226" t="s">
        <v>4701</v>
      </c>
      <c r="AN196" s="3289">
        <v>1490000</v>
      </c>
      <c r="AO196" s="3300"/>
      <c r="AP196" s="3300"/>
      <c r="AQ196" s="3300"/>
      <c r="AR196" s="3292"/>
      <c r="AS196" s="3292"/>
      <c r="AT196" s="3292"/>
      <c r="AU196" s="3293" t="str">
        <f t="shared" si="40"/>
        <v/>
      </c>
      <c r="AV196" s="3293" t="str">
        <f t="shared" si="41"/>
        <v/>
      </c>
      <c r="AW196" s="3294"/>
      <c r="AX196" s="3236"/>
      <c r="AY196" s="3244"/>
      <c r="AZ196" s="3295" t="s">
        <v>4422</v>
      </c>
      <c r="BA196" s="3296" t="str">
        <f t="shared" ref="BA196:BA259" si="53">IF(E196=0,"未售",IF(J196&gt;0,"签约","认购"))</f>
        <v>签约</v>
      </c>
      <c r="BB196" s="3226"/>
      <c r="BC196" s="3226"/>
      <c r="BD196" s="3292">
        <f>VLOOKUP(B196,[3]Sheet1!A$1:B$65536,2,0)</f>
        <v>43818</v>
      </c>
      <c r="BE196" s="3297" t="s">
        <v>4367</v>
      </c>
      <c r="BG196" s="3297">
        <f>IFERROR(VLOOKUP(B196,[3]Sheet2!A$1:B$65536,2,FALSE),0)</f>
        <v>0</v>
      </c>
      <c r="BI196" s="3297">
        <f>IFERROR(VLOOKUP(B196,[3]Sheet2!A$1:C$65536,2,FALSE),0)</f>
        <v>0</v>
      </c>
      <c r="BJ196" s="3297">
        <f>IFERROR(VLOOKUP(B196,[3]Sheet2!A$1:C$65536,3,FALSE),0)</f>
        <v>0</v>
      </c>
    </row>
    <row r="197" spans="1:62" s="3261" customFormat="1" ht="20.25" customHeight="1">
      <c r="A197" s="3226">
        <v>195</v>
      </c>
      <c r="B197" s="3250" t="s">
        <v>4812</v>
      </c>
      <c r="C197" s="3227" t="s">
        <v>3333</v>
      </c>
      <c r="D197" s="3252" t="s">
        <v>4813</v>
      </c>
      <c r="E197" s="3229">
        <v>43780</v>
      </c>
      <c r="F197" s="3230">
        <v>20000</v>
      </c>
      <c r="G197" s="3231">
        <v>150.22</v>
      </c>
      <c r="H197" s="3231" t="str">
        <f t="shared" si="42"/>
        <v>非普通住宅</v>
      </c>
      <c r="I197" s="3230">
        <v>2157494</v>
      </c>
      <c r="J197" s="3229">
        <v>43786</v>
      </c>
      <c r="K197" s="3284">
        <f t="shared" si="43"/>
        <v>11</v>
      </c>
      <c r="L197" s="3230">
        <v>2132398</v>
      </c>
      <c r="M197" s="3235">
        <f t="shared" si="44"/>
        <v>14195.167088270537</v>
      </c>
      <c r="N197" s="3236">
        <f>622398+1490000</f>
        <v>2112398</v>
      </c>
      <c r="O197" s="3244">
        <f t="shared" si="45"/>
        <v>2132398</v>
      </c>
      <c r="P197" s="3244"/>
      <c r="Q197" s="3244"/>
      <c r="R197" s="3244">
        <f t="shared" si="46"/>
        <v>2132398</v>
      </c>
      <c r="S197" s="3244">
        <f t="shared" si="47"/>
        <v>2132398</v>
      </c>
      <c r="T197" s="3236"/>
      <c r="U197" s="3236"/>
      <c r="V197" s="3236"/>
      <c r="W197" s="3236"/>
      <c r="X197" s="3244">
        <f t="shared" si="48"/>
        <v>2132398</v>
      </c>
      <c r="Y197" s="3244">
        <f t="shared" si="49"/>
        <v>0</v>
      </c>
      <c r="Z197" s="3285">
        <f t="shared" si="50"/>
        <v>1</v>
      </c>
      <c r="AA197" s="3226" t="s">
        <v>4416</v>
      </c>
      <c r="AB197" s="3226" t="s">
        <v>4676</v>
      </c>
      <c r="AC197" s="3226"/>
      <c r="AD197" s="3286"/>
      <c r="AE197" s="3286"/>
      <c r="AF197" s="3286"/>
      <c r="AG197" s="3323"/>
      <c r="AH197" s="3255"/>
      <c r="AI197" s="3255"/>
      <c r="AJ197" s="3255"/>
      <c r="AK197" s="3287" t="str">
        <f t="shared" si="51"/>
        <v/>
      </c>
      <c r="AL197" s="3288" t="str">
        <f t="shared" si="52"/>
        <v/>
      </c>
      <c r="AM197" s="3226"/>
      <c r="AN197" s="3289"/>
      <c r="AO197" s="3300"/>
      <c r="AP197" s="3300"/>
      <c r="AQ197" s="3300"/>
      <c r="AR197" s="3292"/>
      <c r="AS197" s="3292"/>
      <c r="AT197" s="3292"/>
      <c r="AU197" s="3293" t="str">
        <f t="shared" si="40"/>
        <v/>
      </c>
      <c r="AV197" s="3293" t="str">
        <f t="shared" si="41"/>
        <v/>
      </c>
      <c r="AW197" s="3294"/>
      <c r="AX197" s="3236"/>
      <c r="AY197" s="3244"/>
      <c r="AZ197" s="3295" t="s">
        <v>4441</v>
      </c>
      <c r="BA197" s="3296" t="str">
        <f t="shared" si="53"/>
        <v>签约</v>
      </c>
      <c r="BB197" s="3226"/>
      <c r="BC197" s="3226"/>
      <c r="BD197" s="3292">
        <f>VLOOKUP(B197,[3]Sheet1!A$1:B$65536,2,0)</f>
        <v>43815</v>
      </c>
      <c r="BE197" s="3297" t="s">
        <v>4367</v>
      </c>
      <c r="BG197" s="3297">
        <f>IFERROR(VLOOKUP(B197,[3]Sheet2!A$1:B$65536,2,FALSE),0)</f>
        <v>0</v>
      </c>
      <c r="BI197" s="3297">
        <f>IFERROR(VLOOKUP(B197,[3]Sheet2!A$1:C$65536,2,FALSE),0)</f>
        <v>0</v>
      </c>
      <c r="BJ197" s="3297">
        <f>IFERROR(VLOOKUP(B197,[3]Sheet2!A$1:C$65536,3,FALSE),0)</f>
        <v>0</v>
      </c>
    </row>
    <row r="198" spans="1:62" s="3261" customFormat="1" ht="20.25" customHeight="1">
      <c r="A198" s="3226">
        <v>196</v>
      </c>
      <c r="B198" s="3250" t="s">
        <v>4814</v>
      </c>
      <c r="C198" s="3227" t="s">
        <v>3333</v>
      </c>
      <c r="D198" s="3251" t="s">
        <v>3712</v>
      </c>
      <c r="E198" s="3229">
        <v>43914</v>
      </c>
      <c r="F198" s="3230">
        <v>50000</v>
      </c>
      <c r="G198" s="3231">
        <v>150.22</v>
      </c>
      <c r="H198" s="3231" t="str">
        <f t="shared" si="42"/>
        <v>非普通住宅</v>
      </c>
      <c r="I198" s="3230">
        <v>2165237</v>
      </c>
      <c r="J198" s="3229">
        <v>43936</v>
      </c>
      <c r="K198" s="3284">
        <f t="shared" si="43"/>
        <v>4</v>
      </c>
      <c r="L198" s="3230">
        <v>2155237</v>
      </c>
      <c r="M198" s="3235">
        <f t="shared" si="44"/>
        <v>14347.204100652376</v>
      </c>
      <c r="N198" s="3236">
        <v>615237</v>
      </c>
      <c r="O198" s="3244">
        <f t="shared" si="45"/>
        <v>2155237</v>
      </c>
      <c r="P198" s="3244"/>
      <c r="Q198" s="3244"/>
      <c r="R198" s="3244">
        <f t="shared" si="46"/>
        <v>665237</v>
      </c>
      <c r="S198" s="3244">
        <f t="shared" si="47"/>
        <v>665237</v>
      </c>
      <c r="T198" s="3236"/>
      <c r="U198" s="3236"/>
      <c r="V198" s="3236">
        <v>1490000</v>
      </c>
      <c r="W198" s="3236"/>
      <c r="X198" s="3244">
        <f t="shared" si="48"/>
        <v>2155237</v>
      </c>
      <c r="Y198" s="3244">
        <f t="shared" si="49"/>
        <v>0</v>
      </c>
      <c r="Z198" s="3285">
        <f t="shared" si="50"/>
        <v>1</v>
      </c>
      <c r="AA198" s="3226" t="s">
        <v>3319</v>
      </c>
      <c r="AB198" s="3226" t="s">
        <v>4587</v>
      </c>
      <c r="AC198" s="3226" t="s">
        <v>4698</v>
      </c>
      <c r="AD198" s="3286" t="s">
        <v>4539</v>
      </c>
      <c r="AE198" s="3286" t="s">
        <v>4427</v>
      </c>
      <c r="AF198" s="3286"/>
      <c r="AG198" s="3323"/>
      <c r="AH198" s="3255">
        <v>43936</v>
      </c>
      <c r="AI198" s="3255">
        <v>43936</v>
      </c>
      <c r="AJ198" s="3255">
        <v>43957</v>
      </c>
      <c r="AK198" s="3287">
        <f t="shared" si="51"/>
        <v>2020</v>
      </c>
      <c r="AL198" s="3288">
        <f t="shared" si="52"/>
        <v>5</v>
      </c>
      <c r="AM198" s="3226" t="s">
        <v>4701</v>
      </c>
      <c r="AN198" s="3289">
        <v>1490000</v>
      </c>
      <c r="AO198" s="3300"/>
      <c r="AP198" s="3300"/>
      <c r="AQ198" s="3300"/>
      <c r="AR198" s="3292"/>
      <c r="AS198" s="3292"/>
      <c r="AT198" s="3292"/>
      <c r="AU198" s="3293" t="str">
        <f t="shared" si="40"/>
        <v/>
      </c>
      <c r="AV198" s="3293" t="str">
        <f t="shared" si="41"/>
        <v/>
      </c>
      <c r="AW198" s="3294"/>
      <c r="AX198" s="3236"/>
      <c r="AY198" s="3244"/>
      <c r="AZ198" s="3295" t="s">
        <v>4448</v>
      </c>
      <c r="BA198" s="3296" t="str">
        <f t="shared" si="53"/>
        <v>签约</v>
      </c>
      <c r="BB198" s="3226"/>
      <c r="BC198" s="3226"/>
      <c r="BD198" s="3292"/>
      <c r="BE198" s="3297" t="s">
        <v>4465</v>
      </c>
      <c r="BG198" s="3297">
        <f>IFERROR(VLOOKUP(B198,[3]Sheet2!A$1:B$65536,2,FALSE),0)</f>
        <v>0</v>
      </c>
      <c r="BI198" s="3297">
        <f>IFERROR(VLOOKUP(B198,[3]Sheet2!A$1:C$65536,2,FALSE),0)</f>
        <v>0</v>
      </c>
      <c r="BJ198" s="3297">
        <f>IFERROR(VLOOKUP(B198,[3]Sheet2!A$1:C$65536,3,FALSE),0)</f>
        <v>0</v>
      </c>
    </row>
    <row r="199" spans="1:62" s="3261" customFormat="1" ht="20.25" customHeight="1">
      <c r="A199" s="3226">
        <v>197</v>
      </c>
      <c r="B199" s="3250" t="s">
        <v>4815</v>
      </c>
      <c r="C199" s="3227" t="s">
        <v>3333</v>
      </c>
      <c r="D199" s="3251" t="s">
        <v>3714</v>
      </c>
      <c r="E199" s="3229">
        <v>43799</v>
      </c>
      <c r="F199" s="3230">
        <v>50000</v>
      </c>
      <c r="G199" s="3231">
        <v>150.22</v>
      </c>
      <c r="H199" s="3231" t="str">
        <f t="shared" si="42"/>
        <v>非普通住宅</v>
      </c>
      <c r="I199" s="3230">
        <v>2172981</v>
      </c>
      <c r="J199" s="3229">
        <v>43807</v>
      </c>
      <c r="K199" s="3284">
        <f t="shared" si="43"/>
        <v>12</v>
      </c>
      <c r="L199" s="3230">
        <v>2142981</v>
      </c>
      <c r="M199" s="3235">
        <f t="shared" si="44"/>
        <v>14265.61709492744</v>
      </c>
      <c r="N199" s="3236">
        <v>2092981</v>
      </c>
      <c r="O199" s="3244">
        <f t="shared" si="45"/>
        <v>2142981</v>
      </c>
      <c r="P199" s="3244"/>
      <c r="Q199" s="3244"/>
      <c r="R199" s="3244">
        <f t="shared" si="46"/>
        <v>2142981</v>
      </c>
      <c r="S199" s="3244">
        <f t="shared" si="47"/>
        <v>2142981</v>
      </c>
      <c r="T199" s="3236"/>
      <c r="U199" s="3236"/>
      <c r="V199" s="3236"/>
      <c r="W199" s="3236"/>
      <c r="X199" s="3244">
        <f t="shared" si="48"/>
        <v>2142981</v>
      </c>
      <c r="Y199" s="3244">
        <f t="shared" si="49"/>
        <v>0</v>
      </c>
      <c r="Z199" s="3285">
        <f t="shared" si="50"/>
        <v>1</v>
      </c>
      <c r="AA199" s="3226" t="s">
        <v>3319</v>
      </c>
      <c r="AB199" s="3226" t="s">
        <v>4676</v>
      </c>
      <c r="AC199" s="3226"/>
      <c r="AD199" s="3286"/>
      <c r="AE199" s="3286"/>
      <c r="AF199" s="3286"/>
      <c r="AG199" s="3323"/>
      <c r="AH199" s="3255"/>
      <c r="AI199" s="3255"/>
      <c r="AJ199" s="3255"/>
      <c r="AK199" s="3287" t="str">
        <f t="shared" si="51"/>
        <v/>
      </c>
      <c r="AL199" s="3288" t="str">
        <f t="shared" si="52"/>
        <v/>
      </c>
      <c r="AM199" s="3226"/>
      <c r="AN199" s="3289"/>
      <c r="AO199" s="3300"/>
      <c r="AP199" s="3300"/>
      <c r="AQ199" s="3300"/>
      <c r="AR199" s="3292"/>
      <c r="AS199" s="3292"/>
      <c r="AT199" s="3292"/>
      <c r="AU199" s="3293" t="str">
        <f t="shared" si="40"/>
        <v/>
      </c>
      <c r="AV199" s="3293" t="str">
        <f t="shared" si="41"/>
        <v/>
      </c>
      <c r="AW199" s="3294"/>
      <c r="AX199" s="3236"/>
      <c r="AY199" s="3244"/>
      <c r="AZ199" s="3295" t="s">
        <v>4445</v>
      </c>
      <c r="BA199" s="3296" t="str">
        <f t="shared" si="53"/>
        <v>签约</v>
      </c>
      <c r="BB199" s="3226"/>
      <c r="BC199" s="3226"/>
      <c r="BD199" s="3292">
        <f>VLOOKUP(B199,[3]Sheet1!A$1:B$65536,2,0)</f>
        <v>43811</v>
      </c>
      <c r="BE199" s="3297" t="s">
        <v>4696</v>
      </c>
      <c r="BG199" s="3297">
        <f>IFERROR(VLOOKUP(B199,[3]Sheet2!A$1:B$65536,2,FALSE),0)</f>
        <v>0</v>
      </c>
      <c r="BI199" s="3297">
        <f>IFERROR(VLOOKUP(B199,[3]Sheet2!A$1:C$65536,2,FALSE),0)</f>
        <v>0</v>
      </c>
      <c r="BJ199" s="3297">
        <f>IFERROR(VLOOKUP(B199,[3]Sheet2!A$1:C$65536,3,FALSE),0)</f>
        <v>0</v>
      </c>
    </row>
    <row r="200" spans="1:62" s="3261" customFormat="1" ht="20.25" customHeight="1">
      <c r="A200" s="3226">
        <v>198</v>
      </c>
      <c r="B200" s="3250" t="s">
        <v>4816</v>
      </c>
      <c r="C200" s="3227" t="s">
        <v>3333</v>
      </c>
      <c r="D200" s="3251" t="s">
        <v>3716</v>
      </c>
      <c r="E200" s="3229">
        <v>43809</v>
      </c>
      <c r="F200" s="3230">
        <v>50000</v>
      </c>
      <c r="G200" s="3231">
        <v>150.22</v>
      </c>
      <c r="H200" s="3231" t="str">
        <f t="shared" si="42"/>
        <v>非普通住宅</v>
      </c>
      <c r="I200" s="3230">
        <v>2180724</v>
      </c>
      <c r="J200" s="3229">
        <v>43829</v>
      </c>
      <c r="K200" s="3284">
        <f t="shared" si="43"/>
        <v>12</v>
      </c>
      <c r="L200" s="3230">
        <v>2160724</v>
      </c>
      <c r="M200" s="3235">
        <f t="shared" si="44"/>
        <v>14383.730528558115</v>
      </c>
      <c r="N200" s="3236">
        <f>610724+100000</f>
        <v>710724</v>
      </c>
      <c r="O200" s="3244">
        <f t="shared" si="45"/>
        <v>2160724</v>
      </c>
      <c r="P200" s="3244"/>
      <c r="Q200" s="3244"/>
      <c r="R200" s="3244">
        <f t="shared" si="46"/>
        <v>760724</v>
      </c>
      <c r="S200" s="3244">
        <f t="shared" si="47"/>
        <v>760724</v>
      </c>
      <c r="T200" s="3236"/>
      <c r="U200" s="3236"/>
      <c r="V200" s="3236">
        <v>1400000</v>
      </c>
      <c r="W200" s="3236"/>
      <c r="X200" s="3244">
        <f t="shared" si="48"/>
        <v>2160724</v>
      </c>
      <c r="Y200" s="3244">
        <f t="shared" si="49"/>
        <v>0</v>
      </c>
      <c r="Z200" s="3285">
        <f t="shared" si="50"/>
        <v>1</v>
      </c>
      <c r="AA200" s="3226" t="s">
        <v>4416</v>
      </c>
      <c r="AB200" s="3226" t="s">
        <v>4417</v>
      </c>
      <c r="AC200" s="3226" t="s">
        <v>4418</v>
      </c>
      <c r="AD200" s="3286" t="s">
        <v>4539</v>
      </c>
      <c r="AE200" s="3286" t="s">
        <v>4427</v>
      </c>
      <c r="AF200" s="3286"/>
      <c r="AG200" s="3323"/>
      <c r="AH200" s="3255">
        <v>43829</v>
      </c>
      <c r="AI200" s="3255">
        <v>43829</v>
      </c>
      <c r="AJ200" s="3255">
        <v>43882</v>
      </c>
      <c r="AK200" s="3287">
        <f t="shared" si="51"/>
        <v>2020</v>
      </c>
      <c r="AL200" s="3288">
        <f t="shared" si="52"/>
        <v>2</v>
      </c>
      <c r="AM200" s="3226" t="s">
        <v>4739</v>
      </c>
      <c r="AN200" s="3289">
        <v>1400000</v>
      </c>
      <c r="AO200" s="3300"/>
      <c r="AP200" s="3300"/>
      <c r="AQ200" s="3300"/>
      <c r="AR200" s="3292"/>
      <c r="AS200" s="3292"/>
      <c r="AT200" s="3292"/>
      <c r="AU200" s="3293" t="str">
        <f t="shared" si="40"/>
        <v/>
      </c>
      <c r="AV200" s="3293" t="str">
        <f t="shared" si="41"/>
        <v/>
      </c>
      <c r="AW200" s="3294"/>
      <c r="AX200" s="3236"/>
      <c r="AY200" s="3244"/>
      <c r="AZ200" s="3295" t="s">
        <v>4422</v>
      </c>
      <c r="BA200" s="3296" t="str">
        <f t="shared" si="53"/>
        <v>签约</v>
      </c>
      <c r="BB200" s="3226"/>
      <c r="BC200" s="3226"/>
      <c r="BD200" s="3292"/>
      <c r="BE200" s="3297" t="s">
        <v>4367</v>
      </c>
      <c r="BG200" s="3297">
        <f>IFERROR(VLOOKUP(B200,[3]Sheet2!A$1:B$65536,2,FALSE),0)</f>
        <v>0</v>
      </c>
      <c r="BI200" s="3297">
        <f>IFERROR(VLOOKUP(B200,[3]Sheet2!A$1:C$65536,2,FALSE),0)</f>
        <v>0</v>
      </c>
      <c r="BJ200" s="3297">
        <f>IFERROR(VLOOKUP(B200,[3]Sheet2!A$1:C$65536,3,FALSE),0)</f>
        <v>0</v>
      </c>
    </row>
    <row r="201" spans="1:62" s="3261" customFormat="1" ht="20.25" customHeight="1">
      <c r="A201" s="3226">
        <v>199</v>
      </c>
      <c r="B201" s="3250" t="s">
        <v>4817</v>
      </c>
      <c r="C201" s="3227" t="s">
        <v>3333</v>
      </c>
      <c r="D201" s="3251" t="s">
        <v>3718</v>
      </c>
      <c r="E201" s="3229">
        <v>43933</v>
      </c>
      <c r="F201" s="3230">
        <v>50000</v>
      </c>
      <c r="G201" s="3231">
        <v>150.28</v>
      </c>
      <c r="H201" s="3231" t="str">
        <f t="shared" si="42"/>
        <v>非普通住宅</v>
      </c>
      <c r="I201" s="3230">
        <v>2096376</v>
      </c>
      <c r="J201" s="3229">
        <v>43950</v>
      </c>
      <c r="K201" s="3284">
        <f t="shared" si="43"/>
        <v>4</v>
      </c>
      <c r="L201" s="3230">
        <v>2096376</v>
      </c>
      <c r="M201" s="3235">
        <f t="shared" si="44"/>
        <v>13949.800372637743</v>
      </c>
      <c r="N201" s="3236">
        <v>586376</v>
      </c>
      <c r="O201" s="3244">
        <f t="shared" si="45"/>
        <v>2096376</v>
      </c>
      <c r="P201" s="3244"/>
      <c r="Q201" s="3244"/>
      <c r="R201" s="3244">
        <f t="shared" si="46"/>
        <v>636376</v>
      </c>
      <c r="S201" s="3244">
        <f t="shared" si="47"/>
        <v>636376</v>
      </c>
      <c r="T201" s="3236"/>
      <c r="U201" s="3236"/>
      <c r="V201" s="3236">
        <v>1460000</v>
      </c>
      <c r="W201" s="3236"/>
      <c r="X201" s="3244">
        <f t="shared" si="48"/>
        <v>2096376</v>
      </c>
      <c r="Y201" s="3244">
        <f t="shared" si="49"/>
        <v>0</v>
      </c>
      <c r="Z201" s="3285">
        <f t="shared" si="50"/>
        <v>1</v>
      </c>
      <c r="AA201" s="3226" t="s">
        <v>3319</v>
      </c>
      <c r="AB201" s="3226" t="s">
        <v>4587</v>
      </c>
      <c r="AC201" s="3226" t="s">
        <v>4698</v>
      </c>
      <c r="AD201" s="3286" t="s">
        <v>4539</v>
      </c>
      <c r="AE201" s="3286" t="s">
        <v>4427</v>
      </c>
      <c r="AF201" s="3286"/>
      <c r="AG201" s="3323"/>
      <c r="AH201" s="3255">
        <v>43950</v>
      </c>
      <c r="AI201" s="3255">
        <v>43951</v>
      </c>
      <c r="AJ201" s="3255">
        <v>43971</v>
      </c>
      <c r="AK201" s="3287">
        <f t="shared" si="51"/>
        <v>2020</v>
      </c>
      <c r="AL201" s="3288">
        <f t="shared" si="52"/>
        <v>5</v>
      </c>
      <c r="AM201" s="3226" t="s">
        <v>4433</v>
      </c>
      <c r="AN201" s="3289">
        <v>1460000</v>
      </c>
      <c r="AO201" s="3300"/>
      <c r="AP201" s="3300"/>
      <c r="AQ201" s="3300"/>
      <c r="AR201" s="3292"/>
      <c r="AS201" s="3292"/>
      <c r="AT201" s="3292"/>
      <c r="AU201" s="3293" t="str">
        <f t="shared" si="40"/>
        <v/>
      </c>
      <c r="AV201" s="3293" t="str">
        <f t="shared" si="41"/>
        <v/>
      </c>
      <c r="AW201" s="3294"/>
      <c r="AX201" s="3236"/>
      <c r="AY201" s="3244"/>
      <c r="AZ201" s="3325" t="s">
        <v>4429</v>
      </c>
      <c r="BA201" s="3296" t="str">
        <f t="shared" si="53"/>
        <v>签约</v>
      </c>
      <c r="BB201" s="3226"/>
      <c r="BC201" s="3226"/>
      <c r="BD201" s="3292"/>
      <c r="BE201" s="3297" t="s">
        <v>4465</v>
      </c>
      <c r="BG201" s="3297">
        <f>IFERROR(VLOOKUP(B201,[3]Sheet2!A$1:B$65536,2,FALSE),0)</f>
        <v>0</v>
      </c>
      <c r="BI201" s="3297">
        <f>IFERROR(VLOOKUP(B201,[3]Sheet2!A$1:C$65536,2,FALSE),0)</f>
        <v>0</v>
      </c>
      <c r="BJ201" s="3297">
        <f>IFERROR(VLOOKUP(B201,[3]Sheet2!A$1:C$65536,3,FALSE),0)</f>
        <v>0</v>
      </c>
    </row>
    <row r="202" spans="1:62" s="3261" customFormat="1" ht="20.25" customHeight="1">
      <c r="A202" s="3226">
        <v>200</v>
      </c>
      <c r="B202" s="3250" t="s">
        <v>4818</v>
      </c>
      <c r="C202" s="3227" t="s">
        <v>3333</v>
      </c>
      <c r="D202" s="3251" t="s">
        <v>3720</v>
      </c>
      <c r="E202" s="3229">
        <v>43907</v>
      </c>
      <c r="F202" s="3230">
        <v>50000</v>
      </c>
      <c r="G202" s="3231">
        <v>130.77000000000001</v>
      </c>
      <c r="H202" s="3231" t="str">
        <f t="shared" si="42"/>
        <v>普通住宅</v>
      </c>
      <c r="I202" s="3230">
        <v>1703531</v>
      </c>
      <c r="J202" s="3229">
        <v>43928</v>
      </c>
      <c r="K202" s="3284">
        <f t="shared" si="43"/>
        <v>4</v>
      </c>
      <c r="L202" s="3230">
        <v>1688531</v>
      </c>
      <c r="M202" s="3235">
        <f t="shared" si="44"/>
        <v>12912.219928118069</v>
      </c>
      <c r="N202" s="3236">
        <v>458531</v>
      </c>
      <c r="O202" s="3244">
        <f t="shared" si="45"/>
        <v>1688531</v>
      </c>
      <c r="P202" s="3244"/>
      <c r="Q202" s="3244"/>
      <c r="R202" s="3244">
        <f t="shared" si="46"/>
        <v>508531</v>
      </c>
      <c r="S202" s="3244">
        <f t="shared" si="47"/>
        <v>508531</v>
      </c>
      <c r="T202" s="3236"/>
      <c r="U202" s="3236"/>
      <c r="V202" s="3236">
        <v>1180000</v>
      </c>
      <c r="W202" s="3236"/>
      <c r="X202" s="3244">
        <f t="shared" si="48"/>
        <v>1688531</v>
      </c>
      <c r="Y202" s="3244">
        <f t="shared" si="49"/>
        <v>0</v>
      </c>
      <c r="Z202" s="3285">
        <f t="shared" si="50"/>
        <v>1</v>
      </c>
      <c r="AA202" s="3226" t="s">
        <v>3319</v>
      </c>
      <c r="AB202" s="3226" t="s">
        <v>4587</v>
      </c>
      <c r="AC202" s="3226" t="s">
        <v>4698</v>
      </c>
      <c r="AD202" s="3286" t="s">
        <v>4539</v>
      </c>
      <c r="AE202" s="3286" t="s">
        <v>4427</v>
      </c>
      <c r="AF202" s="3286"/>
      <c r="AG202" s="3323"/>
      <c r="AH202" s="3255">
        <v>43928</v>
      </c>
      <c r="AI202" s="3255">
        <v>43928</v>
      </c>
      <c r="AJ202" s="3255">
        <v>43978</v>
      </c>
      <c r="AK202" s="3287">
        <f t="shared" si="51"/>
        <v>2020</v>
      </c>
      <c r="AL202" s="3288">
        <f t="shared" si="52"/>
        <v>5</v>
      </c>
      <c r="AM202" s="3226" t="s">
        <v>4701</v>
      </c>
      <c r="AN202" s="3289">
        <v>1180000</v>
      </c>
      <c r="AO202" s="3300"/>
      <c r="AP202" s="3300"/>
      <c r="AQ202" s="3300"/>
      <c r="AR202" s="3292"/>
      <c r="AS202" s="3292"/>
      <c r="AT202" s="3292"/>
      <c r="AU202" s="3293" t="str">
        <f t="shared" si="40"/>
        <v/>
      </c>
      <c r="AV202" s="3293" t="str">
        <f t="shared" si="41"/>
        <v/>
      </c>
      <c r="AW202" s="3294"/>
      <c r="AX202" s="3236"/>
      <c r="AY202" s="3244"/>
      <c r="AZ202" s="3295">
        <v>0</v>
      </c>
      <c r="BA202" s="3296" t="str">
        <f t="shared" si="53"/>
        <v>签约</v>
      </c>
      <c r="BB202" s="3226"/>
      <c r="BC202" s="3226"/>
      <c r="BD202" s="3292"/>
      <c r="BE202" s="3297" t="s">
        <v>4367</v>
      </c>
      <c r="BG202" s="3297">
        <f>IFERROR(VLOOKUP(B202,[3]Sheet2!A$1:B$65536,2,FALSE),0)</f>
        <v>0</v>
      </c>
      <c r="BI202" s="3297">
        <f>IFERROR(VLOOKUP(B202,[3]Sheet2!A$1:C$65536,2,FALSE),0)</f>
        <v>0</v>
      </c>
      <c r="BJ202" s="3297">
        <f>IFERROR(VLOOKUP(B202,[3]Sheet2!A$1:C$65536,3,FALSE),0)</f>
        <v>0</v>
      </c>
    </row>
    <row r="203" spans="1:62" s="3261" customFormat="1" ht="20.25" customHeight="1">
      <c r="A203" s="3226">
        <v>201</v>
      </c>
      <c r="B203" s="3250" t="s">
        <v>4819</v>
      </c>
      <c r="C203" s="3227" t="s">
        <v>3333</v>
      </c>
      <c r="D203" s="3252" t="s">
        <v>4820</v>
      </c>
      <c r="E203" s="3229">
        <v>43769</v>
      </c>
      <c r="F203" s="3230">
        <v>20000</v>
      </c>
      <c r="G203" s="3231">
        <v>130.77000000000001</v>
      </c>
      <c r="H203" s="3231" t="str">
        <f t="shared" si="42"/>
        <v>普通住宅</v>
      </c>
      <c r="I203" s="3230">
        <v>1764198</v>
      </c>
      <c r="J203" s="3229">
        <v>43779</v>
      </c>
      <c r="K203" s="3284">
        <f t="shared" si="43"/>
        <v>11</v>
      </c>
      <c r="L203" s="3230">
        <v>1754198</v>
      </c>
      <c r="M203" s="3235">
        <f t="shared" si="44"/>
        <v>13414.376386021258</v>
      </c>
      <c r="N203" s="3236">
        <f>280000+854198</f>
        <v>1134198</v>
      </c>
      <c r="O203" s="3244">
        <f t="shared" si="45"/>
        <v>1754198</v>
      </c>
      <c r="P203" s="3244"/>
      <c r="Q203" s="3244"/>
      <c r="R203" s="3244">
        <f t="shared" si="46"/>
        <v>1154198</v>
      </c>
      <c r="S203" s="3244">
        <f t="shared" si="47"/>
        <v>1154198</v>
      </c>
      <c r="T203" s="3236"/>
      <c r="U203" s="3236"/>
      <c r="V203" s="3236">
        <v>300000</v>
      </c>
      <c r="W203" s="3236">
        <v>300000</v>
      </c>
      <c r="X203" s="3244">
        <f t="shared" si="48"/>
        <v>1754198</v>
      </c>
      <c r="Y203" s="3244">
        <f t="shared" si="49"/>
        <v>0</v>
      </c>
      <c r="Z203" s="3285">
        <f t="shared" si="50"/>
        <v>1</v>
      </c>
      <c r="AA203" s="3226" t="s">
        <v>4416</v>
      </c>
      <c r="AB203" s="3226" t="s">
        <v>4417</v>
      </c>
      <c r="AC203" s="3226" t="s">
        <v>4452</v>
      </c>
      <c r="AD203" s="3286" t="s">
        <v>4539</v>
      </c>
      <c r="AE203" s="3286" t="s">
        <v>4427</v>
      </c>
      <c r="AF203" s="3286"/>
      <c r="AG203" s="3323"/>
      <c r="AH203" s="3255">
        <v>43796</v>
      </c>
      <c r="AI203" s="3255">
        <v>43796</v>
      </c>
      <c r="AJ203" s="3255">
        <v>43845</v>
      </c>
      <c r="AK203" s="3287">
        <f t="shared" si="51"/>
        <v>2020</v>
      </c>
      <c r="AL203" s="3288">
        <f t="shared" si="52"/>
        <v>1</v>
      </c>
      <c r="AM203" s="3226" t="s">
        <v>4792</v>
      </c>
      <c r="AN203" s="3289">
        <v>300000</v>
      </c>
      <c r="AO203" s="3300" t="s">
        <v>4539</v>
      </c>
      <c r="AP203" s="3300" t="s">
        <v>4427</v>
      </c>
      <c r="AQ203" s="3300"/>
      <c r="AR203" s="3292">
        <v>43796</v>
      </c>
      <c r="AS203" s="3292">
        <v>43796</v>
      </c>
      <c r="AT203" s="3292">
        <v>43889</v>
      </c>
      <c r="AU203" s="3293">
        <f t="shared" ref="AU203:AU251" si="54">IF(ISBLANK(AT203),"",YEAR(AT203))</f>
        <v>2020</v>
      </c>
      <c r="AV203" s="3293">
        <f t="shared" ref="AV203:AV251" si="55">IF(ISBLANK(AT203),"",MONTH(AT203))</f>
        <v>2</v>
      </c>
      <c r="AW203" s="3294" t="s">
        <v>4657</v>
      </c>
      <c r="AX203" s="3236">
        <v>300000</v>
      </c>
      <c r="AY203" s="3244"/>
      <c r="AZ203" s="3295" t="s">
        <v>4445</v>
      </c>
      <c r="BA203" s="3296" t="str">
        <f t="shared" si="53"/>
        <v>签约</v>
      </c>
      <c r="BB203" s="3226"/>
      <c r="BC203" s="3226"/>
      <c r="BD203" s="3292">
        <f>VLOOKUP(B203,[3]Sheet1!A$1:B$65536,2,0)</f>
        <v>43796</v>
      </c>
      <c r="BE203" s="3297" t="s">
        <v>4367</v>
      </c>
      <c r="BG203" s="3297">
        <f>IFERROR(VLOOKUP(B203,[3]Sheet2!A$1:B$65536,2,FALSE),0)</f>
        <v>0</v>
      </c>
      <c r="BI203" s="3297">
        <f>IFERROR(VLOOKUP(B203,[3]Sheet2!A$1:C$65536,2,FALSE),0)</f>
        <v>0</v>
      </c>
      <c r="BJ203" s="3297">
        <f>IFERROR(VLOOKUP(B203,[3]Sheet2!A$1:C$65536,3,FALSE),0)</f>
        <v>0</v>
      </c>
    </row>
    <row r="204" spans="1:62" s="3261" customFormat="1" ht="20.25" customHeight="1">
      <c r="A204" s="3226">
        <v>202</v>
      </c>
      <c r="B204" s="3250" t="s">
        <v>4821</v>
      </c>
      <c r="C204" s="3227" t="s">
        <v>3333</v>
      </c>
      <c r="D204" s="3251" t="s">
        <v>3724</v>
      </c>
      <c r="E204" s="3229">
        <v>43906</v>
      </c>
      <c r="F204" s="3230">
        <v>50000</v>
      </c>
      <c r="G204" s="3231">
        <v>130.77000000000001</v>
      </c>
      <c r="H204" s="3231" t="str">
        <f t="shared" si="42"/>
        <v>普通住宅</v>
      </c>
      <c r="I204" s="3230">
        <v>1804642</v>
      </c>
      <c r="J204" s="3229">
        <v>43919</v>
      </c>
      <c r="K204" s="3284">
        <f t="shared" si="43"/>
        <v>3</v>
      </c>
      <c r="L204" s="3230">
        <v>1790000</v>
      </c>
      <c r="M204" s="3235">
        <f t="shared" si="44"/>
        <v>13688.154775560142</v>
      </c>
      <c r="N204" s="3236">
        <v>490000</v>
      </c>
      <c r="O204" s="3244">
        <f t="shared" si="45"/>
        <v>1790000</v>
      </c>
      <c r="P204" s="3244"/>
      <c r="Q204" s="3244"/>
      <c r="R204" s="3244">
        <f t="shared" si="46"/>
        <v>540000</v>
      </c>
      <c r="S204" s="3244">
        <f t="shared" si="47"/>
        <v>540000</v>
      </c>
      <c r="T204" s="3236"/>
      <c r="U204" s="3236"/>
      <c r="V204" s="3236">
        <v>650000</v>
      </c>
      <c r="W204" s="3236">
        <v>600000</v>
      </c>
      <c r="X204" s="3244">
        <f t="shared" si="48"/>
        <v>1790000</v>
      </c>
      <c r="Y204" s="3244">
        <f t="shared" si="49"/>
        <v>0</v>
      </c>
      <c r="Z204" s="3285">
        <f t="shared" si="50"/>
        <v>1</v>
      </c>
      <c r="AA204" s="3226" t="s">
        <v>3319</v>
      </c>
      <c r="AB204" s="3226" t="s">
        <v>4587</v>
      </c>
      <c r="AC204" s="3226" t="s">
        <v>4452</v>
      </c>
      <c r="AD204" s="3286" t="s">
        <v>4539</v>
      </c>
      <c r="AE204" s="3286" t="s">
        <v>4427</v>
      </c>
      <c r="AF204" s="3286"/>
      <c r="AG204" s="3323"/>
      <c r="AH204" s="3255">
        <v>43959</v>
      </c>
      <c r="AI204" s="3255">
        <v>43959</v>
      </c>
      <c r="AJ204" s="3255">
        <v>43973</v>
      </c>
      <c r="AK204" s="3287">
        <f t="shared" si="51"/>
        <v>2020</v>
      </c>
      <c r="AL204" s="3288">
        <f t="shared" si="52"/>
        <v>5</v>
      </c>
      <c r="AM204" s="3226" t="s">
        <v>4701</v>
      </c>
      <c r="AN204" s="3289">
        <v>650000</v>
      </c>
      <c r="AO204" s="3300" t="s">
        <v>4539</v>
      </c>
      <c r="AP204" s="3300" t="s">
        <v>4427</v>
      </c>
      <c r="AQ204" s="3300"/>
      <c r="AR204" s="3292">
        <v>43959</v>
      </c>
      <c r="AS204" s="3292">
        <v>43959</v>
      </c>
      <c r="AT204" s="3292">
        <v>44004</v>
      </c>
      <c r="AU204" s="3293">
        <f t="shared" si="54"/>
        <v>2020</v>
      </c>
      <c r="AV204" s="3293">
        <f t="shared" si="55"/>
        <v>6</v>
      </c>
      <c r="AW204" s="3294" t="s">
        <v>4657</v>
      </c>
      <c r="AX204" s="3236">
        <v>600000</v>
      </c>
      <c r="AY204" s="3244"/>
      <c r="AZ204" s="3295" t="s">
        <v>3385</v>
      </c>
      <c r="BA204" s="3296" t="str">
        <f t="shared" si="53"/>
        <v>签约</v>
      </c>
      <c r="BB204" s="3226"/>
      <c r="BC204" s="3226"/>
      <c r="BD204" s="3292"/>
      <c r="BE204" s="3297" t="s">
        <v>4465</v>
      </c>
      <c r="BG204" s="3297">
        <f>IFERROR(VLOOKUP(B204,[3]Sheet2!A$1:B$65536,2,FALSE),0)</f>
        <v>0</v>
      </c>
      <c r="BI204" s="3297">
        <f>IFERROR(VLOOKUP(B204,[3]Sheet2!A$1:C$65536,2,FALSE),0)</f>
        <v>0</v>
      </c>
      <c r="BJ204" s="3297">
        <f>IFERROR(VLOOKUP(B204,[3]Sheet2!A$1:C$65536,3,FALSE),0)</f>
        <v>0</v>
      </c>
    </row>
    <row r="205" spans="1:62" s="3261" customFormat="1" ht="20.25" customHeight="1">
      <c r="A205" s="3226">
        <v>203</v>
      </c>
      <c r="B205" s="3250" t="s">
        <v>4822</v>
      </c>
      <c r="C205" s="3227" t="s">
        <v>3333</v>
      </c>
      <c r="D205" s="3252" t="s">
        <v>4823</v>
      </c>
      <c r="E205" s="3229">
        <v>43769</v>
      </c>
      <c r="F205" s="3230">
        <v>20000</v>
      </c>
      <c r="G205" s="3231">
        <v>130.77000000000001</v>
      </c>
      <c r="H205" s="3231" t="str">
        <f t="shared" si="42"/>
        <v>普通住宅</v>
      </c>
      <c r="I205" s="3230">
        <v>1838346</v>
      </c>
      <c r="J205" s="3229">
        <v>43775</v>
      </c>
      <c r="K205" s="3284">
        <f t="shared" si="43"/>
        <v>11</v>
      </c>
      <c r="L205" s="3230">
        <v>1818346</v>
      </c>
      <c r="M205" s="3235">
        <f t="shared" si="44"/>
        <v>13904.917029899823</v>
      </c>
      <c r="N205" s="3236">
        <v>528346</v>
      </c>
      <c r="O205" s="3244">
        <f t="shared" si="45"/>
        <v>1818346</v>
      </c>
      <c r="P205" s="3244"/>
      <c r="Q205" s="3244"/>
      <c r="R205" s="3244">
        <f t="shared" si="46"/>
        <v>548346</v>
      </c>
      <c r="S205" s="3244">
        <f t="shared" si="47"/>
        <v>548346</v>
      </c>
      <c r="T205" s="3236"/>
      <c r="U205" s="3236"/>
      <c r="V205" s="3236">
        <v>1270000</v>
      </c>
      <c r="W205" s="3236"/>
      <c r="X205" s="3244">
        <f t="shared" si="48"/>
        <v>1818346</v>
      </c>
      <c r="Y205" s="3244">
        <f t="shared" si="49"/>
        <v>0</v>
      </c>
      <c r="Z205" s="3285">
        <f t="shared" si="50"/>
        <v>1</v>
      </c>
      <c r="AA205" s="3226" t="s">
        <v>4416</v>
      </c>
      <c r="AB205" s="3226" t="s">
        <v>4417</v>
      </c>
      <c r="AC205" s="3226" t="s">
        <v>4418</v>
      </c>
      <c r="AD205" s="3286" t="s">
        <v>4419</v>
      </c>
      <c r="AE205" s="3286" t="s">
        <v>4427</v>
      </c>
      <c r="AF205" s="3286"/>
      <c r="AG205" s="3323"/>
      <c r="AH205" s="3255">
        <v>43775</v>
      </c>
      <c r="AI205" s="3255">
        <v>43775</v>
      </c>
      <c r="AJ205" s="3255">
        <v>43787</v>
      </c>
      <c r="AK205" s="3287">
        <f t="shared" si="51"/>
        <v>2019</v>
      </c>
      <c r="AL205" s="3288">
        <f t="shared" si="52"/>
        <v>11</v>
      </c>
      <c r="AM205" s="3226" t="s">
        <v>4579</v>
      </c>
      <c r="AN205" s="3289">
        <v>1270000</v>
      </c>
      <c r="AO205" s="3300"/>
      <c r="AP205" s="3300"/>
      <c r="AQ205" s="3300"/>
      <c r="AR205" s="3292"/>
      <c r="AS205" s="3292"/>
      <c r="AT205" s="3292"/>
      <c r="AU205" s="3293" t="str">
        <f t="shared" si="54"/>
        <v/>
      </c>
      <c r="AV205" s="3293" t="str">
        <f t="shared" si="55"/>
        <v/>
      </c>
      <c r="AW205" s="3294"/>
      <c r="AX205" s="3236"/>
      <c r="AY205" s="3244"/>
      <c r="AZ205" s="3295" t="s">
        <v>4448</v>
      </c>
      <c r="BA205" s="3296" t="str">
        <f t="shared" si="53"/>
        <v>签约</v>
      </c>
      <c r="BB205" s="3226"/>
      <c r="BC205" s="3226" t="s">
        <v>4430</v>
      </c>
      <c r="BD205" s="3292">
        <f>VLOOKUP(B205,[3]Sheet1!A$1:B$65536,2,0)</f>
        <v>43791</v>
      </c>
      <c r="BE205" s="3297" t="s">
        <v>4367</v>
      </c>
      <c r="BG205" s="3297">
        <f>IFERROR(VLOOKUP(B205,[3]Sheet2!A$1:B$65536,2,FALSE),0)</f>
        <v>0</v>
      </c>
      <c r="BI205" s="3297">
        <f>IFERROR(VLOOKUP(B205,[3]Sheet2!A$1:C$65536,2,FALSE),0)</f>
        <v>0</v>
      </c>
      <c r="BJ205" s="3297">
        <f>IFERROR(VLOOKUP(B205,[3]Sheet2!A$1:C$65536,3,FALSE),0)</f>
        <v>0</v>
      </c>
    </row>
    <row r="206" spans="1:62" s="3261" customFormat="1" ht="20.25" customHeight="1">
      <c r="A206" s="3226">
        <v>204</v>
      </c>
      <c r="B206" s="3250" t="s">
        <v>4824</v>
      </c>
      <c r="C206" s="3227" t="s">
        <v>3333</v>
      </c>
      <c r="D206" s="3251" t="s">
        <v>3728</v>
      </c>
      <c r="E206" s="3229">
        <v>43798</v>
      </c>
      <c r="F206" s="3230">
        <v>50000</v>
      </c>
      <c r="G206" s="3231">
        <v>130.77000000000001</v>
      </c>
      <c r="H206" s="3231" t="str">
        <f t="shared" si="42"/>
        <v>普通住宅</v>
      </c>
      <c r="I206" s="3230">
        <v>1845086</v>
      </c>
      <c r="J206" s="3229">
        <v>43807</v>
      </c>
      <c r="K206" s="3284">
        <f t="shared" si="43"/>
        <v>12</v>
      </c>
      <c r="L206" s="3230">
        <v>1815086</v>
      </c>
      <c r="M206" s="3235">
        <f t="shared" si="44"/>
        <v>13879.987764777854</v>
      </c>
      <c r="N206" s="3236">
        <v>1765086</v>
      </c>
      <c r="O206" s="3244">
        <f t="shared" si="45"/>
        <v>1815086</v>
      </c>
      <c r="P206" s="3244"/>
      <c r="Q206" s="3244"/>
      <c r="R206" s="3244">
        <f t="shared" si="46"/>
        <v>1815086</v>
      </c>
      <c r="S206" s="3244">
        <f t="shared" si="47"/>
        <v>1815086</v>
      </c>
      <c r="T206" s="3236"/>
      <c r="U206" s="3236"/>
      <c r="V206" s="3236"/>
      <c r="W206" s="3236"/>
      <c r="X206" s="3244">
        <f t="shared" si="48"/>
        <v>1815086</v>
      </c>
      <c r="Y206" s="3244">
        <f t="shared" si="49"/>
        <v>0</v>
      </c>
      <c r="Z206" s="3285">
        <f t="shared" si="50"/>
        <v>1</v>
      </c>
      <c r="AA206" s="3226" t="s">
        <v>3319</v>
      </c>
      <c r="AB206" s="3226" t="s">
        <v>4676</v>
      </c>
      <c r="AC206" s="3226"/>
      <c r="AD206" s="3286"/>
      <c r="AE206" s="3286"/>
      <c r="AF206" s="3286"/>
      <c r="AG206" s="3323"/>
      <c r="AH206" s="3255"/>
      <c r="AI206" s="3255"/>
      <c r="AJ206" s="3255"/>
      <c r="AK206" s="3287" t="str">
        <f t="shared" si="51"/>
        <v/>
      </c>
      <c r="AL206" s="3288" t="str">
        <f t="shared" si="52"/>
        <v/>
      </c>
      <c r="AM206" s="3226"/>
      <c r="AN206" s="3289"/>
      <c r="AO206" s="3300"/>
      <c r="AP206" s="3300"/>
      <c r="AQ206" s="3300"/>
      <c r="AR206" s="3292"/>
      <c r="AS206" s="3292"/>
      <c r="AT206" s="3292"/>
      <c r="AU206" s="3293" t="str">
        <f t="shared" si="54"/>
        <v/>
      </c>
      <c r="AV206" s="3293" t="str">
        <f t="shared" si="55"/>
        <v/>
      </c>
      <c r="AW206" s="3294"/>
      <c r="AX206" s="3236"/>
      <c r="AY206" s="3244"/>
      <c r="AZ206" s="3295" t="s">
        <v>4445</v>
      </c>
      <c r="BA206" s="3296" t="str">
        <f t="shared" si="53"/>
        <v>签约</v>
      </c>
      <c r="BB206" s="3226"/>
      <c r="BC206" s="3226"/>
      <c r="BD206" s="3292">
        <f>VLOOKUP(B206,[3]Sheet1!A$1:B$65536,2,0)</f>
        <v>43811</v>
      </c>
      <c r="BE206" s="3297" t="s">
        <v>4465</v>
      </c>
      <c r="BG206" s="3297">
        <f>IFERROR(VLOOKUP(B206,[3]Sheet2!A$1:B$65536,2,FALSE),0)</f>
        <v>0</v>
      </c>
      <c r="BI206" s="3297">
        <f>IFERROR(VLOOKUP(B206,[3]Sheet2!A$1:C$65536,2,FALSE),0)</f>
        <v>0</v>
      </c>
      <c r="BJ206" s="3297">
        <f>IFERROR(VLOOKUP(B206,[3]Sheet2!A$1:C$65536,3,FALSE),0)</f>
        <v>0</v>
      </c>
    </row>
    <row r="207" spans="1:62" s="3261" customFormat="1" ht="20.25" customHeight="1">
      <c r="A207" s="3226">
        <v>205</v>
      </c>
      <c r="B207" s="3250" t="s">
        <v>4825</v>
      </c>
      <c r="C207" s="3227" t="s">
        <v>3333</v>
      </c>
      <c r="D207" s="3252" t="s">
        <v>4826</v>
      </c>
      <c r="E207" s="3229">
        <v>43769</v>
      </c>
      <c r="F207" s="3230">
        <v>20000</v>
      </c>
      <c r="G207" s="3231">
        <v>130.77000000000001</v>
      </c>
      <c r="H207" s="3231" t="str">
        <f t="shared" si="42"/>
        <v>普通住宅</v>
      </c>
      <c r="I207" s="3230">
        <v>1851827</v>
      </c>
      <c r="J207" s="3229">
        <v>43778</v>
      </c>
      <c r="K207" s="3284">
        <f t="shared" si="43"/>
        <v>11</v>
      </c>
      <c r="L207" s="3230">
        <v>1826827</v>
      </c>
      <c r="M207" s="3235">
        <f t="shared" si="44"/>
        <v>13969.771354286149</v>
      </c>
      <c r="N207" s="3236">
        <v>536827</v>
      </c>
      <c r="O207" s="3244">
        <f t="shared" si="45"/>
        <v>1826827</v>
      </c>
      <c r="P207" s="3244"/>
      <c r="Q207" s="3244"/>
      <c r="R207" s="3244">
        <f t="shared" si="46"/>
        <v>556827</v>
      </c>
      <c r="S207" s="3244">
        <f t="shared" si="47"/>
        <v>556827</v>
      </c>
      <c r="T207" s="3236"/>
      <c r="U207" s="3236"/>
      <c r="V207" s="3236">
        <v>1270000</v>
      </c>
      <c r="W207" s="3236"/>
      <c r="X207" s="3244">
        <f t="shared" si="48"/>
        <v>1826827</v>
      </c>
      <c r="Y207" s="3244">
        <f t="shared" si="49"/>
        <v>0</v>
      </c>
      <c r="Z207" s="3285">
        <f t="shared" si="50"/>
        <v>1</v>
      </c>
      <c r="AA207" s="3226" t="s">
        <v>4416</v>
      </c>
      <c r="AB207" s="3226" t="s">
        <v>4417</v>
      </c>
      <c r="AC207" s="3226" t="s">
        <v>4418</v>
      </c>
      <c r="AD207" s="3286" t="s">
        <v>4539</v>
      </c>
      <c r="AE207" s="3286" t="s">
        <v>4427</v>
      </c>
      <c r="AF207" s="3286"/>
      <c r="AG207" s="3323"/>
      <c r="AH207" s="3255">
        <v>43780</v>
      </c>
      <c r="AI207" s="3255">
        <v>43780</v>
      </c>
      <c r="AJ207" s="3255">
        <v>43810</v>
      </c>
      <c r="AK207" s="3287">
        <f t="shared" si="51"/>
        <v>2019</v>
      </c>
      <c r="AL207" s="3288">
        <f t="shared" si="52"/>
        <v>12</v>
      </c>
      <c r="AM207" s="3226" t="s">
        <v>4433</v>
      </c>
      <c r="AN207" s="3289">
        <v>1270000</v>
      </c>
      <c r="AO207" s="3300"/>
      <c r="AP207" s="3300"/>
      <c r="AQ207" s="3300"/>
      <c r="AR207" s="3292"/>
      <c r="AS207" s="3292"/>
      <c r="AT207" s="3292"/>
      <c r="AU207" s="3293" t="str">
        <f t="shared" si="54"/>
        <v/>
      </c>
      <c r="AV207" s="3293" t="str">
        <f t="shared" si="55"/>
        <v/>
      </c>
      <c r="AW207" s="3294"/>
      <c r="AX207" s="3236"/>
      <c r="AY207" s="3244"/>
      <c r="AZ207" s="3295" t="s">
        <v>4422</v>
      </c>
      <c r="BA207" s="3296" t="str">
        <f t="shared" si="53"/>
        <v>签约</v>
      </c>
      <c r="BB207" s="3226"/>
      <c r="BC207" s="3226"/>
      <c r="BD207" s="3292">
        <f>VLOOKUP(B207,[3]Sheet1!A$1:B$65536,2,0)</f>
        <v>43780</v>
      </c>
      <c r="BE207" s="3297" t="s">
        <v>4465</v>
      </c>
      <c r="BG207" s="3297">
        <f>IFERROR(VLOOKUP(B207,[3]Sheet2!A$1:B$65536,2,FALSE),0)</f>
        <v>0</v>
      </c>
      <c r="BI207" s="3297">
        <f>IFERROR(VLOOKUP(B207,[3]Sheet2!A$1:C$65536,2,FALSE),0)</f>
        <v>0</v>
      </c>
      <c r="BJ207" s="3297">
        <f>IFERROR(VLOOKUP(B207,[3]Sheet2!A$1:C$65536,3,FALSE),0)</f>
        <v>0</v>
      </c>
    </row>
    <row r="208" spans="1:62" s="3261" customFormat="1" ht="20.25" customHeight="1">
      <c r="A208" s="3226">
        <v>206</v>
      </c>
      <c r="B208" s="3250" t="s">
        <v>4827</v>
      </c>
      <c r="C208" s="3227" t="s">
        <v>3333</v>
      </c>
      <c r="D208" s="3251" t="s">
        <v>3732</v>
      </c>
      <c r="E208" s="3229">
        <v>43830</v>
      </c>
      <c r="F208" s="3230">
        <v>50000</v>
      </c>
      <c r="G208" s="3231">
        <v>130.77000000000001</v>
      </c>
      <c r="H208" s="3231" t="str">
        <f t="shared" si="42"/>
        <v>普通住宅</v>
      </c>
      <c r="I208" s="3230">
        <v>1858568</v>
      </c>
      <c r="J208" s="3229">
        <v>43860</v>
      </c>
      <c r="K208" s="3284">
        <f t="shared" si="43"/>
        <v>1</v>
      </c>
      <c r="L208" s="3230">
        <v>1848568</v>
      </c>
      <c r="M208" s="3235">
        <f t="shared" si="44"/>
        <v>14136.025082205399</v>
      </c>
      <c r="N208" s="3236">
        <f>508568+500000</f>
        <v>1008568</v>
      </c>
      <c r="O208" s="3244">
        <f t="shared" si="45"/>
        <v>1848568</v>
      </c>
      <c r="P208" s="3244"/>
      <c r="Q208" s="3244"/>
      <c r="R208" s="3244">
        <f t="shared" si="46"/>
        <v>1058568</v>
      </c>
      <c r="S208" s="3244">
        <f t="shared" si="47"/>
        <v>1058568</v>
      </c>
      <c r="T208" s="3236"/>
      <c r="U208" s="3236"/>
      <c r="V208" s="3236">
        <v>790000</v>
      </c>
      <c r="W208" s="3236"/>
      <c r="X208" s="3244">
        <f t="shared" si="48"/>
        <v>1848568</v>
      </c>
      <c r="Y208" s="3244">
        <f t="shared" si="49"/>
        <v>0</v>
      </c>
      <c r="Z208" s="3285">
        <f t="shared" si="50"/>
        <v>1</v>
      </c>
      <c r="AA208" s="3226" t="s">
        <v>3319</v>
      </c>
      <c r="AB208" s="3226" t="s">
        <v>4587</v>
      </c>
      <c r="AC208" s="3226" t="s">
        <v>4698</v>
      </c>
      <c r="AD208" s="3286" t="s">
        <v>4539</v>
      </c>
      <c r="AE208" s="3286" t="s">
        <v>4427</v>
      </c>
      <c r="AF208" s="3286"/>
      <c r="AG208" s="3323"/>
      <c r="AH208" s="3255">
        <v>43913</v>
      </c>
      <c r="AI208" s="3255">
        <v>43913</v>
      </c>
      <c r="AJ208" s="3255">
        <v>43931</v>
      </c>
      <c r="AK208" s="3287">
        <f t="shared" si="51"/>
        <v>2020</v>
      </c>
      <c r="AL208" s="3288">
        <f t="shared" si="52"/>
        <v>4</v>
      </c>
      <c r="AM208" s="3226" t="s">
        <v>4433</v>
      </c>
      <c r="AN208" s="3289">
        <v>790000</v>
      </c>
      <c r="AO208" s="3300"/>
      <c r="AP208" s="3300"/>
      <c r="AQ208" s="3300"/>
      <c r="AR208" s="3292"/>
      <c r="AS208" s="3292"/>
      <c r="AT208" s="3292"/>
      <c r="AU208" s="3293" t="str">
        <f t="shared" si="54"/>
        <v/>
      </c>
      <c r="AV208" s="3293" t="str">
        <f t="shared" si="55"/>
        <v/>
      </c>
      <c r="AW208" s="3294"/>
      <c r="AX208" s="3236"/>
      <c r="AY208" s="3244"/>
      <c r="AZ208" s="3295" t="s">
        <v>4448</v>
      </c>
      <c r="BA208" s="3296" t="str">
        <f t="shared" si="53"/>
        <v>签约</v>
      </c>
      <c r="BB208" s="3226"/>
      <c r="BC208" s="3226"/>
      <c r="BD208" s="3292"/>
      <c r="BE208" s="3297" t="s">
        <v>4367</v>
      </c>
      <c r="BG208" s="3297">
        <f>IFERROR(VLOOKUP(B208,[3]Sheet2!A$1:B$65536,2,FALSE),0)</f>
        <v>0</v>
      </c>
      <c r="BI208" s="3297">
        <f>IFERROR(VLOOKUP(B208,[3]Sheet2!A$1:C$65536,2,FALSE),0)</f>
        <v>0</v>
      </c>
      <c r="BJ208" s="3297">
        <f>IFERROR(VLOOKUP(B208,[3]Sheet2!A$1:C$65536,3,FALSE),0)</f>
        <v>0</v>
      </c>
    </row>
    <row r="209" spans="1:62" s="3261" customFormat="1" ht="20.25" customHeight="1">
      <c r="A209" s="3226">
        <v>207</v>
      </c>
      <c r="B209" s="3250" t="s">
        <v>4828</v>
      </c>
      <c r="C209" s="3227" t="s">
        <v>3333</v>
      </c>
      <c r="D209" s="3251" t="s">
        <v>3734</v>
      </c>
      <c r="E209" s="3260">
        <v>43825</v>
      </c>
      <c r="F209" s="3230">
        <v>50000</v>
      </c>
      <c r="G209" s="3231">
        <v>130.77000000000001</v>
      </c>
      <c r="H209" s="3231" t="str">
        <f t="shared" si="42"/>
        <v>普通住宅</v>
      </c>
      <c r="I209" s="3230">
        <v>1865309</v>
      </c>
      <c r="J209" s="3260">
        <v>43828</v>
      </c>
      <c r="K209" s="3284">
        <f t="shared" si="43"/>
        <v>12</v>
      </c>
      <c r="L209" s="3261">
        <v>1845309</v>
      </c>
      <c r="M209" s="3235">
        <f t="shared" si="44"/>
        <v>14111.103464097268</v>
      </c>
      <c r="N209" s="3261">
        <f>555309+540000</f>
        <v>1095309</v>
      </c>
      <c r="O209" s="3244">
        <f t="shared" si="45"/>
        <v>1845309</v>
      </c>
      <c r="P209" s="3244"/>
      <c r="Q209" s="3244"/>
      <c r="R209" s="3244">
        <f t="shared" si="46"/>
        <v>1145309</v>
      </c>
      <c r="S209" s="3244">
        <f t="shared" si="47"/>
        <v>1145309</v>
      </c>
      <c r="T209" s="3236"/>
      <c r="U209" s="3236"/>
      <c r="V209" s="3236">
        <v>700000</v>
      </c>
      <c r="W209" s="3236"/>
      <c r="X209" s="3244">
        <f t="shared" si="48"/>
        <v>1845309</v>
      </c>
      <c r="Y209" s="3244">
        <f t="shared" si="49"/>
        <v>0</v>
      </c>
      <c r="Z209" s="3285">
        <f t="shared" si="50"/>
        <v>1</v>
      </c>
      <c r="AA209" s="3226" t="s">
        <v>4416</v>
      </c>
      <c r="AB209" s="3226" t="s">
        <v>4417</v>
      </c>
      <c r="AC209" s="3226" t="s">
        <v>4418</v>
      </c>
      <c r="AD209" s="3286" t="s">
        <v>4539</v>
      </c>
      <c r="AE209" s="3286" t="s">
        <v>4427</v>
      </c>
      <c r="AF209" s="3286"/>
      <c r="AG209" s="3323"/>
      <c r="AH209" s="3255">
        <v>43845</v>
      </c>
      <c r="AI209" s="3255">
        <v>43845</v>
      </c>
      <c r="AJ209" s="3255">
        <v>43882</v>
      </c>
      <c r="AK209" s="3287">
        <f t="shared" si="51"/>
        <v>2020</v>
      </c>
      <c r="AL209" s="3288">
        <f t="shared" si="52"/>
        <v>2</v>
      </c>
      <c r="AM209" s="3226" t="s">
        <v>4433</v>
      </c>
      <c r="AN209" s="3289">
        <v>700000</v>
      </c>
      <c r="AO209" s="3300"/>
      <c r="AP209" s="3300"/>
      <c r="AQ209" s="3300"/>
      <c r="AR209" s="3292"/>
      <c r="AS209" s="3292"/>
      <c r="AT209" s="3292"/>
      <c r="AU209" s="3293" t="str">
        <f t="shared" si="54"/>
        <v/>
      </c>
      <c r="AV209" s="3293" t="str">
        <f t="shared" si="55"/>
        <v/>
      </c>
      <c r="AW209" s="3294"/>
      <c r="AX209" s="3236"/>
      <c r="AY209" s="3244"/>
      <c r="AZ209" s="3295" t="s">
        <v>4445</v>
      </c>
      <c r="BA209" s="3296" t="str">
        <f t="shared" si="53"/>
        <v>签约</v>
      </c>
      <c r="BB209" s="3226"/>
      <c r="BC209" s="3226"/>
      <c r="BD209" s="3292"/>
      <c r="BE209" s="3297" t="s">
        <v>4465</v>
      </c>
      <c r="BG209" s="3297">
        <f>IFERROR(VLOOKUP(B209,[3]Sheet2!A$1:B$65536,2,FALSE),0)</f>
        <v>0</v>
      </c>
      <c r="BI209" s="3297">
        <f>IFERROR(VLOOKUP(B209,[3]Sheet2!A$1:C$65536,2,FALSE),0)</f>
        <v>0</v>
      </c>
      <c r="BJ209" s="3297">
        <f>IFERROR(VLOOKUP(B209,[3]Sheet2!A$1:C$65536,3,FALSE),0)</f>
        <v>0</v>
      </c>
    </row>
    <row r="210" spans="1:62" s="3261" customFormat="1" ht="20.25" customHeight="1">
      <c r="A210" s="3226">
        <v>208</v>
      </c>
      <c r="B210" s="3250" t="s">
        <v>4829</v>
      </c>
      <c r="C210" s="3227" t="s">
        <v>3333</v>
      </c>
      <c r="D210" s="3251" t="s">
        <v>3736</v>
      </c>
      <c r="E210" s="3229">
        <v>43791</v>
      </c>
      <c r="F210" s="3230">
        <v>20000</v>
      </c>
      <c r="G210" s="3231">
        <v>130.77000000000001</v>
      </c>
      <c r="H210" s="3231" t="str">
        <f t="shared" si="42"/>
        <v>普通住宅</v>
      </c>
      <c r="I210" s="3230">
        <v>1872049</v>
      </c>
      <c r="J210" s="3229">
        <v>43805</v>
      </c>
      <c r="K210" s="3284">
        <f t="shared" si="43"/>
        <v>12</v>
      </c>
      <c r="L210" s="3230">
        <v>1862049</v>
      </c>
      <c r="M210" s="3235">
        <f t="shared" si="44"/>
        <v>14239.1144757972</v>
      </c>
      <c r="N210" s="3236">
        <v>682049</v>
      </c>
      <c r="O210" s="3244">
        <f t="shared" si="45"/>
        <v>1862049</v>
      </c>
      <c r="P210" s="3244"/>
      <c r="Q210" s="3244"/>
      <c r="R210" s="3244">
        <f t="shared" si="46"/>
        <v>702049</v>
      </c>
      <c r="S210" s="3244">
        <f t="shared" si="47"/>
        <v>702049</v>
      </c>
      <c r="T210" s="3236"/>
      <c r="U210" s="3236"/>
      <c r="V210" s="3236">
        <v>1160000</v>
      </c>
      <c r="W210" s="3236"/>
      <c r="X210" s="3244">
        <f t="shared" si="48"/>
        <v>1862049</v>
      </c>
      <c r="Y210" s="3244">
        <f t="shared" si="49"/>
        <v>0</v>
      </c>
      <c r="Z210" s="3285">
        <f t="shared" si="50"/>
        <v>1</v>
      </c>
      <c r="AA210" s="3226" t="s">
        <v>4416</v>
      </c>
      <c r="AB210" s="3226" t="s">
        <v>4417</v>
      </c>
      <c r="AC210" s="3226" t="s">
        <v>4418</v>
      </c>
      <c r="AD210" s="3286" t="s">
        <v>4539</v>
      </c>
      <c r="AE210" s="3286" t="s">
        <v>4427</v>
      </c>
      <c r="AF210" s="3286"/>
      <c r="AG210" s="3323"/>
      <c r="AH210" s="3255">
        <v>43805</v>
      </c>
      <c r="AI210" s="3255">
        <v>43810</v>
      </c>
      <c r="AJ210" s="3255">
        <v>43833</v>
      </c>
      <c r="AK210" s="3287">
        <f t="shared" si="51"/>
        <v>2020</v>
      </c>
      <c r="AL210" s="3288">
        <f t="shared" si="52"/>
        <v>1</v>
      </c>
      <c r="AM210" s="3226" t="s">
        <v>4477</v>
      </c>
      <c r="AN210" s="3289">
        <v>1160000</v>
      </c>
      <c r="AO210" s="3300"/>
      <c r="AP210" s="3300"/>
      <c r="AQ210" s="3300"/>
      <c r="AR210" s="3292"/>
      <c r="AS210" s="3292"/>
      <c r="AT210" s="3292"/>
      <c r="AU210" s="3293" t="str">
        <f t="shared" si="54"/>
        <v/>
      </c>
      <c r="AV210" s="3293" t="str">
        <f t="shared" si="55"/>
        <v/>
      </c>
      <c r="AW210" s="3294"/>
      <c r="AX210" s="3236"/>
      <c r="AY210" s="3244"/>
      <c r="AZ210" s="3295" t="s">
        <v>4741</v>
      </c>
      <c r="BA210" s="3296" t="str">
        <f t="shared" si="53"/>
        <v>签约</v>
      </c>
      <c r="BB210" s="3226"/>
      <c r="BC210" s="3226"/>
      <c r="BD210" s="3292">
        <f>VLOOKUP(B210,[3]Sheet1!A$1:B$65536,2,0)</f>
        <v>43818</v>
      </c>
      <c r="BE210" s="3297" t="s">
        <v>4367</v>
      </c>
      <c r="BG210" s="3297">
        <f>IFERROR(VLOOKUP(B210,[3]Sheet2!A$1:B$65536,2,FALSE),0)</f>
        <v>0</v>
      </c>
      <c r="BI210" s="3297">
        <f>IFERROR(VLOOKUP(B210,[3]Sheet2!A$1:C$65536,2,FALSE),0)</f>
        <v>0</v>
      </c>
      <c r="BJ210" s="3297">
        <f>IFERROR(VLOOKUP(B210,[3]Sheet2!A$1:C$65536,3,FALSE),0)</f>
        <v>0</v>
      </c>
    </row>
    <row r="211" spans="1:62" s="3261" customFormat="1" ht="20.25" customHeight="1">
      <c r="A211" s="3226">
        <v>209</v>
      </c>
      <c r="B211" s="3250" t="s">
        <v>4830</v>
      </c>
      <c r="C211" s="3227" t="s">
        <v>3333</v>
      </c>
      <c r="D211" s="3251" t="s">
        <v>3738</v>
      </c>
      <c r="E211" s="3229">
        <v>43905</v>
      </c>
      <c r="F211" s="3230">
        <v>50000</v>
      </c>
      <c r="G211" s="3231">
        <v>130.72</v>
      </c>
      <c r="H211" s="3231" t="str">
        <f t="shared" si="42"/>
        <v>普通住宅</v>
      </c>
      <c r="I211" s="3230">
        <v>1797222</v>
      </c>
      <c r="J211" s="3229">
        <v>43908</v>
      </c>
      <c r="K211" s="3284">
        <f t="shared" si="43"/>
        <v>3</v>
      </c>
      <c r="L211" s="3230">
        <v>1782222</v>
      </c>
      <c r="M211" s="3235">
        <f t="shared" si="44"/>
        <v>13633.88922888617</v>
      </c>
      <c r="N211" s="3236">
        <v>702222</v>
      </c>
      <c r="O211" s="3244">
        <f t="shared" si="45"/>
        <v>1782222</v>
      </c>
      <c r="P211" s="3244"/>
      <c r="Q211" s="3244"/>
      <c r="R211" s="3244">
        <f t="shared" si="46"/>
        <v>752222</v>
      </c>
      <c r="S211" s="3244">
        <f t="shared" si="47"/>
        <v>752222</v>
      </c>
      <c r="T211" s="3236"/>
      <c r="U211" s="3236"/>
      <c r="V211" s="3236">
        <v>430000</v>
      </c>
      <c r="W211" s="3236">
        <v>600000</v>
      </c>
      <c r="X211" s="3244">
        <f t="shared" si="48"/>
        <v>1782222</v>
      </c>
      <c r="Y211" s="3244">
        <f t="shared" si="49"/>
        <v>0</v>
      </c>
      <c r="Z211" s="3285">
        <f t="shared" si="50"/>
        <v>1</v>
      </c>
      <c r="AA211" s="3226" t="s">
        <v>3319</v>
      </c>
      <c r="AB211" s="3226" t="s">
        <v>4587</v>
      </c>
      <c r="AC211" s="3226" t="s">
        <v>4698</v>
      </c>
      <c r="AD211" s="3286" t="s">
        <v>4539</v>
      </c>
      <c r="AE211" s="3286" t="s">
        <v>4427</v>
      </c>
      <c r="AF211" s="3286"/>
      <c r="AG211" s="3323"/>
      <c r="AH211" s="3255">
        <v>43933</v>
      </c>
      <c r="AI211" s="3255">
        <v>43933</v>
      </c>
      <c r="AJ211" s="3255">
        <v>43938</v>
      </c>
      <c r="AK211" s="3287">
        <f t="shared" si="51"/>
        <v>2020</v>
      </c>
      <c r="AL211" s="3288">
        <f t="shared" si="52"/>
        <v>4</v>
      </c>
      <c r="AM211" s="3226" t="s">
        <v>4440</v>
      </c>
      <c r="AN211" s="3289">
        <v>430000</v>
      </c>
      <c r="AO211" s="3300" t="s">
        <v>4539</v>
      </c>
      <c r="AP211" s="3300" t="s">
        <v>4427</v>
      </c>
      <c r="AQ211" s="3300"/>
      <c r="AR211" s="3292">
        <v>43933</v>
      </c>
      <c r="AS211" s="3292">
        <v>43933</v>
      </c>
      <c r="AT211" s="3292">
        <v>43945</v>
      </c>
      <c r="AU211" s="3293">
        <f t="shared" si="54"/>
        <v>2020</v>
      </c>
      <c r="AV211" s="3293">
        <f t="shared" si="55"/>
        <v>4</v>
      </c>
      <c r="AW211" s="3294" t="s">
        <v>4657</v>
      </c>
      <c r="AX211" s="3236">
        <v>600000</v>
      </c>
      <c r="AY211" s="3244"/>
      <c r="AZ211" s="3295" t="s">
        <v>4441</v>
      </c>
      <c r="BA211" s="3296" t="str">
        <f t="shared" si="53"/>
        <v>签约</v>
      </c>
      <c r="BB211" s="3226"/>
      <c r="BC211" s="3226"/>
      <c r="BD211" s="3292"/>
      <c r="BE211" s="3297" t="s">
        <v>4367</v>
      </c>
      <c r="BG211" s="3297">
        <f>IFERROR(VLOOKUP(B211,[3]Sheet2!A$1:B$65536,2,FALSE),0)</f>
        <v>0</v>
      </c>
      <c r="BI211" s="3297">
        <f>IFERROR(VLOOKUP(B211,[3]Sheet2!A$1:C$65536,2,FALSE),0)</f>
        <v>0</v>
      </c>
      <c r="BJ211" s="3297">
        <f>IFERROR(VLOOKUP(B211,[3]Sheet2!A$1:C$65536,3,FALSE),0)</f>
        <v>0</v>
      </c>
    </row>
    <row r="212" spans="1:62" s="3261" customFormat="1" ht="20.25" customHeight="1">
      <c r="A212" s="3226">
        <v>210</v>
      </c>
      <c r="B212" s="3250" t="s">
        <v>4831</v>
      </c>
      <c r="C212" s="3227" t="s">
        <v>3333</v>
      </c>
      <c r="D212" s="3251" t="s">
        <v>3740</v>
      </c>
      <c r="E212" s="3229">
        <v>43809</v>
      </c>
      <c r="F212" s="3230">
        <v>50000</v>
      </c>
      <c r="G212" s="3231">
        <v>130.77000000000001</v>
      </c>
      <c r="H212" s="3231" t="str">
        <f t="shared" si="42"/>
        <v>普通住宅</v>
      </c>
      <c r="I212" s="3230">
        <v>1699071</v>
      </c>
      <c r="J212" s="3229">
        <v>43810</v>
      </c>
      <c r="K212" s="3284">
        <f t="shared" si="43"/>
        <v>12</v>
      </c>
      <c r="L212" s="3230">
        <v>1674071</v>
      </c>
      <c r="M212" s="3235">
        <f t="shared" si="44"/>
        <v>12801.644107975835</v>
      </c>
      <c r="N212" s="3236">
        <v>624071</v>
      </c>
      <c r="O212" s="3244">
        <f t="shared" si="45"/>
        <v>1674071</v>
      </c>
      <c r="P212" s="3244"/>
      <c r="Q212" s="3244"/>
      <c r="R212" s="3244">
        <f t="shared" si="46"/>
        <v>674071</v>
      </c>
      <c r="S212" s="3244">
        <f t="shared" si="47"/>
        <v>674071</v>
      </c>
      <c r="T212" s="3236"/>
      <c r="U212" s="3236"/>
      <c r="V212" s="3236">
        <v>1000000</v>
      </c>
      <c r="W212" s="3236"/>
      <c r="X212" s="3244">
        <f t="shared" si="48"/>
        <v>1674071</v>
      </c>
      <c r="Y212" s="3244">
        <f t="shared" si="49"/>
        <v>0</v>
      </c>
      <c r="Z212" s="3285">
        <f t="shared" si="50"/>
        <v>1</v>
      </c>
      <c r="AA212" s="3226" t="s">
        <v>3319</v>
      </c>
      <c r="AB212" s="3226" t="s">
        <v>4587</v>
      </c>
      <c r="AC212" s="3226" t="s">
        <v>4698</v>
      </c>
      <c r="AD212" s="3286" t="s">
        <v>4539</v>
      </c>
      <c r="AE212" s="3286" t="s">
        <v>4427</v>
      </c>
      <c r="AF212" s="3286"/>
      <c r="AG212" s="3323"/>
      <c r="AH212" s="3255">
        <v>43810</v>
      </c>
      <c r="AI212" s="3255">
        <v>43815</v>
      </c>
      <c r="AJ212" s="3255">
        <v>43843</v>
      </c>
      <c r="AK212" s="3287">
        <f t="shared" si="51"/>
        <v>2020</v>
      </c>
      <c r="AL212" s="3288">
        <f t="shared" si="52"/>
        <v>1</v>
      </c>
      <c r="AM212" s="3226" t="s">
        <v>4433</v>
      </c>
      <c r="AN212" s="3289">
        <v>1000000</v>
      </c>
      <c r="AO212" s="3300"/>
      <c r="AP212" s="3300"/>
      <c r="AQ212" s="3300"/>
      <c r="AR212" s="3292"/>
      <c r="AS212" s="3292"/>
      <c r="AT212" s="3292"/>
      <c r="AU212" s="3293" t="str">
        <f t="shared" si="54"/>
        <v/>
      </c>
      <c r="AV212" s="3293" t="str">
        <f t="shared" si="55"/>
        <v/>
      </c>
      <c r="AW212" s="3294"/>
      <c r="AX212" s="3236"/>
      <c r="AY212" s="3244"/>
      <c r="AZ212" s="3295" t="s">
        <v>4445</v>
      </c>
      <c r="BA212" s="3296" t="str">
        <f t="shared" si="53"/>
        <v>签约</v>
      </c>
      <c r="BB212" s="3226"/>
      <c r="BC212" s="3226"/>
      <c r="BD212" s="3292">
        <v>43823</v>
      </c>
      <c r="BE212" s="3297" t="s">
        <v>4367</v>
      </c>
      <c r="BG212" s="3297">
        <f>IFERROR(VLOOKUP(B212,[3]Sheet2!A$1:B$65536,2,FALSE),0)</f>
        <v>0</v>
      </c>
      <c r="BI212" s="3297">
        <f>IFERROR(VLOOKUP(B212,[3]Sheet2!A$1:C$65536,2,FALSE),0)</f>
        <v>0</v>
      </c>
      <c r="BJ212" s="3297">
        <f>IFERROR(VLOOKUP(B212,[3]Sheet2!A$1:C$65536,3,FALSE),0)</f>
        <v>0</v>
      </c>
    </row>
    <row r="213" spans="1:62" s="3261" customFormat="1" ht="20.25" customHeight="1">
      <c r="A213" s="3226">
        <v>211</v>
      </c>
      <c r="B213" s="3250" t="s">
        <v>4832</v>
      </c>
      <c r="C213" s="3227" t="s">
        <v>3333</v>
      </c>
      <c r="D213" s="3259" t="s">
        <v>3742</v>
      </c>
      <c r="E213" s="3229">
        <v>43843</v>
      </c>
      <c r="F213" s="3230">
        <v>50000</v>
      </c>
      <c r="G213" s="3231">
        <v>130.77000000000001</v>
      </c>
      <c r="H213" s="3231" t="str">
        <f t="shared" si="42"/>
        <v>普通住宅</v>
      </c>
      <c r="I213" s="3230">
        <v>1759738</v>
      </c>
      <c r="J213" s="3229">
        <v>43912</v>
      </c>
      <c r="K213" s="3284">
        <f t="shared" si="43"/>
        <v>3</v>
      </c>
      <c r="L213" s="3230">
        <v>1759738</v>
      </c>
      <c r="M213" s="3235">
        <f t="shared" si="44"/>
        <v>13456.740842700925</v>
      </c>
      <c r="N213" s="3236">
        <v>479738</v>
      </c>
      <c r="O213" s="3244">
        <f t="shared" si="45"/>
        <v>1759738</v>
      </c>
      <c r="P213" s="3244"/>
      <c r="Q213" s="3244"/>
      <c r="R213" s="3244">
        <f t="shared" si="46"/>
        <v>529738</v>
      </c>
      <c r="S213" s="3244">
        <f t="shared" si="47"/>
        <v>529738</v>
      </c>
      <c r="T213" s="3236"/>
      <c r="U213" s="3236"/>
      <c r="V213" s="3236">
        <v>630000</v>
      </c>
      <c r="W213" s="3236">
        <v>600000</v>
      </c>
      <c r="X213" s="3244">
        <f t="shared" si="48"/>
        <v>1759738</v>
      </c>
      <c r="Y213" s="3244">
        <f t="shared" si="49"/>
        <v>0</v>
      </c>
      <c r="Z213" s="3285">
        <f t="shared" si="50"/>
        <v>1</v>
      </c>
      <c r="AA213" s="3226" t="s">
        <v>3319</v>
      </c>
      <c r="AB213" s="3226" t="s">
        <v>4587</v>
      </c>
      <c r="AC213" s="3226" t="s">
        <v>4452</v>
      </c>
      <c r="AD213" s="3286" t="s">
        <v>4539</v>
      </c>
      <c r="AE213" s="3286" t="s">
        <v>4427</v>
      </c>
      <c r="AF213" s="3286"/>
      <c r="AG213" s="3323"/>
      <c r="AH213" s="3255">
        <v>43966</v>
      </c>
      <c r="AI213" s="3255">
        <v>43966</v>
      </c>
      <c r="AJ213" s="3255">
        <v>43978</v>
      </c>
      <c r="AK213" s="3287">
        <f t="shared" si="51"/>
        <v>2020</v>
      </c>
      <c r="AL213" s="3288">
        <f t="shared" si="52"/>
        <v>5</v>
      </c>
      <c r="AM213" s="3226" t="s">
        <v>4739</v>
      </c>
      <c r="AN213" s="3289">
        <v>630000</v>
      </c>
      <c r="AO213" s="3300" t="s">
        <v>4539</v>
      </c>
      <c r="AP213" s="3300" t="s">
        <v>4427</v>
      </c>
      <c r="AQ213" s="3300"/>
      <c r="AR213" s="3292">
        <v>43966</v>
      </c>
      <c r="AS213" s="3292">
        <v>43966</v>
      </c>
      <c r="AT213" s="3292">
        <v>44009</v>
      </c>
      <c r="AU213" s="3293">
        <f t="shared" si="54"/>
        <v>2020</v>
      </c>
      <c r="AV213" s="3293">
        <f t="shared" si="55"/>
        <v>6</v>
      </c>
      <c r="AW213" s="3294" t="s">
        <v>4657</v>
      </c>
      <c r="AX213" s="3236">
        <v>600000</v>
      </c>
      <c r="AY213" s="3244"/>
      <c r="AZ213" s="3295" t="s">
        <v>4454</v>
      </c>
      <c r="BA213" s="3296" t="str">
        <f t="shared" si="53"/>
        <v>签约</v>
      </c>
      <c r="BB213" s="3226"/>
      <c r="BC213" s="3226"/>
      <c r="BD213" s="3292"/>
      <c r="BE213" s="3297" t="s">
        <v>4367</v>
      </c>
      <c r="BG213" s="3297">
        <f>IFERROR(VLOOKUP(B213,[3]Sheet2!A$1:B$65536,2,FALSE),0)</f>
        <v>0</v>
      </c>
      <c r="BI213" s="3297">
        <f>IFERROR(VLOOKUP(B213,[3]Sheet2!A$1:C$65536,2,FALSE),0)</f>
        <v>0</v>
      </c>
      <c r="BJ213" s="3297">
        <f>IFERROR(VLOOKUP(B213,[3]Sheet2!A$1:C$65536,3,FALSE),0)</f>
        <v>0</v>
      </c>
    </row>
    <row r="214" spans="1:62" s="3261" customFormat="1" ht="20.25" customHeight="1">
      <c r="A214" s="3226">
        <v>212</v>
      </c>
      <c r="B214" s="3250" t="s">
        <v>4833</v>
      </c>
      <c r="C214" s="3227" t="s">
        <v>3333</v>
      </c>
      <c r="D214" s="3251" t="s">
        <v>3744</v>
      </c>
      <c r="E214" s="3229">
        <v>43910</v>
      </c>
      <c r="F214" s="3230">
        <v>50000</v>
      </c>
      <c r="G214" s="3231">
        <v>130.77000000000001</v>
      </c>
      <c r="H214" s="3231" t="str">
        <f t="shared" si="42"/>
        <v>普通住宅</v>
      </c>
      <c r="I214" s="3230">
        <v>1800182</v>
      </c>
      <c r="J214" s="3229">
        <v>43917</v>
      </c>
      <c r="K214" s="3284">
        <f t="shared" si="43"/>
        <v>3</v>
      </c>
      <c r="L214" s="3230">
        <v>1790182</v>
      </c>
      <c r="M214" s="3235">
        <f t="shared" si="44"/>
        <v>13689.546532079223</v>
      </c>
      <c r="N214" s="3236">
        <v>1240182</v>
      </c>
      <c r="O214" s="3244">
        <f t="shared" si="45"/>
        <v>1790182</v>
      </c>
      <c r="P214" s="3244"/>
      <c r="Q214" s="3244"/>
      <c r="R214" s="3244">
        <f t="shared" si="46"/>
        <v>1290182</v>
      </c>
      <c r="S214" s="3244">
        <f t="shared" si="47"/>
        <v>1290182</v>
      </c>
      <c r="T214" s="3236"/>
      <c r="U214" s="3236"/>
      <c r="V214" s="3236">
        <v>200000</v>
      </c>
      <c r="W214" s="3236">
        <v>300000</v>
      </c>
      <c r="X214" s="3244">
        <f t="shared" si="48"/>
        <v>1790182</v>
      </c>
      <c r="Y214" s="3244">
        <f t="shared" si="49"/>
        <v>0</v>
      </c>
      <c r="Z214" s="3285">
        <f t="shared" si="50"/>
        <v>1</v>
      </c>
      <c r="AA214" s="3226" t="s">
        <v>3319</v>
      </c>
      <c r="AB214" s="3226" t="s">
        <v>4587</v>
      </c>
      <c r="AC214" s="3226" t="s">
        <v>4452</v>
      </c>
      <c r="AD214" s="3286" t="s">
        <v>4539</v>
      </c>
      <c r="AE214" s="3286" t="s">
        <v>4427</v>
      </c>
      <c r="AF214" s="3286"/>
      <c r="AG214" s="3323"/>
      <c r="AH214" s="3255">
        <v>43924</v>
      </c>
      <c r="AI214" s="3255">
        <v>43924</v>
      </c>
      <c r="AJ214" s="3255">
        <v>43936</v>
      </c>
      <c r="AK214" s="3287">
        <f t="shared" si="51"/>
        <v>2020</v>
      </c>
      <c r="AL214" s="3288">
        <f t="shared" si="52"/>
        <v>4</v>
      </c>
      <c r="AM214" s="3226" t="s">
        <v>4440</v>
      </c>
      <c r="AN214" s="3289">
        <v>200000</v>
      </c>
      <c r="AO214" s="3300" t="s">
        <v>4539</v>
      </c>
      <c r="AP214" s="3300" t="s">
        <v>4427</v>
      </c>
      <c r="AQ214" s="3300"/>
      <c r="AR214" s="3292">
        <v>43924</v>
      </c>
      <c r="AS214" s="3292">
        <v>43924</v>
      </c>
      <c r="AT214" s="3292">
        <v>43945</v>
      </c>
      <c r="AU214" s="3293">
        <f t="shared" si="54"/>
        <v>2020</v>
      </c>
      <c r="AV214" s="3293">
        <f t="shared" si="55"/>
        <v>4</v>
      </c>
      <c r="AW214" s="3294" t="s">
        <v>4657</v>
      </c>
      <c r="AX214" s="3236">
        <v>300000</v>
      </c>
      <c r="AY214" s="3244"/>
      <c r="AZ214" s="3295" t="s">
        <v>4437</v>
      </c>
      <c r="BA214" s="3296" t="str">
        <f t="shared" si="53"/>
        <v>签约</v>
      </c>
      <c r="BB214" s="3226"/>
      <c r="BC214" s="3226"/>
      <c r="BD214" s="3292"/>
      <c r="BE214" s="3297" t="s">
        <v>4449</v>
      </c>
      <c r="BG214" s="3297">
        <f>IFERROR(VLOOKUP(B214,[3]Sheet2!A$1:B$65536,2,FALSE),0)</f>
        <v>0</v>
      </c>
      <c r="BI214" s="3297">
        <f>IFERROR(VLOOKUP(B214,[3]Sheet2!A$1:C$65536,2,FALSE),0)</f>
        <v>0</v>
      </c>
      <c r="BJ214" s="3297">
        <f>IFERROR(VLOOKUP(B214,[3]Sheet2!A$1:C$65536,3,FALSE),0)</f>
        <v>0</v>
      </c>
    </row>
    <row r="215" spans="1:62" s="3261" customFormat="1" ht="20.25" customHeight="1">
      <c r="A215" s="3226">
        <v>213</v>
      </c>
      <c r="B215" s="3250" t="s">
        <v>4834</v>
      </c>
      <c r="C215" s="3227" t="s">
        <v>3333</v>
      </c>
      <c r="D215" s="3251" t="s">
        <v>3746</v>
      </c>
      <c r="E215" s="3229">
        <v>43830</v>
      </c>
      <c r="F215" s="3230">
        <v>50000</v>
      </c>
      <c r="G215" s="3231">
        <v>130.77000000000001</v>
      </c>
      <c r="H215" s="3231" t="str">
        <f t="shared" si="42"/>
        <v>普通住宅</v>
      </c>
      <c r="I215" s="3230">
        <v>1833886</v>
      </c>
      <c r="J215" s="3229">
        <v>43833</v>
      </c>
      <c r="K215" s="3284">
        <f t="shared" si="43"/>
        <v>1</v>
      </c>
      <c r="L215" s="3230">
        <v>1828886</v>
      </c>
      <c r="M215" s="3235">
        <f t="shared" si="44"/>
        <v>13985.516555784965</v>
      </c>
      <c r="N215" s="3236">
        <v>858886</v>
      </c>
      <c r="O215" s="3244">
        <f t="shared" si="45"/>
        <v>1828886</v>
      </c>
      <c r="P215" s="3244"/>
      <c r="Q215" s="3244"/>
      <c r="R215" s="3244">
        <f t="shared" si="46"/>
        <v>908886</v>
      </c>
      <c r="S215" s="3244">
        <f t="shared" si="47"/>
        <v>908886</v>
      </c>
      <c r="T215" s="3236"/>
      <c r="U215" s="3236"/>
      <c r="V215" s="3236">
        <v>620000</v>
      </c>
      <c r="W215" s="3236">
        <v>300000</v>
      </c>
      <c r="X215" s="3244">
        <f t="shared" si="48"/>
        <v>1828886</v>
      </c>
      <c r="Y215" s="3244">
        <f t="shared" si="49"/>
        <v>0</v>
      </c>
      <c r="Z215" s="3285">
        <f t="shared" si="50"/>
        <v>1</v>
      </c>
      <c r="AA215" s="3226" t="s">
        <v>4416</v>
      </c>
      <c r="AB215" s="3226" t="s">
        <v>4417</v>
      </c>
      <c r="AC215" s="3226" t="s">
        <v>4452</v>
      </c>
      <c r="AD215" s="3286" t="s">
        <v>4539</v>
      </c>
      <c r="AE215" s="3286" t="s">
        <v>4427</v>
      </c>
      <c r="AF215" s="3286"/>
      <c r="AG215" s="3323"/>
      <c r="AH215" s="3255">
        <v>43839</v>
      </c>
      <c r="AI215" s="3255">
        <v>43839</v>
      </c>
      <c r="AJ215" s="3255">
        <v>43913</v>
      </c>
      <c r="AK215" s="3287">
        <f t="shared" si="51"/>
        <v>2020</v>
      </c>
      <c r="AL215" s="3288">
        <f t="shared" si="52"/>
        <v>3</v>
      </c>
      <c r="AM215" s="3226" t="s">
        <v>4433</v>
      </c>
      <c r="AN215" s="3289">
        <v>620000</v>
      </c>
      <c r="AO215" s="3300" t="s">
        <v>4539</v>
      </c>
      <c r="AP215" s="3300" t="s">
        <v>4427</v>
      </c>
      <c r="AQ215" s="3300"/>
      <c r="AR215" s="3292">
        <v>43839</v>
      </c>
      <c r="AS215" s="3292">
        <v>43839</v>
      </c>
      <c r="AT215" s="3292">
        <v>43920</v>
      </c>
      <c r="AU215" s="3293">
        <f t="shared" si="54"/>
        <v>2020</v>
      </c>
      <c r="AV215" s="3293">
        <f t="shared" si="55"/>
        <v>3</v>
      </c>
      <c r="AW215" s="3294" t="s">
        <v>4657</v>
      </c>
      <c r="AX215" s="3236">
        <v>300000</v>
      </c>
      <c r="AY215" s="3244"/>
      <c r="AZ215" s="3295" t="s">
        <v>4454</v>
      </c>
      <c r="BA215" s="3296" t="str">
        <f t="shared" si="53"/>
        <v>签约</v>
      </c>
      <c r="BB215" s="3226"/>
      <c r="BC215" s="3226"/>
      <c r="BD215" s="3292"/>
      <c r="BE215" s="3297" t="s">
        <v>4367</v>
      </c>
      <c r="BG215" s="3297">
        <f>IFERROR(VLOOKUP(B215,[3]Sheet2!A$1:B$65536,2,FALSE),0)</f>
        <v>0</v>
      </c>
      <c r="BI215" s="3297">
        <f>IFERROR(VLOOKUP(B215,[3]Sheet2!A$1:C$65536,2,FALSE),0)</f>
        <v>0</v>
      </c>
      <c r="BJ215" s="3297">
        <f>IFERROR(VLOOKUP(B215,[3]Sheet2!A$1:C$65536,3,FALSE),0)</f>
        <v>0</v>
      </c>
    </row>
    <row r="216" spans="1:62" s="3261" customFormat="1" ht="20.25" customHeight="1">
      <c r="A216" s="3226">
        <v>214</v>
      </c>
      <c r="B216" s="3250" t="s">
        <v>4835</v>
      </c>
      <c r="C216" s="3227" t="s">
        <v>3333</v>
      </c>
      <c r="D216" s="3251" t="s">
        <v>3748</v>
      </c>
      <c r="E216" s="3229">
        <v>43798</v>
      </c>
      <c r="F216" s="3230">
        <v>50000</v>
      </c>
      <c r="G216" s="3231">
        <v>130.77000000000001</v>
      </c>
      <c r="H216" s="3231" t="str">
        <f t="shared" si="42"/>
        <v>普通住宅</v>
      </c>
      <c r="I216" s="3230">
        <v>1840626</v>
      </c>
      <c r="J216" s="3229">
        <v>43799</v>
      </c>
      <c r="K216" s="3284">
        <f t="shared" si="43"/>
        <v>11</v>
      </c>
      <c r="L216" s="3230">
        <v>1830626</v>
      </c>
      <c r="M216" s="3235">
        <f t="shared" si="44"/>
        <v>13998.822359868471</v>
      </c>
      <c r="N216" s="3236">
        <v>650626</v>
      </c>
      <c r="O216" s="3244">
        <f t="shared" si="45"/>
        <v>1830626</v>
      </c>
      <c r="P216" s="3244"/>
      <c r="Q216" s="3244"/>
      <c r="R216" s="3244">
        <f t="shared" si="46"/>
        <v>700626</v>
      </c>
      <c r="S216" s="3244">
        <f t="shared" si="47"/>
        <v>700626</v>
      </c>
      <c r="T216" s="3236"/>
      <c r="U216" s="3236"/>
      <c r="V216" s="3236">
        <v>830000</v>
      </c>
      <c r="W216" s="3236">
        <v>300000</v>
      </c>
      <c r="X216" s="3244">
        <f t="shared" si="48"/>
        <v>1830626</v>
      </c>
      <c r="Y216" s="3244">
        <f t="shared" si="49"/>
        <v>0</v>
      </c>
      <c r="Z216" s="3285">
        <f t="shared" si="50"/>
        <v>1</v>
      </c>
      <c r="AA216" s="3226" t="s">
        <v>4416</v>
      </c>
      <c r="AB216" s="3226" t="s">
        <v>4417</v>
      </c>
      <c r="AC216" s="3226" t="s">
        <v>4452</v>
      </c>
      <c r="AD216" s="3286" t="s">
        <v>4539</v>
      </c>
      <c r="AE216" s="3286" t="s">
        <v>4427</v>
      </c>
      <c r="AF216" s="3286"/>
      <c r="AG216" s="3323"/>
      <c r="AH216" s="3255">
        <v>43822</v>
      </c>
      <c r="AI216" s="3255">
        <v>43822</v>
      </c>
      <c r="AJ216" s="3255">
        <v>43866</v>
      </c>
      <c r="AK216" s="3287">
        <f t="shared" si="51"/>
        <v>2020</v>
      </c>
      <c r="AL216" s="3288">
        <f t="shared" si="52"/>
        <v>2</v>
      </c>
      <c r="AM216" s="3226" t="s">
        <v>4701</v>
      </c>
      <c r="AN216" s="3289">
        <v>830000</v>
      </c>
      <c r="AO216" s="3300" t="s">
        <v>4539</v>
      </c>
      <c r="AP216" s="3300" t="s">
        <v>4427</v>
      </c>
      <c r="AQ216" s="3300"/>
      <c r="AR216" s="3292">
        <v>43822</v>
      </c>
      <c r="AS216" s="3292">
        <v>43822</v>
      </c>
      <c r="AT216" s="3292">
        <v>43915</v>
      </c>
      <c r="AU216" s="3293">
        <f t="shared" si="54"/>
        <v>2020</v>
      </c>
      <c r="AV216" s="3293">
        <f t="shared" si="55"/>
        <v>3</v>
      </c>
      <c r="AW216" s="3294" t="s">
        <v>4657</v>
      </c>
      <c r="AX216" s="3236">
        <v>300000</v>
      </c>
      <c r="AY216" s="3244"/>
      <c r="AZ216" s="3295" t="s">
        <v>4441</v>
      </c>
      <c r="BA216" s="3296" t="str">
        <f t="shared" si="53"/>
        <v>签约</v>
      </c>
      <c r="BB216" s="3226"/>
      <c r="BC216" s="3226"/>
      <c r="BD216" s="3292">
        <f>VLOOKUP(B216,[3]Sheet1!A$1:B$65536,2,0)</f>
        <v>43805</v>
      </c>
      <c r="BE216" s="3297" t="s">
        <v>4367</v>
      </c>
      <c r="BG216" s="3297">
        <f>IFERROR(VLOOKUP(B216,[3]Sheet2!A$1:B$65536,2,FALSE),0)</f>
        <v>0</v>
      </c>
      <c r="BI216" s="3297">
        <f>IFERROR(VLOOKUP(B216,[3]Sheet2!A$1:C$65536,2,FALSE),0)</f>
        <v>0</v>
      </c>
      <c r="BJ216" s="3297">
        <f>IFERROR(VLOOKUP(B216,[3]Sheet2!A$1:C$65536,3,FALSE),0)</f>
        <v>0</v>
      </c>
    </row>
    <row r="217" spans="1:62" s="3261" customFormat="1" ht="20.25" customHeight="1">
      <c r="A217" s="3226">
        <v>215</v>
      </c>
      <c r="B217" s="3250" t="s">
        <v>4836</v>
      </c>
      <c r="C217" s="3227" t="s">
        <v>3333</v>
      </c>
      <c r="D217" s="3252" t="s">
        <v>4837</v>
      </c>
      <c r="E217" s="3229">
        <v>43774</v>
      </c>
      <c r="F217" s="3230">
        <v>20000</v>
      </c>
      <c r="G217" s="3231">
        <v>130.77000000000001</v>
      </c>
      <c r="H217" s="3231" t="str">
        <f t="shared" si="42"/>
        <v>普通住宅</v>
      </c>
      <c r="I217" s="3230">
        <v>1847367</v>
      </c>
      <c r="J217" s="3229">
        <v>43780</v>
      </c>
      <c r="K217" s="3284">
        <f t="shared" si="43"/>
        <v>11</v>
      </c>
      <c r="L217" s="3230">
        <v>1847367</v>
      </c>
      <c r="M217" s="3235">
        <f t="shared" si="44"/>
        <v>14126.841018582243</v>
      </c>
      <c r="N217" s="3236">
        <f>537367+690000</f>
        <v>1227367</v>
      </c>
      <c r="O217" s="3244">
        <f t="shared" si="45"/>
        <v>1847367</v>
      </c>
      <c r="P217" s="3244"/>
      <c r="Q217" s="3244"/>
      <c r="R217" s="3244">
        <f t="shared" si="46"/>
        <v>1247367</v>
      </c>
      <c r="S217" s="3244">
        <f t="shared" si="47"/>
        <v>1247367</v>
      </c>
      <c r="T217" s="3236"/>
      <c r="U217" s="3236"/>
      <c r="V217" s="3236"/>
      <c r="W217" s="3236">
        <v>600000</v>
      </c>
      <c r="X217" s="3244">
        <f t="shared" si="48"/>
        <v>1847367</v>
      </c>
      <c r="Y217" s="3244">
        <f t="shared" si="49"/>
        <v>0</v>
      </c>
      <c r="Z217" s="3285">
        <f t="shared" si="50"/>
        <v>1</v>
      </c>
      <c r="AA217" s="3226" t="s">
        <v>4416</v>
      </c>
      <c r="AB217" s="3226" t="s">
        <v>4417</v>
      </c>
      <c r="AC217" s="3226" t="s">
        <v>4725</v>
      </c>
      <c r="AD217" s="3286"/>
      <c r="AE217" s="3286"/>
      <c r="AF217" s="3286"/>
      <c r="AG217" s="3323"/>
      <c r="AH217" s="3255"/>
      <c r="AI217" s="3255"/>
      <c r="AJ217" s="3255"/>
      <c r="AK217" s="3287" t="str">
        <f t="shared" si="51"/>
        <v/>
      </c>
      <c r="AL217" s="3288" t="str">
        <f t="shared" si="52"/>
        <v/>
      </c>
      <c r="AM217" s="3226"/>
      <c r="AN217" s="3289"/>
      <c r="AO217" s="3300" t="s">
        <v>4539</v>
      </c>
      <c r="AP217" s="3300" t="s">
        <v>4427</v>
      </c>
      <c r="AQ217" s="3300"/>
      <c r="AR217" s="3292">
        <v>43797</v>
      </c>
      <c r="AS217" s="3292">
        <v>43797</v>
      </c>
      <c r="AT217" s="3292">
        <v>43882</v>
      </c>
      <c r="AU217" s="3293">
        <f t="shared" si="54"/>
        <v>2020</v>
      </c>
      <c r="AV217" s="3293">
        <f t="shared" si="55"/>
        <v>2</v>
      </c>
      <c r="AW217" s="3294" t="s">
        <v>4657</v>
      </c>
      <c r="AX217" s="3236">
        <v>600000</v>
      </c>
      <c r="AY217" s="3244"/>
      <c r="AZ217" s="3295" t="s">
        <v>4464</v>
      </c>
      <c r="BA217" s="3296" t="str">
        <f t="shared" si="53"/>
        <v>签约</v>
      </c>
      <c r="BB217" s="3226"/>
      <c r="BC217" s="3226"/>
      <c r="BD217" s="3292">
        <f>VLOOKUP(B217,[3]Sheet1!A$1:B$65536,2,0)</f>
        <v>43782</v>
      </c>
      <c r="BE217" s="3297" t="s">
        <v>4367</v>
      </c>
      <c r="BG217" s="3297">
        <f>IFERROR(VLOOKUP(B217,[3]Sheet2!A$1:B$65536,2,FALSE),0)</f>
        <v>0</v>
      </c>
      <c r="BI217" s="3297">
        <f>IFERROR(VLOOKUP(B217,[3]Sheet2!A$1:C$65536,2,FALSE),0)</f>
        <v>0</v>
      </c>
      <c r="BJ217" s="3297">
        <f>IFERROR(VLOOKUP(B217,[3]Sheet2!A$1:C$65536,3,FALSE),0)</f>
        <v>0</v>
      </c>
    </row>
    <row r="218" spans="1:62" s="3261" customFormat="1" ht="20.25" customHeight="1">
      <c r="A218" s="3226">
        <v>216</v>
      </c>
      <c r="B218" s="3250" t="s">
        <v>4838</v>
      </c>
      <c r="C218" s="3227" t="s">
        <v>3333</v>
      </c>
      <c r="D218" s="3251" t="s">
        <v>3752</v>
      </c>
      <c r="E218" s="3229">
        <v>43800</v>
      </c>
      <c r="F218" s="3230">
        <f>30000+20000</f>
        <v>50000</v>
      </c>
      <c r="G218" s="3231">
        <v>130.77000000000001</v>
      </c>
      <c r="H218" s="3231" t="str">
        <f t="shared" si="42"/>
        <v>普通住宅</v>
      </c>
      <c r="I218" s="3230">
        <v>1854108</v>
      </c>
      <c r="J218" s="3229">
        <v>43812</v>
      </c>
      <c r="K218" s="3284">
        <f t="shared" si="43"/>
        <v>12</v>
      </c>
      <c r="L218" s="3230">
        <v>1849108</v>
      </c>
      <c r="M218" s="3235">
        <f t="shared" si="44"/>
        <v>14140.154469679588</v>
      </c>
      <c r="N218" s="3236">
        <f>509108+690000</f>
        <v>1199108</v>
      </c>
      <c r="O218" s="3244">
        <f t="shared" si="45"/>
        <v>1849108</v>
      </c>
      <c r="P218" s="3244"/>
      <c r="Q218" s="3244"/>
      <c r="R218" s="3244">
        <f t="shared" si="46"/>
        <v>1249108</v>
      </c>
      <c r="S218" s="3244">
        <f t="shared" si="47"/>
        <v>1249108</v>
      </c>
      <c r="T218" s="3236"/>
      <c r="U218" s="3236"/>
      <c r="V218" s="3236"/>
      <c r="W218" s="3236">
        <v>600000</v>
      </c>
      <c r="X218" s="3244">
        <f t="shared" si="48"/>
        <v>1849108</v>
      </c>
      <c r="Y218" s="3244">
        <f t="shared" si="49"/>
        <v>0</v>
      </c>
      <c r="Z218" s="3285">
        <f t="shared" si="50"/>
        <v>1</v>
      </c>
      <c r="AA218" s="3226" t="s">
        <v>4416</v>
      </c>
      <c r="AB218" s="3226" t="s">
        <v>4417</v>
      </c>
      <c r="AC218" s="3226" t="s">
        <v>4725</v>
      </c>
      <c r="AD218" s="3286"/>
      <c r="AE218" s="3286"/>
      <c r="AF218" s="3286"/>
      <c r="AG218" s="3323"/>
      <c r="AH218" s="3255"/>
      <c r="AI218" s="3255"/>
      <c r="AJ218" s="3255"/>
      <c r="AK218" s="3287" t="str">
        <f t="shared" si="51"/>
        <v/>
      </c>
      <c r="AL218" s="3288" t="str">
        <f t="shared" si="52"/>
        <v/>
      </c>
      <c r="AM218" s="3226"/>
      <c r="AN218" s="3289"/>
      <c r="AO218" s="3300" t="s">
        <v>4539</v>
      </c>
      <c r="AP218" s="3300" t="s">
        <v>4427</v>
      </c>
      <c r="AQ218" s="3300"/>
      <c r="AR218" s="3292">
        <v>43832</v>
      </c>
      <c r="AS218" s="3292">
        <v>43832</v>
      </c>
      <c r="AT218" s="3292">
        <v>43915</v>
      </c>
      <c r="AU218" s="3293">
        <f t="shared" si="54"/>
        <v>2020</v>
      </c>
      <c r="AV218" s="3293">
        <f t="shared" si="55"/>
        <v>3</v>
      </c>
      <c r="AW218" s="3294" t="s">
        <v>4657</v>
      </c>
      <c r="AX218" s="3236">
        <v>600000</v>
      </c>
      <c r="AY218" s="3244"/>
      <c r="AZ218" s="3295" t="s">
        <v>4741</v>
      </c>
      <c r="BA218" s="3296" t="str">
        <f t="shared" si="53"/>
        <v>签约</v>
      </c>
      <c r="BB218" s="3226"/>
      <c r="BC218" s="3226"/>
      <c r="BD218" s="3292">
        <f>VLOOKUP(B218,[3]Sheet1!A$1:B$65536,2,0)</f>
        <v>43817</v>
      </c>
      <c r="BE218" s="3297" t="s">
        <v>4542</v>
      </c>
      <c r="BG218" s="3297">
        <f>IFERROR(VLOOKUP(B218,[3]Sheet2!A$1:B$65536,2,FALSE),0)</f>
        <v>0</v>
      </c>
      <c r="BI218" s="3297">
        <f>IFERROR(VLOOKUP(B218,[3]Sheet2!A$1:C$65536,2,FALSE),0)</f>
        <v>0</v>
      </c>
      <c r="BJ218" s="3297">
        <f>IFERROR(VLOOKUP(B218,[3]Sheet2!A$1:C$65536,3,FALSE),0)</f>
        <v>0</v>
      </c>
    </row>
    <row r="219" spans="1:62" s="3261" customFormat="1" ht="20.25" customHeight="1">
      <c r="A219" s="3226">
        <v>217</v>
      </c>
      <c r="B219" s="3250" t="s">
        <v>4839</v>
      </c>
      <c r="C219" s="3227" t="s">
        <v>3333</v>
      </c>
      <c r="D219" s="3252" t="s">
        <v>4840</v>
      </c>
      <c r="E219" s="3229">
        <v>43764</v>
      </c>
      <c r="F219" s="3230">
        <v>20000</v>
      </c>
      <c r="G219" s="3231">
        <v>130.77000000000001</v>
      </c>
      <c r="H219" s="3231" t="str">
        <f t="shared" si="42"/>
        <v>普通住宅</v>
      </c>
      <c r="I219" s="3230">
        <v>1860848</v>
      </c>
      <c r="J219" s="3229">
        <v>43768</v>
      </c>
      <c r="K219" s="3284">
        <f t="shared" si="43"/>
        <v>10</v>
      </c>
      <c r="L219" s="3230">
        <v>1835848</v>
      </c>
      <c r="M219" s="3235">
        <f t="shared" si="44"/>
        <v>14038.755066146668</v>
      </c>
      <c r="N219" s="3236">
        <v>535848</v>
      </c>
      <c r="O219" s="3244">
        <f t="shared" si="45"/>
        <v>1835848</v>
      </c>
      <c r="P219" s="3244"/>
      <c r="Q219" s="3244"/>
      <c r="R219" s="3244">
        <f t="shared" si="46"/>
        <v>555848</v>
      </c>
      <c r="S219" s="3244">
        <f t="shared" si="47"/>
        <v>555848</v>
      </c>
      <c r="T219" s="3236"/>
      <c r="U219" s="3236"/>
      <c r="V219" s="3236">
        <v>1280000</v>
      </c>
      <c r="W219" s="3236"/>
      <c r="X219" s="3244">
        <f t="shared" si="48"/>
        <v>1835848</v>
      </c>
      <c r="Y219" s="3244">
        <f t="shared" si="49"/>
        <v>0</v>
      </c>
      <c r="Z219" s="3285">
        <f t="shared" si="50"/>
        <v>1</v>
      </c>
      <c r="AA219" s="3226" t="s">
        <v>4416</v>
      </c>
      <c r="AB219" s="3226" t="s">
        <v>4417</v>
      </c>
      <c r="AC219" s="3226" t="s">
        <v>4418</v>
      </c>
      <c r="AD219" s="3286" t="s">
        <v>4539</v>
      </c>
      <c r="AE219" s="3286" t="s">
        <v>4427</v>
      </c>
      <c r="AF219" s="3286"/>
      <c r="AG219" s="3323"/>
      <c r="AH219" s="3255">
        <v>43777</v>
      </c>
      <c r="AI219" s="3255">
        <v>43777</v>
      </c>
      <c r="AJ219" s="3255">
        <v>43832</v>
      </c>
      <c r="AK219" s="3287">
        <f t="shared" si="51"/>
        <v>2020</v>
      </c>
      <c r="AL219" s="3288">
        <f t="shared" si="52"/>
        <v>1</v>
      </c>
      <c r="AM219" s="3226" t="s">
        <v>4634</v>
      </c>
      <c r="AN219" s="3289">
        <v>1280000</v>
      </c>
      <c r="AO219" s="3300"/>
      <c r="AP219" s="3300"/>
      <c r="AQ219" s="3300"/>
      <c r="AR219" s="3292"/>
      <c r="AS219" s="3292"/>
      <c r="AT219" s="3292"/>
      <c r="AU219" s="3293" t="str">
        <f t="shared" si="54"/>
        <v/>
      </c>
      <c r="AV219" s="3293" t="str">
        <f t="shared" si="55"/>
        <v/>
      </c>
      <c r="AW219" s="3294"/>
      <c r="AX219" s="3236"/>
      <c r="AY219" s="3244"/>
      <c r="AZ219" s="3295" t="s">
        <v>4507</v>
      </c>
      <c r="BA219" s="3296" t="str">
        <f t="shared" si="53"/>
        <v>签约</v>
      </c>
      <c r="BB219" s="3226"/>
      <c r="BC219" s="3226"/>
      <c r="BD219" s="3292">
        <f>VLOOKUP(B219,[3]Sheet1!A$1:B$65536,2,0)</f>
        <v>43784</v>
      </c>
      <c r="BE219" s="3297" t="s">
        <v>4367</v>
      </c>
      <c r="BG219" s="3297">
        <f>IFERROR(VLOOKUP(B219,[3]Sheet2!A$1:B$65536,2,FALSE),0)</f>
        <v>0</v>
      </c>
      <c r="BI219" s="3297">
        <f>IFERROR(VLOOKUP(B219,[3]Sheet2!A$1:C$65536,2,FALSE),0)</f>
        <v>0</v>
      </c>
      <c r="BJ219" s="3297">
        <f>IFERROR(VLOOKUP(B219,[3]Sheet2!A$1:C$65536,3,FALSE),0)</f>
        <v>0</v>
      </c>
    </row>
    <row r="220" spans="1:62" s="3261" customFormat="1" ht="20.25" customHeight="1">
      <c r="A220" s="3226">
        <v>218</v>
      </c>
      <c r="B220" s="3250" t="s">
        <v>4841</v>
      </c>
      <c r="C220" s="3227" t="s">
        <v>3333</v>
      </c>
      <c r="D220" s="3252" t="s">
        <v>4842</v>
      </c>
      <c r="E220" s="3229">
        <v>43779</v>
      </c>
      <c r="F220" s="3230">
        <v>20000</v>
      </c>
      <c r="G220" s="3231">
        <v>130.77000000000001</v>
      </c>
      <c r="H220" s="3231" t="str">
        <f t="shared" si="42"/>
        <v>普通住宅</v>
      </c>
      <c r="I220" s="3230">
        <v>1867589</v>
      </c>
      <c r="J220" s="3229">
        <v>43788</v>
      </c>
      <c r="K220" s="3284">
        <f t="shared" si="43"/>
        <v>11</v>
      </c>
      <c r="L220" s="3230">
        <v>1857589</v>
      </c>
      <c r="M220" s="3235">
        <f t="shared" si="44"/>
        <v>14205.008794065916</v>
      </c>
      <c r="N220" s="3236">
        <v>547589</v>
      </c>
      <c r="O220" s="3244">
        <f t="shared" si="45"/>
        <v>1857589</v>
      </c>
      <c r="P220" s="3244"/>
      <c r="Q220" s="3244"/>
      <c r="R220" s="3244">
        <f t="shared" si="46"/>
        <v>567589</v>
      </c>
      <c r="S220" s="3244">
        <f t="shared" si="47"/>
        <v>567589</v>
      </c>
      <c r="T220" s="3236"/>
      <c r="U220" s="3236"/>
      <c r="V220" s="3236">
        <v>990000</v>
      </c>
      <c r="W220" s="3236">
        <v>300000</v>
      </c>
      <c r="X220" s="3244">
        <f t="shared" si="48"/>
        <v>1857589</v>
      </c>
      <c r="Y220" s="3244">
        <f t="shared" si="49"/>
        <v>0</v>
      </c>
      <c r="Z220" s="3285">
        <f t="shared" si="50"/>
        <v>1</v>
      </c>
      <c r="AA220" s="3226" t="s">
        <v>3319</v>
      </c>
      <c r="AB220" s="3226" t="s">
        <v>4587</v>
      </c>
      <c r="AC220" s="3226" t="s">
        <v>4452</v>
      </c>
      <c r="AD220" s="3286" t="s">
        <v>4539</v>
      </c>
      <c r="AE220" s="3286" t="s">
        <v>4427</v>
      </c>
      <c r="AF220" s="3286"/>
      <c r="AG220" s="3323"/>
      <c r="AH220" s="3255">
        <v>43789</v>
      </c>
      <c r="AI220" s="3255">
        <v>43789</v>
      </c>
      <c r="AJ220" s="3255">
        <v>43836</v>
      </c>
      <c r="AK220" s="3287">
        <f t="shared" si="51"/>
        <v>2020</v>
      </c>
      <c r="AL220" s="3288">
        <f t="shared" si="52"/>
        <v>1</v>
      </c>
      <c r="AM220" s="3226" t="s">
        <v>4433</v>
      </c>
      <c r="AN220" s="3289">
        <v>990000</v>
      </c>
      <c r="AO220" s="3300" t="s">
        <v>4539</v>
      </c>
      <c r="AP220" s="3300" t="s">
        <v>4427</v>
      </c>
      <c r="AQ220" s="3300"/>
      <c r="AR220" s="3292">
        <v>43789</v>
      </c>
      <c r="AS220" s="3292">
        <v>43789</v>
      </c>
      <c r="AT220" s="3292">
        <v>43889</v>
      </c>
      <c r="AU220" s="3293">
        <f t="shared" si="54"/>
        <v>2020</v>
      </c>
      <c r="AV220" s="3293">
        <f t="shared" si="55"/>
        <v>2</v>
      </c>
      <c r="AW220" s="3294" t="s">
        <v>4657</v>
      </c>
      <c r="AX220" s="3236">
        <v>300000</v>
      </c>
      <c r="AY220" s="3244"/>
      <c r="AZ220" s="3295" t="s">
        <v>4437</v>
      </c>
      <c r="BA220" s="3296" t="str">
        <f t="shared" si="53"/>
        <v>签约</v>
      </c>
      <c r="BB220" s="3226"/>
      <c r="BC220" s="3226"/>
      <c r="BD220" s="3292">
        <f>VLOOKUP(B220,[3]Sheet1!A$1:B$65536,2,0)</f>
        <v>43788</v>
      </c>
      <c r="BE220" s="3297" t="s">
        <v>4367</v>
      </c>
      <c r="BG220" s="3297">
        <f>IFERROR(VLOOKUP(B220,[3]Sheet2!A$1:B$65536,2,FALSE),0)</f>
        <v>0</v>
      </c>
      <c r="BI220" s="3297">
        <f>IFERROR(VLOOKUP(B220,[3]Sheet2!A$1:C$65536,2,FALSE),0)</f>
        <v>0</v>
      </c>
      <c r="BJ220" s="3297">
        <f>IFERROR(VLOOKUP(B220,[3]Sheet2!A$1:C$65536,3,FALSE),0)</f>
        <v>0</v>
      </c>
    </row>
    <row r="221" spans="1:62" s="3261" customFormat="1" ht="20.25" customHeight="1">
      <c r="A221" s="3226">
        <v>219</v>
      </c>
      <c r="B221" s="3250" t="s">
        <v>4843</v>
      </c>
      <c r="C221" s="3227" t="s">
        <v>3333</v>
      </c>
      <c r="D221" s="3262" t="s">
        <v>3758</v>
      </c>
      <c r="E221" s="3229">
        <v>43912</v>
      </c>
      <c r="F221" s="3230">
        <v>50000</v>
      </c>
      <c r="G221" s="3231">
        <v>130.77000000000001</v>
      </c>
      <c r="H221" s="3231" t="str">
        <f t="shared" si="42"/>
        <v>普通住宅</v>
      </c>
      <c r="I221" s="3230">
        <v>1793441</v>
      </c>
      <c r="J221" s="3229">
        <v>43917</v>
      </c>
      <c r="K221" s="3284">
        <f t="shared" si="43"/>
        <v>3</v>
      </c>
      <c r="L221" s="3230">
        <v>1783441</v>
      </c>
      <c r="M221" s="3235">
        <f t="shared" si="44"/>
        <v>13637.998011776401</v>
      </c>
      <c r="N221" s="3236">
        <v>553441</v>
      </c>
      <c r="O221" s="3244">
        <f t="shared" si="45"/>
        <v>1783441</v>
      </c>
      <c r="P221" s="3244"/>
      <c r="Q221" s="3244"/>
      <c r="R221" s="3244">
        <f t="shared" si="46"/>
        <v>603441</v>
      </c>
      <c r="S221" s="3244">
        <f t="shared" si="47"/>
        <v>603441</v>
      </c>
      <c r="T221" s="3236"/>
      <c r="U221" s="3236"/>
      <c r="V221" s="3236">
        <v>1180000</v>
      </c>
      <c r="W221" s="3236"/>
      <c r="X221" s="3244">
        <f t="shared" si="48"/>
        <v>1783441</v>
      </c>
      <c r="Y221" s="3244">
        <f t="shared" si="49"/>
        <v>0</v>
      </c>
      <c r="Z221" s="3285">
        <f t="shared" si="50"/>
        <v>1</v>
      </c>
      <c r="AA221" s="3226" t="s">
        <v>4416</v>
      </c>
      <c r="AB221" s="3226" t="s">
        <v>4417</v>
      </c>
      <c r="AC221" s="3226" t="s">
        <v>4418</v>
      </c>
      <c r="AD221" s="3286" t="s">
        <v>4539</v>
      </c>
      <c r="AE221" s="3286" t="s">
        <v>4427</v>
      </c>
      <c r="AF221" s="3286"/>
      <c r="AG221" s="3323"/>
      <c r="AH221" s="3255">
        <v>43917</v>
      </c>
      <c r="AI221" s="3255">
        <v>43917</v>
      </c>
      <c r="AJ221" s="3255">
        <v>43930</v>
      </c>
      <c r="AK221" s="3287">
        <f t="shared" si="51"/>
        <v>2020</v>
      </c>
      <c r="AL221" s="3288">
        <f t="shared" si="52"/>
        <v>4</v>
      </c>
      <c r="AM221" s="3226" t="s">
        <v>4477</v>
      </c>
      <c r="AN221" s="3289">
        <v>1180000</v>
      </c>
      <c r="AO221" s="3300"/>
      <c r="AP221" s="3300"/>
      <c r="AQ221" s="3300"/>
      <c r="AR221" s="3292"/>
      <c r="AS221" s="3292"/>
      <c r="AT221" s="3292"/>
      <c r="AU221" s="3293" t="str">
        <f t="shared" si="54"/>
        <v/>
      </c>
      <c r="AV221" s="3293" t="str">
        <f t="shared" si="55"/>
        <v/>
      </c>
      <c r="AW221" s="3294"/>
      <c r="AX221" s="3236"/>
      <c r="AY221" s="3244"/>
      <c r="AZ221" s="3295" t="s">
        <v>4454</v>
      </c>
      <c r="BA221" s="3296" t="str">
        <f t="shared" si="53"/>
        <v>签约</v>
      </c>
      <c r="BB221" s="3226"/>
      <c r="BC221" s="3226"/>
      <c r="BD221" s="3292"/>
      <c r="BE221" s="3297" t="s">
        <v>4367</v>
      </c>
      <c r="BG221" s="3297">
        <f>IFERROR(VLOOKUP(B221,[3]Sheet2!A$1:B$65536,2,FALSE),0)</f>
        <v>0</v>
      </c>
      <c r="BI221" s="3297">
        <f>IFERROR(VLOOKUP(B221,[3]Sheet2!A$1:C$65536,2,FALSE),0)</f>
        <v>0</v>
      </c>
      <c r="BJ221" s="3297">
        <f>IFERROR(VLOOKUP(B221,[3]Sheet2!A$1:C$65536,3,FALSE),0)</f>
        <v>0</v>
      </c>
    </row>
    <row r="222" spans="1:62" s="3261" customFormat="1" ht="20.25" customHeight="1">
      <c r="A222" s="3226">
        <v>220</v>
      </c>
      <c r="B222" s="3250" t="s">
        <v>4844</v>
      </c>
      <c r="C222" s="3227" t="s">
        <v>3333</v>
      </c>
      <c r="D222" s="3251" t="s">
        <v>3760</v>
      </c>
      <c r="E222" s="3229">
        <v>43786</v>
      </c>
      <c r="F222" s="3230">
        <v>20000</v>
      </c>
      <c r="G222" s="3231">
        <v>130.77000000000001</v>
      </c>
      <c r="H222" s="3231" t="str">
        <f t="shared" si="42"/>
        <v>普通住宅</v>
      </c>
      <c r="I222" s="3230">
        <v>1694611</v>
      </c>
      <c r="J222" s="3229">
        <v>43789</v>
      </c>
      <c r="K222" s="3284">
        <f t="shared" si="43"/>
        <v>11</v>
      </c>
      <c r="L222" s="3230">
        <v>1684611</v>
      </c>
      <c r="M222" s="3235">
        <f t="shared" si="44"/>
        <v>12882.243633860977</v>
      </c>
      <c r="N222" s="3236">
        <v>494611</v>
      </c>
      <c r="O222" s="3244">
        <f t="shared" si="45"/>
        <v>1684611</v>
      </c>
      <c r="P222" s="3244"/>
      <c r="Q222" s="3244"/>
      <c r="R222" s="3244">
        <f t="shared" si="46"/>
        <v>514611</v>
      </c>
      <c r="S222" s="3244">
        <f t="shared" si="47"/>
        <v>514611</v>
      </c>
      <c r="T222" s="3236"/>
      <c r="U222" s="3236"/>
      <c r="V222" s="3236">
        <v>1170000</v>
      </c>
      <c r="W222" s="3236"/>
      <c r="X222" s="3244">
        <f t="shared" si="48"/>
        <v>1684611</v>
      </c>
      <c r="Y222" s="3244">
        <f t="shared" si="49"/>
        <v>0</v>
      </c>
      <c r="Z222" s="3285">
        <f t="shared" si="50"/>
        <v>1</v>
      </c>
      <c r="AA222" s="3226" t="s">
        <v>3319</v>
      </c>
      <c r="AB222" s="3226" t="s">
        <v>4587</v>
      </c>
      <c r="AC222" s="3226" t="s">
        <v>4698</v>
      </c>
      <c r="AD222" s="3286" t="s">
        <v>4419</v>
      </c>
      <c r="AE222" s="3286" t="s">
        <v>4427</v>
      </c>
      <c r="AF222" s="3286"/>
      <c r="AG222" s="3323"/>
      <c r="AH222" s="3255">
        <v>43789</v>
      </c>
      <c r="AI222" s="3255">
        <v>43797</v>
      </c>
      <c r="AJ222" s="3255">
        <v>43833</v>
      </c>
      <c r="AK222" s="3287">
        <f t="shared" si="51"/>
        <v>2020</v>
      </c>
      <c r="AL222" s="3288">
        <f t="shared" si="52"/>
        <v>1</v>
      </c>
      <c r="AM222" s="3226" t="s">
        <v>4477</v>
      </c>
      <c r="AN222" s="3289">
        <v>1170000</v>
      </c>
      <c r="AO222" s="3300"/>
      <c r="AP222" s="3300"/>
      <c r="AQ222" s="3300"/>
      <c r="AR222" s="3292"/>
      <c r="AS222" s="3292"/>
      <c r="AT222" s="3292"/>
      <c r="AU222" s="3293" t="str">
        <f t="shared" si="54"/>
        <v/>
      </c>
      <c r="AV222" s="3293" t="str">
        <f t="shared" si="55"/>
        <v/>
      </c>
      <c r="AW222" s="3294"/>
      <c r="AX222" s="3236"/>
      <c r="AY222" s="3244"/>
      <c r="AZ222" s="3295" t="s">
        <v>4464</v>
      </c>
      <c r="BA222" s="3296" t="str">
        <f t="shared" si="53"/>
        <v>签约</v>
      </c>
      <c r="BB222" s="3226"/>
      <c r="BC222" s="3226"/>
      <c r="BD222" s="3292">
        <f>VLOOKUP(B222,[3]Sheet1!A$1:B$65536,2,0)</f>
        <v>43797</v>
      </c>
      <c r="BE222" s="3297" t="s">
        <v>4367</v>
      </c>
      <c r="BG222" s="3297">
        <f>IFERROR(VLOOKUP(B222,[3]Sheet2!A$1:B$65536,2,FALSE),0)</f>
        <v>0</v>
      </c>
      <c r="BI222" s="3297">
        <f>IFERROR(VLOOKUP(B222,[3]Sheet2!A$1:C$65536,2,FALSE),0)</f>
        <v>0</v>
      </c>
      <c r="BJ222" s="3297">
        <f>IFERROR(VLOOKUP(B222,[3]Sheet2!A$1:C$65536,3,FALSE),0)</f>
        <v>0</v>
      </c>
    </row>
    <row r="223" spans="1:62" s="3261" customFormat="1" ht="20.25" customHeight="1">
      <c r="A223" s="3226">
        <v>221</v>
      </c>
      <c r="B223" s="3250" t="s">
        <v>4845</v>
      </c>
      <c r="C223" s="3227" t="s">
        <v>3333</v>
      </c>
      <c r="D223" s="3251" t="s">
        <v>3762</v>
      </c>
      <c r="E223" s="3229">
        <v>43786</v>
      </c>
      <c r="F223" s="3230">
        <v>20000</v>
      </c>
      <c r="G223" s="3231">
        <v>130.77000000000001</v>
      </c>
      <c r="H223" s="3231" t="str">
        <f t="shared" si="42"/>
        <v>普通住宅</v>
      </c>
      <c r="I223" s="3230">
        <v>1755277</v>
      </c>
      <c r="J223" s="3229">
        <v>43790</v>
      </c>
      <c r="K223" s="3284">
        <f t="shared" si="43"/>
        <v>11</v>
      </c>
      <c r="L223" s="3230">
        <v>1735277</v>
      </c>
      <c r="M223" s="3235">
        <f t="shared" si="44"/>
        <v>13269.687237133898</v>
      </c>
      <c r="N223" s="3236">
        <v>515277</v>
      </c>
      <c r="O223" s="3244">
        <f t="shared" si="45"/>
        <v>1735277</v>
      </c>
      <c r="P223" s="3244"/>
      <c r="Q223" s="3244"/>
      <c r="R223" s="3244">
        <f t="shared" si="46"/>
        <v>535277</v>
      </c>
      <c r="S223" s="3244">
        <f t="shared" si="47"/>
        <v>535277</v>
      </c>
      <c r="T223" s="3236"/>
      <c r="U223" s="3236"/>
      <c r="V223" s="3236">
        <v>1200000</v>
      </c>
      <c r="W223" s="3236"/>
      <c r="X223" s="3244">
        <f t="shared" si="48"/>
        <v>1735277</v>
      </c>
      <c r="Y223" s="3244">
        <f t="shared" si="49"/>
        <v>0</v>
      </c>
      <c r="Z223" s="3285">
        <f t="shared" si="50"/>
        <v>1</v>
      </c>
      <c r="AA223" s="3226" t="s">
        <v>4416</v>
      </c>
      <c r="AB223" s="3226" t="s">
        <v>4417</v>
      </c>
      <c r="AC223" s="3226" t="s">
        <v>4418</v>
      </c>
      <c r="AD223" s="3286" t="s">
        <v>4419</v>
      </c>
      <c r="AE223" s="3286" t="s">
        <v>4427</v>
      </c>
      <c r="AF223" s="3286"/>
      <c r="AG223" s="3323"/>
      <c r="AH223" s="3255">
        <v>43797</v>
      </c>
      <c r="AI223" s="3255">
        <v>43797</v>
      </c>
      <c r="AJ223" s="3255">
        <v>43832</v>
      </c>
      <c r="AK223" s="3287">
        <f t="shared" si="51"/>
        <v>2020</v>
      </c>
      <c r="AL223" s="3288">
        <f t="shared" si="52"/>
        <v>1</v>
      </c>
      <c r="AM223" s="3226" t="s">
        <v>4440</v>
      </c>
      <c r="AN223" s="3289">
        <v>1200000</v>
      </c>
      <c r="AO223" s="3300"/>
      <c r="AP223" s="3300"/>
      <c r="AQ223" s="3300"/>
      <c r="AR223" s="3292"/>
      <c r="AS223" s="3292"/>
      <c r="AT223" s="3292"/>
      <c r="AU223" s="3293" t="str">
        <f t="shared" si="54"/>
        <v/>
      </c>
      <c r="AV223" s="3293" t="str">
        <f t="shared" si="55"/>
        <v/>
      </c>
      <c r="AW223" s="3294"/>
      <c r="AX223" s="3236"/>
      <c r="AY223" s="3244"/>
      <c r="AZ223" s="3295" t="s">
        <v>4422</v>
      </c>
      <c r="BA223" s="3296" t="str">
        <f t="shared" si="53"/>
        <v>签约</v>
      </c>
      <c r="BB223" s="3226"/>
      <c r="BC223" s="3226"/>
      <c r="BD223" s="3292">
        <v>43822</v>
      </c>
      <c r="BE223" s="3297" t="s">
        <v>4367</v>
      </c>
      <c r="BG223" s="3297">
        <f>IFERROR(VLOOKUP(B223,[3]Sheet2!A$1:B$65536,2,FALSE),0)</f>
        <v>0</v>
      </c>
      <c r="BI223" s="3297">
        <f>IFERROR(VLOOKUP(B223,[3]Sheet2!A$1:C$65536,2,FALSE),0)</f>
        <v>0</v>
      </c>
      <c r="BJ223" s="3297">
        <f>IFERROR(VLOOKUP(B223,[3]Sheet2!A$1:C$65536,3,FALSE),0)</f>
        <v>0</v>
      </c>
    </row>
    <row r="224" spans="1:62" s="3261" customFormat="1" ht="20.25" customHeight="1">
      <c r="A224" s="3226">
        <v>222</v>
      </c>
      <c r="B224" s="3250" t="s">
        <v>4846</v>
      </c>
      <c r="C224" s="3227" t="s">
        <v>3333</v>
      </c>
      <c r="D224" s="3251" t="s">
        <v>3764</v>
      </c>
      <c r="E224" s="3229">
        <v>43835</v>
      </c>
      <c r="F224" s="3230">
        <v>50000</v>
      </c>
      <c r="G224" s="3231">
        <v>130.77000000000001</v>
      </c>
      <c r="H224" s="3231" t="str">
        <f t="shared" si="42"/>
        <v>普通住宅</v>
      </c>
      <c r="I224" s="3230">
        <v>1795722</v>
      </c>
      <c r="J224" s="3229">
        <v>43889</v>
      </c>
      <c r="K224" s="3284">
        <f t="shared" si="43"/>
        <v>2</v>
      </c>
      <c r="L224" s="3230">
        <v>1795722</v>
      </c>
      <c r="M224" s="3235">
        <f t="shared" si="44"/>
        <v>13731.910988758889</v>
      </c>
      <c r="N224" s="3236">
        <f>250000+495722+100000</f>
        <v>845722</v>
      </c>
      <c r="O224" s="3244">
        <f t="shared" si="45"/>
        <v>1795722</v>
      </c>
      <c r="P224" s="3244"/>
      <c r="Q224" s="3244"/>
      <c r="R224" s="3244">
        <f t="shared" si="46"/>
        <v>895722</v>
      </c>
      <c r="S224" s="3244">
        <f t="shared" si="47"/>
        <v>895722</v>
      </c>
      <c r="T224" s="3236"/>
      <c r="U224" s="3236"/>
      <c r="V224" s="3236">
        <v>900000</v>
      </c>
      <c r="W224" s="3236"/>
      <c r="X224" s="3244">
        <f t="shared" si="48"/>
        <v>1795722</v>
      </c>
      <c r="Y224" s="3244">
        <f t="shared" si="49"/>
        <v>0</v>
      </c>
      <c r="Z224" s="3285">
        <f t="shared" si="50"/>
        <v>1</v>
      </c>
      <c r="AA224" s="3226" t="s">
        <v>3319</v>
      </c>
      <c r="AB224" s="3226" t="s">
        <v>4587</v>
      </c>
      <c r="AC224" s="3226" t="s">
        <v>4698</v>
      </c>
      <c r="AD224" s="3286" t="s">
        <v>4539</v>
      </c>
      <c r="AE224" s="3286" t="s">
        <v>4427</v>
      </c>
      <c r="AF224" s="3286"/>
      <c r="AG224" s="3323"/>
      <c r="AH224" s="3255">
        <v>43903</v>
      </c>
      <c r="AI224" s="3255">
        <v>43903</v>
      </c>
      <c r="AJ224" s="3255">
        <v>43915</v>
      </c>
      <c r="AK224" s="3287">
        <f t="shared" si="51"/>
        <v>2020</v>
      </c>
      <c r="AL224" s="3288">
        <f t="shared" si="52"/>
        <v>3</v>
      </c>
      <c r="AM224" s="3226" t="s">
        <v>4477</v>
      </c>
      <c r="AN224" s="3289">
        <v>900000</v>
      </c>
      <c r="AO224" s="3300"/>
      <c r="AP224" s="3300"/>
      <c r="AQ224" s="3300"/>
      <c r="AR224" s="3292"/>
      <c r="AS224" s="3292"/>
      <c r="AT224" s="3292"/>
      <c r="AU224" s="3293" t="str">
        <f t="shared" si="54"/>
        <v/>
      </c>
      <c r="AV224" s="3293" t="str">
        <f t="shared" si="55"/>
        <v/>
      </c>
      <c r="AW224" s="3294"/>
      <c r="AX224" s="3236"/>
      <c r="AY224" s="3244"/>
      <c r="AZ224" s="3295" t="s">
        <v>4741</v>
      </c>
      <c r="BA224" s="3296" t="str">
        <f t="shared" si="53"/>
        <v>签约</v>
      </c>
      <c r="BB224" s="3226"/>
      <c r="BC224" s="3226"/>
      <c r="BD224" s="3292"/>
      <c r="BE224" s="3297" t="s">
        <v>4465</v>
      </c>
      <c r="BG224" s="3297">
        <f>IFERROR(VLOOKUP(B224,[3]Sheet2!A$1:B$65536,2,FALSE),0)</f>
        <v>0</v>
      </c>
      <c r="BI224" s="3297">
        <f>IFERROR(VLOOKUP(B224,[3]Sheet2!A$1:C$65536,2,FALSE),0)</f>
        <v>0</v>
      </c>
      <c r="BJ224" s="3297">
        <f>IFERROR(VLOOKUP(B224,[3]Sheet2!A$1:C$65536,3,FALSE),0)</f>
        <v>0</v>
      </c>
    </row>
    <row r="225" spans="1:62" s="3261" customFormat="1" ht="20.25" customHeight="1">
      <c r="A225" s="3226">
        <v>223</v>
      </c>
      <c r="B225" s="3250" t="s">
        <v>4847</v>
      </c>
      <c r="C225" s="3227" t="s">
        <v>3333</v>
      </c>
      <c r="D225" s="3251" t="s">
        <v>3766</v>
      </c>
      <c r="E225" s="3229">
        <v>43799</v>
      </c>
      <c r="F225" s="3230">
        <v>50000</v>
      </c>
      <c r="G225" s="3231">
        <v>130.77000000000001</v>
      </c>
      <c r="H225" s="3231" t="str">
        <f t="shared" si="42"/>
        <v>普通住宅</v>
      </c>
      <c r="I225" s="3230">
        <v>1829425</v>
      </c>
      <c r="J225" s="3229">
        <v>43802</v>
      </c>
      <c r="K225" s="3284">
        <f t="shared" si="43"/>
        <v>12</v>
      </c>
      <c r="L225" s="3230">
        <v>1809425</v>
      </c>
      <c r="M225" s="3235">
        <f t="shared" si="44"/>
        <v>13836.698019423415</v>
      </c>
      <c r="N225" s="3236">
        <f>499425+630000</f>
        <v>1129425</v>
      </c>
      <c r="O225" s="3244">
        <f t="shared" si="45"/>
        <v>1809425</v>
      </c>
      <c r="P225" s="3244"/>
      <c r="Q225" s="3244"/>
      <c r="R225" s="3244">
        <f t="shared" si="46"/>
        <v>1179425</v>
      </c>
      <c r="S225" s="3244">
        <f t="shared" si="47"/>
        <v>1179425</v>
      </c>
      <c r="T225" s="3236"/>
      <c r="U225" s="3236"/>
      <c r="V225" s="3236">
        <v>630000</v>
      </c>
      <c r="W225" s="3236"/>
      <c r="X225" s="3244">
        <f t="shared" si="48"/>
        <v>1809425</v>
      </c>
      <c r="Y225" s="3244">
        <f t="shared" si="49"/>
        <v>0</v>
      </c>
      <c r="Z225" s="3285">
        <f t="shared" si="50"/>
        <v>1</v>
      </c>
      <c r="AA225" s="3226" t="s">
        <v>4416</v>
      </c>
      <c r="AB225" s="3226" t="s">
        <v>4417</v>
      </c>
      <c r="AC225" s="3226" t="s">
        <v>4418</v>
      </c>
      <c r="AD225" s="3286" t="s">
        <v>4539</v>
      </c>
      <c r="AE225" s="3286" t="s">
        <v>4427</v>
      </c>
      <c r="AF225" s="3324"/>
      <c r="AG225" s="3323"/>
      <c r="AH225" s="3255">
        <v>43801</v>
      </c>
      <c r="AI225" s="3255">
        <v>43812</v>
      </c>
      <c r="AJ225" s="3255">
        <v>43833</v>
      </c>
      <c r="AK225" s="3287">
        <f t="shared" si="51"/>
        <v>2020</v>
      </c>
      <c r="AL225" s="3288">
        <f t="shared" si="52"/>
        <v>1</v>
      </c>
      <c r="AM225" s="3226" t="s">
        <v>4739</v>
      </c>
      <c r="AN225" s="3289">
        <v>630000</v>
      </c>
      <c r="AO225" s="3300"/>
      <c r="AP225" s="3300"/>
      <c r="AQ225" s="3300"/>
      <c r="AR225" s="3292"/>
      <c r="AS225" s="3292"/>
      <c r="AT225" s="3292"/>
      <c r="AU225" s="3293" t="str">
        <f t="shared" si="54"/>
        <v/>
      </c>
      <c r="AV225" s="3293" t="str">
        <f t="shared" si="55"/>
        <v/>
      </c>
      <c r="AW225" s="3294"/>
      <c r="AX225" s="3236"/>
      <c r="AY225" s="3244"/>
      <c r="AZ225" s="3295" t="s">
        <v>4454</v>
      </c>
      <c r="BA225" s="3296" t="str">
        <f t="shared" si="53"/>
        <v>签约</v>
      </c>
      <c r="BB225" s="3226"/>
      <c r="BC225" s="3226"/>
      <c r="BD225" s="3292">
        <f>VLOOKUP(B225,[3]Sheet1!A$1:B$65536,2,0)</f>
        <v>43812</v>
      </c>
      <c r="BE225" s="3297" t="s">
        <v>4449</v>
      </c>
      <c r="BG225" s="3297">
        <f>IFERROR(VLOOKUP(B225,[3]Sheet2!A$1:B$65536,2,FALSE),0)</f>
        <v>0</v>
      </c>
      <c r="BI225" s="3297">
        <f>IFERROR(VLOOKUP(B225,[3]Sheet2!A$1:C$65536,2,FALSE),0)</f>
        <v>0</v>
      </c>
      <c r="BJ225" s="3297">
        <f>IFERROR(VLOOKUP(B225,[3]Sheet2!A$1:C$65536,3,FALSE),0)</f>
        <v>0</v>
      </c>
    </row>
    <row r="226" spans="1:62" s="3261" customFormat="1" ht="20.25" customHeight="1">
      <c r="A226" s="3226">
        <v>224</v>
      </c>
      <c r="B226" s="3250" t="s">
        <v>4848</v>
      </c>
      <c r="C226" s="3227" t="s">
        <v>3333</v>
      </c>
      <c r="D226" s="3251" t="s">
        <v>3768</v>
      </c>
      <c r="E226" s="3229">
        <v>43816</v>
      </c>
      <c r="F226" s="3230">
        <v>50000</v>
      </c>
      <c r="G226" s="3231">
        <v>130.77000000000001</v>
      </c>
      <c r="H226" s="3231" t="str">
        <f t="shared" si="42"/>
        <v>普通住宅</v>
      </c>
      <c r="I226" s="3230">
        <v>1836166</v>
      </c>
      <c r="J226" s="3229">
        <v>43819</v>
      </c>
      <c r="K226" s="3284">
        <f t="shared" si="43"/>
        <v>12</v>
      </c>
      <c r="L226" s="3230">
        <v>1816166</v>
      </c>
      <c r="M226" s="3235">
        <f t="shared" si="44"/>
        <v>13888.246539726235</v>
      </c>
      <c r="N226" s="3236">
        <v>866166</v>
      </c>
      <c r="O226" s="3244">
        <f t="shared" si="45"/>
        <v>1816166</v>
      </c>
      <c r="P226" s="3244"/>
      <c r="Q226" s="3244"/>
      <c r="R226" s="3244">
        <f t="shared" si="46"/>
        <v>916166</v>
      </c>
      <c r="S226" s="3244">
        <f t="shared" si="47"/>
        <v>916166</v>
      </c>
      <c r="T226" s="3236"/>
      <c r="U226" s="3236"/>
      <c r="V226" s="3236">
        <v>900000</v>
      </c>
      <c r="W226" s="3236"/>
      <c r="X226" s="3244">
        <f t="shared" si="48"/>
        <v>1816166</v>
      </c>
      <c r="Y226" s="3244">
        <f t="shared" si="49"/>
        <v>0</v>
      </c>
      <c r="Z226" s="3285">
        <f t="shared" si="50"/>
        <v>1</v>
      </c>
      <c r="AA226" s="3226" t="s">
        <v>4416</v>
      </c>
      <c r="AB226" s="3226" t="s">
        <v>4417</v>
      </c>
      <c r="AC226" s="3226" t="s">
        <v>4418</v>
      </c>
      <c r="AD226" s="3286" t="s">
        <v>4539</v>
      </c>
      <c r="AE226" s="3286" t="s">
        <v>4427</v>
      </c>
      <c r="AF226" s="3286"/>
      <c r="AG226" s="3323"/>
      <c r="AH226" s="3255">
        <v>43819</v>
      </c>
      <c r="AI226" s="3255">
        <v>43819</v>
      </c>
      <c r="AJ226" s="3255">
        <v>43866</v>
      </c>
      <c r="AK226" s="3287">
        <f t="shared" si="51"/>
        <v>2020</v>
      </c>
      <c r="AL226" s="3288">
        <f t="shared" si="52"/>
        <v>2</v>
      </c>
      <c r="AM226" s="3226" t="s">
        <v>4701</v>
      </c>
      <c r="AN226" s="3289">
        <v>900000</v>
      </c>
      <c r="AO226" s="3300"/>
      <c r="AP226" s="3300"/>
      <c r="AQ226" s="3300"/>
      <c r="AR226" s="3292"/>
      <c r="AS226" s="3292"/>
      <c r="AT226" s="3292"/>
      <c r="AU226" s="3293" t="str">
        <f t="shared" si="54"/>
        <v/>
      </c>
      <c r="AV226" s="3293" t="str">
        <f t="shared" si="55"/>
        <v/>
      </c>
      <c r="AW226" s="3294"/>
      <c r="AX226" s="3236"/>
      <c r="AY226" s="3244"/>
      <c r="AZ226" s="3295" t="s">
        <v>4445</v>
      </c>
      <c r="BA226" s="3296" t="str">
        <f t="shared" si="53"/>
        <v>签约</v>
      </c>
      <c r="BB226" s="3226"/>
      <c r="BC226" s="3226"/>
      <c r="BD226" s="3292"/>
      <c r="BE226" s="3297" t="s">
        <v>4367</v>
      </c>
      <c r="BG226" s="3297">
        <f>IFERROR(VLOOKUP(B226,[3]Sheet2!A$1:B$65536,2,FALSE),0)</f>
        <v>0</v>
      </c>
      <c r="BI226" s="3297">
        <f>IFERROR(VLOOKUP(B226,[3]Sheet2!A$1:C$65536,2,FALSE),0)</f>
        <v>0</v>
      </c>
      <c r="BJ226" s="3297">
        <f>IFERROR(VLOOKUP(B226,[3]Sheet2!A$1:C$65536,3,FALSE),0)</f>
        <v>0</v>
      </c>
    </row>
    <row r="227" spans="1:62" s="3261" customFormat="1" ht="20.25" customHeight="1">
      <c r="A227" s="3226">
        <v>225</v>
      </c>
      <c r="B227" s="3250" t="s">
        <v>4849</v>
      </c>
      <c r="C227" s="3227" t="s">
        <v>3333</v>
      </c>
      <c r="D227" s="3251" t="s">
        <v>3770</v>
      </c>
      <c r="E227" s="3229">
        <v>43789</v>
      </c>
      <c r="F227" s="3230">
        <v>20000</v>
      </c>
      <c r="G227" s="3231">
        <v>130.77000000000001</v>
      </c>
      <c r="H227" s="3231" t="str">
        <f t="shared" si="42"/>
        <v>普通住宅</v>
      </c>
      <c r="I227" s="3230">
        <v>1842907</v>
      </c>
      <c r="J227" s="3229">
        <v>43800</v>
      </c>
      <c r="K227" s="3284">
        <f t="shared" si="43"/>
        <v>12</v>
      </c>
      <c r="L227" s="3230">
        <v>1817907</v>
      </c>
      <c r="M227" s="3235">
        <f t="shared" si="44"/>
        <v>13901.559990823582</v>
      </c>
      <c r="N227" s="3236">
        <v>527907</v>
      </c>
      <c r="O227" s="3244">
        <f t="shared" si="45"/>
        <v>1817907</v>
      </c>
      <c r="P227" s="3244"/>
      <c r="Q227" s="3244"/>
      <c r="R227" s="3244">
        <f t="shared" si="46"/>
        <v>547907</v>
      </c>
      <c r="S227" s="3244">
        <f t="shared" si="47"/>
        <v>547907</v>
      </c>
      <c r="T227" s="3236"/>
      <c r="U227" s="3236"/>
      <c r="V227" s="3236">
        <v>1270000</v>
      </c>
      <c r="W227" s="3236"/>
      <c r="X227" s="3244">
        <f t="shared" si="48"/>
        <v>1817907</v>
      </c>
      <c r="Y227" s="3244">
        <f t="shared" si="49"/>
        <v>0</v>
      </c>
      <c r="Z227" s="3285">
        <f t="shared" si="50"/>
        <v>1</v>
      </c>
      <c r="AA227" s="3226" t="s">
        <v>4416</v>
      </c>
      <c r="AB227" s="3226" t="s">
        <v>4417</v>
      </c>
      <c r="AC227" s="3226" t="s">
        <v>4418</v>
      </c>
      <c r="AD227" s="3286" t="s">
        <v>4539</v>
      </c>
      <c r="AE227" s="3286" t="s">
        <v>4427</v>
      </c>
      <c r="AF227" s="3286"/>
      <c r="AG227" s="3323"/>
      <c r="AH227" s="3255">
        <v>43800</v>
      </c>
      <c r="AI227" s="3255">
        <v>43810</v>
      </c>
      <c r="AJ227" s="3255">
        <v>43838</v>
      </c>
      <c r="AK227" s="3287">
        <f t="shared" si="51"/>
        <v>2020</v>
      </c>
      <c r="AL227" s="3288">
        <f t="shared" si="52"/>
        <v>1</v>
      </c>
      <c r="AM227" s="3226" t="s">
        <v>4433</v>
      </c>
      <c r="AN227" s="3289">
        <v>1270000</v>
      </c>
      <c r="AO227" s="3300"/>
      <c r="AP227" s="3300"/>
      <c r="AQ227" s="3300"/>
      <c r="AR227" s="3292"/>
      <c r="AS227" s="3292"/>
      <c r="AT227" s="3292"/>
      <c r="AU227" s="3293" t="str">
        <f t="shared" si="54"/>
        <v/>
      </c>
      <c r="AV227" s="3293" t="str">
        <f t="shared" si="55"/>
        <v/>
      </c>
      <c r="AW227" s="3294"/>
      <c r="AX227" s="3236"/>
      <c r="AY227" s="3244"/>
      <c r="AZ227" s="3295" t="s">
        <v>4429</v>
      </c>
      <c r="BA227" s="3296" t="str">
        <f t="shared" si="53"/>
        <v>签约</v>
      </c>
      <c r="BB227" s="3226"/>
      <c r="BC227" s="3226"/>
      <c r="BD227" s="3292">
        <f>VLOOKUP(B227,[3]Sheet1!A$1:B$65536,2,0)</f>
        <v>43805</v>
      </c>
      <c r="BE227" s="3297" t="s">
        <v>4424</v>
      </c>
      <c r="BG227" s="3297">
        <f>IFERROR(VLOOKUP(B227,[3]Sheet2!A$1:B$65536,2,FALSE),0)</f>
        <v>0</v>
      </c>
      <c r="BI227" s="3297">
        <f>IFERROR(VLOOKUP(B227,[3]Sheet2!A$1:C$65536,2,FALSE),0)</f>
        <v>0</v>
      </c>
      <c r="BJ227" s="3297">
        <f>IFERROR(VLOOKUP(B227,[3]Sheet2!A$1:C$65536,3,FALSE),0)</f>
        <v>0</v>
      </c>
    </row>
    <row r="228" spans="1:62" s="3261" customFormat="1" ht="20.25" customHeight="1">
      <c r="A228" s="3226">
        <v>226</v>
      </c>
      <c r="B228" s="3250" t="s">
        <v>4850</v>
      </c>
      <c r="C228" s="3227" t="s">
        <v>3333</v>
      </c>
      <c r="D228" s="3251" t="s">
        <v>3772</v>
      </c>
      <c r="E228" s="3229">
        <v>43800</v>
      </c>
      <c r="F228" s="3230">
        <f>25000+25000</f>
        <v>50000</v>
      </c>
      <c r="G228" s="3231">
        <v>130.77000000000001</v>
      </c>
      <c r="H228" s="3231" t="str">
        <f t="shared" si="42"/>
        <v>普通住宅</v>
      </c>
      <c r="I228" s="3230">
        <v>1849647</v>
      </c>
      <c r="J228" s="3229">
        <v>43803</v>
      </c>
      <c r="K228" s="3284">
        <f t="shared" si="43"/>
        <v>12</v>
      </c>
      <c r="L228" s="3230">
        <v>1849647</v>
      </c>
      <c r="M228" s="3235">
        <f t="shared" si="44"/>
        <v>14144.276210139938</v>
      </c>
      <c r="N228" s="3236">
        <v>799647</v>
      </c>
      <c r="O228" s="3244">
        <f t="shared" si="45"/>
        <v>1849647</v>
      </c>
      <c r="P228" s="3244"/>
      <c r="Q228" s="3244"/>
      <c r="R228" s="3244">
        <f t="shared" si="46"/>
        <v>849647</v>
      </c>
      <c r="S228" s="3244">
        <f t="shared" si="47"/>
        <v>849647</v>
      </c>
      <c r="T228" s="3236"/>
      <c r="U228" s="3236"/>
      <c r="V228" s="3236">
        <v>700000</v>
      </c>
      <c r="W228" s="3236">
        <v>300000</v>
      </c>
      <c r="X228" s="3244">
        <f t="shared" si="48"/>
        <v>1849647</v>
      </c>
      <c r="Y228" s="3244">
        <f t="shared" si="49"/>
        <v>0</v>
      </c>
      <c r="Z228" s="3285">
        <f t="shared" si="50"/>
        <v>1</v>
      </c>
      <c r="AA228" s="3226" t="s">
        <v>4416</v>
      </c>
      <c r="AB228" s="3226" t="s">
        <v>4417</v>
      </c>
      <c r="AC228" s="3226" t="s">
        <v>4452</v>
      </c>
      <c r="AD228" s="3286" t="s">
        <v>4539</v>
      </c>
      <c r="AE228" s="3286" t="s">
        <v>4427</v>
      </c>
      <c r="AF228" s="3286"/>
      <c r="AG228" s="3323"/>
      <c r="AH228" s="3255">
        <v>43812</v>
      </c>
      <c r="AI228" s="3255">
        <v>43812</v>
      </c>
      <c r="AJ228" s="3255">
        <v>43833</v>
      </c>
      <c r="AK228" s="3287">
        <f t="shared" si="51"/>
        <v>2020</v>
      </c>
      <c r="AL228" s="3288">
        <f t="shared" si="52"/>
        <v>1</v>
      </c>
      <c r="AM228" s="3226" t="s">
        <v>4739</v>
      </c>
      <c r="AN228" s="3289">
        <v>700000</v>
      </c>
      <c r="AO228" s="3300" t="s">
        <v>4539</v>
      </c>
      <c r="AP228" s="3300" t="s">
        <v>4427</v>
      </c>
      <c r="AQ228" s="3300"/>
      <c r="AR228" s="3292">
        <v>43812</v>
      </c>
      <c r="AS228" s="3292">
        <v>43812</v>
      </c>
      <c r="AT228" s="3292">
        <v>43915</v>
      </c>
      <c r="AU228" s="3293">
        <f t="shared" si="54"/>
        <v>2020</v>
      </c>
      <c r="AV228" s="3293">
        <f t="shared" si="55"/>
        <v>3</v>
      </c>
      <c r="AW228" s="3294" t="s">
        <v>4657</v>
      </c>
      <c r="AX228" s="3236">
        <v>300000</v>
      </c>
      <c r="AY228" s="3244"/>
      <c r="AZ228" s="3295" t="s">
        <v>4454</v>
      </c>
      <c r="BA228" s="3296" t="str">
        <f t="shared" si="53"/>
        <v>签约</v>
      </c>
      <c r="BB228" s="3226"/>
      <c r="BC228" s="3226"/>
      <c r="BD228" s="3292">
        <f>VLOOKUP(B228,[3]Sheet1!A$1:B$65536,2,0)</f>
        <v>43805</v>
      </c>
      <c r="BE228" s="3297" t="s">
        <v>4367</v>
      </c>
      <c r="BG228" s="3297">
        <f>IFERROR(VLOOKUP(B228,[3]Sheet2!A$1:B$65536,2,FALSE),0)</f>
        <v>0</v>
      </c>
      <c r="BI228" s="3297">
        <f>IFERROR(VLOOKUP(B228,[3]Sheet2!A$1:C$65536,2,FALSE),0)</f>
        <v>0</v>
      </c>
      <c r="BJ228" s="3297">
        <f>IFERROR(VLOOKUP(B228,[3]Sheet2!A$1:C$65536,3,FALSE),0)</f>
        <v>0</v>
      </c>
    </row>
    <row r="229" spans="1:62" s="3261" customFormat="1" ht="20.25" customHeight="1">
      <c r="A229" s="3226">
        <v>227</v>
      </c>
      <c r="B229" s="3250" t="s">
        <v>4851</v>
      </c>
      <c r="C229" s="3227" t="s">
        <v>3333</v>
      </c>
      <c r="D229" s="3252" t="s">
        <v>4852</v>
      </c>
      <c r="E229" s="3229">
        <v>43769</v>
      </c>
      <c r="F229" s="3230">
        <v>20000</v>
      </c>
      <c r="G229" s="3231">
        <v>130.77000000000001</v>
      </c>
      <c r="H229" s="3231" t="str">
        <f t="shared" si="42"/>
        <v>普通住宅</v>
      </c>
      <c r="I229" s="3230">
        <v>1856388</v>
      </c>
      <c r="J229" s="3229">
        <v>43775</v>
      </c>
      <c r="K229" s="3284">
        <f t="shared" si="43"/>
        <v>11</v>
      </c>
      <c r="L229" s="3230">
        <v>1831388</v>
      </c>
      <c r="M229" s="3235">
        <f t="shared" si="44"/>
        <v>14004.649384415385</v>
      </c>
      <c r="N229" s="3236">
        <v>531388</v>
      </c>
      <c r="O229" s="3244">
        <f t="shared" si="45"/>
        <v>1831388</v>
      </c>
      <c r="P229" s="3244"/>
      <c r="Q229" s="3244"/>
      <c r="R229" s="3244">
        <f t="shared" si="46"/>
        <v>551388</v>
      </c>
      <c r="S229" s="3244">
        <f t="shared" si="47"/>
        <v>551388</v>
      </c>
      <c r="T229" s="3236"/>
      <c r="U229" s="3236"/>
      <c r="V229" s="3236">
        <v>1280000</v>
      </c>
      <c r="W229" s="3236"/>
      <c r="X229" s="3244">
        <f t="shared" si="48"/>
        <v>1831388</v>
      </c>
      <c r="Y229" s="3244">
        <f t="shared" si="49"/>
        <v>0</v>
      </c>
      <c r="Z229" s="3285">
        <f t="shared" si="50"/>
        <v>1</v>
      </c>
      <c r="AA229" s="3226" t="s">
        <v>4416</v>
      </c>
      <c r="AB229" s="3226" t="s">
        <v>4417</v>
      </c>
      <c r="AC229" s="3226" t="s">
        <v>4418</v>
      </c>
      <c r="AD229" s="3286" t="s">
        <v>4419</v>
      </c>
      <c r="AE229" s="3286" t="s">
        <v>4427</v>
      </c>
      <c r="AF229" s="3286"/>
      <c r="AG229" s="3323"/>
      <c r="AH229" s="3255">
        <v>43775</v>
      </c>
      <c r="AI229" s="3255">
        <v>43775</v>
      </c>
      <c r="AJ229" s="3255">
        <v>43789</v>
      </c>
      <c r="AK229" s="3287">
        <f t="shared" si="51"/>
        <v>2019</v>
      </c>
      <c r="AL229" s="3288">
        <f t="shared" si="52"/>
        <v>11</v>
      </c>
      <c r="AM229" s="3226" t="s">
        <v>4579</v>
      </c>
      <c r="AN229" s="3289">
        <v>1280000</v>
      </c>
      <c r="AO229" s="3300"/>
      <c r="AP229" s="3300"/>
      <c r="AQ229" s="3300"/>
      <c r="AR229" s="3292"/>
      <c r="AS229" s="3292"/>
      <c r="AT229" s="3292"/>
      <c r="AU229" s="3293" t="str">
        <f t="shared" si="54"/>
        <v/>
      </c>
      <c r="AV229" s="3293" t="str">
        <f t="shared" si="55"/>
        <v/>
      </c>
      <c r="AW229" s="3294"/>
      <c r="AX229" s="3236"/>
      <c r="AY229" s="3244"/>
      <c r="AZ229" s="3295" t="s">
        <v>4429</v>
      </c>
      <c r="BA229" s="3296" t="str">
        <f t="shared" si="53"/>
        <v>签约</v>
      </c>
      <c r="BB229" s="3226"/>
      <c r="BC229" s="3226" t="s">
        <v>4430</v>
      </c>
      <c r="BD229" s="3292">
        <f>VLOOKUP(B229,[3]Sheet1!A$1:B$65536,2,0)</f>
        <v>43777</v>
      </c>
      <c r="BE229" s="3297" t="s">
        <v>4367</v>
      </c>
      <c r="BG229" s="3297">
        <f>IFERROR(VLOOKUP(B229,[3]Sheet2!A$1:B$65536,2,FALSE),0)</f>
        <v>0</v>
      </c>
      <c r="BI229" s="3297">
        <f>IFERROR(VLOOKUP(B229,[3]Sheet2!A$1:C$65536,2,FALSE),0)</f>
        <v>0</v>
      </c>
      <c r="BJ229" s="3297">
        <f>IFERROR(VLOOKUP(B229,[3]Sheet2!A$1:C$65536,3,FALSE),0)</f>
        <v>0</v>
      </c>
    </row>
    <row r="230" spans="1:62" s="3261" customFormat="1" ht="20.25" customHeight="1">
      <c r="A230" s="3226">
        <v>228</v>
      </c>
      <c r="B230" s="3250" t="s">
        <v>4853</v>
      </c>
      <c r="C230" s="3227" t="s">
        <v>3333</v>
      </c>
      <c r="D230" s="3252" t="s">
        <v>4854</v>
      </c>
      <c r="E230" s="3229">
        <v>43779</v>
      </c>
      <c r="F230" s="3230">
        <v>20000</v>
      </c>
      <c r="G230" s="3231">
        <v>130.77000000000001</v>
      </c>
      <c r="H230" s="3231" t="str">
        <f t="shared" si="42"/>
        <v>普通住宅</v>
      </c>
      <c r="I230" s="3230">
        <v>1863129</v>
      </c>
      <c r="J230" s="3229">
        <v>43788</v>
      </c>
      <c r="K230" s="3284">
        <f t="shared" si="43"/>
        <v>11</v>
      </c>
      <c r="L230" s="3230">
        <v>1853129</v>
      </c>
      <c r="M230" s="3235">
        <f t="shared" si="44"/>
        <v>14170.903112334632</v>
      </c>
      <c r="N230" s="3236">
        <v>543129</v>
      </c>
      <c r="O230" s="3244">
        <f t="shared" si="45"/>
        <v>1853129</v>
      </c>
      <c r="P230" s="3244"/>
      <c r="Q230" s="3244"/>
      <c r="R230" s="3244">
        <f t="shared" si="46"/>
        <v>563129</v>
      </c>
      <c r="S230" s="3244">
        <f t="shared" si="47"/>
        <v>563129</v>
      </c>
      <c r="T230" s="3236"/>
      <c r="U230" s="3236"/>
      <c r="V230" s="3236">
        <v>690000</v>
      </c>
      <c r="W230" s="3236">
        <v>600000</v>
      </c>
      <c r="X230" s="3244">
        <f t="shared" si="48"/>
        <v>1853129</v>
      </c>
      <c r="Y230" s="3244">
        <f t="shared" si="49"/>
        <v>0</v>
      </c>
      <c r="Z230" s="3285">
        <f t="shared" si="50"/>
        <v>1</v>
      </c>
      <c r="AA230" s="3226" t="s">
        <v>3319</v>
      </c>
      <c r="AB230" s="3226" t="s">
        <v>4587</v>
      </c>
      <c r="AC230" s="3226" t="s">
        <v>4452</v>
      </c>
      <c r="AD230" s="3286" t="s">
        <v>4539</v>
      </c>
      <c r="AE230" s="3286" t="s">
        <v>4427</v>
      </c>
      <c r="AF230" s="3286"/>
      <c r="AG230" s="3323"/>
      <c r="AH230" s="3255">
        <v>43790</v>
      </c>
      <c r="AI230" s="3255">
        <v>43790</v>
      </c>
      <c r="AJ230" s="3255">
        <v>43808</v>
      </c>
      <c r="AK230" s="3287">
        <f t="shared" si="51"/>
        <v>2019</v>
      </c>
      <c r="AL230" s="3288">
        <f t="shared" si="52"/>
        <v>12</v>
      </c>
      <c r="AM230" s="3226" t="s">
        <v>4739</v>
      </c>
      <c r="AN230" s="3289">
        <v>690000</v>
      </c>
      <c r="AO230" s="3300" t="s">
        <v>4539</v>
      </c>
      <c r="AP230" s="3300" t="s">
        <v>4427</v>
      </c>
      <c r="AQ230" s="3300"/>
      <c r="AR230" s="3292">
        <v>43790</v>
      </c>
      <c r="AS230" s="3292">
        <v>43790</v>
      </c>
      <c r="AT230" s="3292">
        <v>43889</v>
      </c>
      <c r="AU230" s="3293">
        <f t="shared" si="54"/>
        <v>2020</v>
      </c>
      <c r="AV230" s="3293">
        <f t="shared" si="55"/>
        <v>2</v>
      </c>
      <c r="AW230" s="3294" t="s">
        <v>4657</v>
      </c>
      <c r="AX230" s="3236">
        <v>600000</v>
      </c>
      <c r="AY230" s="3244"/>
      <c r="AZ230" s="3295" t="s">
        <v>4437</v>
      </c>
      <c r="BA230" s="3296" t="str">
        <f t="shared" si="53"/>
        <v>签约</v>
      </c>
      <c r="BB230" s="3226"/>
      <c r="BC230" s="3226"/>
      <c r="BD230" s="3292">
        <f>VLOOKUP(B230,[3]Sheet1!A$1:B$65536,2,0)</f>
        <v>43788</v>
      </c>
      <c r="BE230" s="3297" t="s">
        <v>4696</v>
      </c>
      <c r="BG230" s="3297">
        <f>IFERROR(VLOOKUP(B230,[3]Sheet2!A$1:B$65536,2,FALSE),0)</f>
        <v>0</v>
      </c>
      <c r="BI230" s="3297">
        <f>IFERROR(VLOOKUP(B230,[3]Sheet2!A$1:C$65536,2,FALSE),0)</f>
        <v>0</v>
      </c>
      <c r="BJ230" s="3297">
        <f>IFERROR(VLOOKUP(B230,[3]Sheet2!A$1:C$65536,3,FALSE),0)</f>
        <v>0</v>
      </c>
    </row>
    <row r="231" spans="1:62" s="3261" customFormat="1" ht="20.25" customHeight="1">
      <c r="A231" s="3226">
        <v>229</v>
      </c>
      <c r="B231" s="3250" t="s">
        <v>4855</v>
      </c>
      <c r="C231" s="3227" t="s">
        <v>3333</v>
      </c>
      <c r="D231" s="3251" t="s">
        <v>3778</v>
      </c>
      <c r="E231" s="3229">
        <v>43814</v>
      </c>
      <c r="F231" s="3230">
        <v>50000</v>
      </c>
      <c r="G231" s="3231">
        <v>130.77000000000001</v>
      </c>
      <c r="H231" s="3231" t="str">
        <f t="shared" si="42"/>
        <v>普通住宅</v>
      </c>
      <c r="I231" s="3230">
        <v>1788981</v>
      </c>
      <c r="J231" s="3229">
        <v>43815</v>
      </c>
      <c r="K231" s="3284">
        <f t="shared" si="43"/>
        <v>12</v>
      </c>
      <c r="L231" s="3230">
        <v>1768981</v>
      </c>
      <c r="M231" s="3235">
        <f t="shared" si="44"/>
        <v>13527.422191634167</v>
      </c>
      <c r="N231" s="3236">
        <v>488981</v>
      </c>
      <c r="O231" s="3244">
        <f t="shared" si="45"/>
        <v>1768981</v>
      </c>
      <c r="P231" s="3244"/>
      <c r="Q231" s="3244"/>
      <c r="R231" s="3244">
        <f t="shared" si="46"/>
        <v>538981</v>
      </c>
      <c r="S231" s="3244">
        <f t="shared" si="47"/>
        <v>538981</v>
      </c>
      <c r="T231" s="3236"/>
      <c r="U231" s="3236"/>
      <c r="V231" s="3236">
        <v>1230000</v>
      </c>
      <c r="W231" s="3236"/>
      <c r="X231" s="3244">
        <f t="shared" si="48"/>
        <v>1768981</v>
      </c>
      <c r="Y231" s="3244">
        <f t="shared" si="49"/>
        <v>0</v>
      </c>
      <c r="Z231" s="3285">
        <f t="shared" si="50"/>
        <v>1</v>
      </c>
      <c r="AA231" s="3226" t="s">
        <v>3319</v>
      </c>
      <c r="AB231" s="3226" t="s">
        <v>4587</v>
      </c>
      <c r="AC231" s="3226" t="s">
        <v>4698</v>
      </c>
      <c r="AD231" s="3286" t="s">
        <v>4419</v>
      </c>
      <c r="AE231" s="3286" t="s">
        <v>4427</v>
      </c>
      <c r="AF231" s="3286"/>
      <c r="AG231" s="3323"/>
      <c r="AH231" s="3255">
        <v>43815</v>
      </c>
      <c r="AI231" s="3255">
        <v>43826</v>
      </c>
      <c r="AJ231" s="3255">
        <v>43839</v>
      </c>
      <c r="AK231" s="3287">
        <f t="shared" si="51"/>
        <v>2020</v>
      </c>
      <c r="AL231" s="3288">
        <f t="shared" si="52"/>
        <v>1</v>
      </c>
      <c r="AM231" s="3226" t="s">
        <v>4477</v>
      </c>
      <c r="AN231" s="3289">
        <v>1230000</v>
      </c>
      <c r="AO231" s="3300"/>
      <c r="AP231" s="3300"/>
      <c r="AQ231" s="3300"/>
      <c r="AR231" s="3292"/>
      <c r="AS231" s="3292"/>
      <c r="AT231" s="3292"/>
      <c r="AU231" s="3293" t="str">
        <f t="shared" si="54"/>
        <v/>
      </c>
      <c r="AV231" s="3293" t="str">
        <f t="shared" si="55"/>
        <v/>
      </c>
      <c r="AW231" s="3294"/>
      <c r="AX231" s="3236"/>
      <c r="AY231" s="3244"/>
      <c r="AZ231" s="3295" t="s">
        <v>4741</v>
      </c>
      <c r="BA231" s="3296" t="str">
        <f t="shared" si="53"/>
        <v>签约</v>
      </c>
      <c r="BB231" s="3226"/>
      <c r="BC231" s="3226"/>
      <c r="BD231" s="3292">
        <f>VLOOKUP(B231,[3]Sheet1!A$1:B$65536,2,0)</f>
        <v>43818</v>
      </c>
      <c r="BE231" s="3297" t="s">
        <v>4367</v>
      </c>
      <c r="BG231" s="3297">
        <f>IFERROR(VLOOKUP(B231,[3]Sheet2!A$1:B$65536,2,FALSE),0)</f>
        <v>0</v>
      </c>
      <c r="BI231" s="3297">
        <f>IFERROR(VLOOKUP(B231,[3]Sheet2!A$1:C$65536,2,FALSE),0)</f>
        <v>0</v>
      </c>
      <c r="BJ231" s="3297">
        <f>IFERROR(VLOOKUP(B231,[3]Sheet2!A$1:C$65536,3,FALSE),0)</f>
        <v>0</v>
      </c>
    </row>
    <row r="232" spans="1:62" s="3261" customFormat="1" ht="20.25" customHeight="1">
      <c r="A232" s="3226">
        <v>230</v>
      </c>
      <c r="B232" s="3250" t="s">
        <v>4856</v>
      </c>
      <c r="C232" s="3227" t="s">
        <v>3333</v>
      </c>
      <c r="D232" s="3251" t="s">
        <v>3780</v>
      </c>
      <c r="E232" s="3229">
        <v>43799</v>
      </c>
      <c r="F232" s="3230">
        <v>50000</v>
      </c>
      <c r="G232" s="3231">
        <v>130.77000000000001</v>
      </c>
      <c r="H232" s="3231" t="str">
        <f t="shared" si="42"/>
        <v>普通住宅</v>
      </c>
      <c r="I232" s="3230">
        <v>1690151</v>
      </c>
      <c r="J232" s="3229">
        <v>43804</v>
      </c>
      <c r="K232" s="3284">
        <f t="shared" si="43"/>
        <v>12</v>
      </c>
      <c r="L232" s="3230">
        <v>1670151</v>
      </c>
      <c r="M232" s="3235">
        <f t="shared" si="44"/>
        <v>12771.667813718741</v>
      </c>
      <c r="N232" s="3236">
        <v>460151</v>
      </c>
      <c r="O232" s="3244">
        <f t="shared" si="45"/>
        <v>1670151</v>
      </c>
      <c r="P232" s="3244"/>
      <c r="Q232" s="3244"/>
      <c r="R232" s="3244">
        <f t="shared" si="46"/>
        <v>510151</v>
      </c>
      <c r="S232" s="3244">
        <f t="shared" si="47"/>
        <v>510151</v>
      </c>
      <c r="T232" s="3236"/>
      <c r="U232" s="3236"/>
      <c r="V232" s="3236">
        <v>1160000</v>
      </c>
      <c r="W232" s="3236"/>
      <c r="X232" s="3244">
        <f t="shared" si="48"/>
        <v>1670151</v>
      </c>
      <c r="Y232" s="3244">
        <f t="shared" si="49"/>
        <v>0</v>
      </c>
      <c r="Z232" s="3285">
        <f t="shared" si="50"/>
        <v>1</v>
      </c>
      <c r="AA232" s="3226" t="s">
        <v>3319</v>
      </c>
      <c r="AB232" s="3226" t="s">
        <v>4587</v>
      </c>
      <c r="AC232" s="3226" t="s">
        <v>4698</v>
      </c>
      <c r="AD232" s="3286" t="s">
        <v>4539</v>
      </c>
      <c r="AE232" s="3286" t="s">
        <v>4427</v>
      </c>
      <c r="AF232" s="3286"/>
      <c r="AG232" s="3323"/>
      <c r="AH232" s="3255">
        <v>43805</v>
      </c>
      <c r="AI232" s="3255">
        <v>43810</v>
      </c>
      <c r="AJ232" s="3255">
        <v>43882</v>
      </c>
      <c r="AK232" s="3287">
        <f t="shared" si="51"/>
        <v>2020</v>
      </c>
      <c r="AL232" s="3288">
        <f t="shared" si="52"/>
        <v>2</v>
      </c>
      <c r="AM232" s="3226" t="s">
        <v>4433</v>
      </c>
      <c r="AN232" s="3289">
        <v>1160000</v>
      </c>
      <c r="AO232" s="3300"/>
      <c r="AP232" s="3300"/>
      <c r="AQ232" s="3300"/>
      <c r="AR232" s="3292"/>
      <c r="AS232" s="3292"/>
      <c r="AT232" s="3292"/>
      <c r="AU232" s="3293" t="str">
        <f t="shared" si="54"/>
        <v/>
      </c>
      <c r="AV232" s="3293" t="str">
        <f t="shared" si="55"/>
        <v/>
      </c>
      <c r="AW232" s="3294"/>
      <c r="AX232" s="3236"/>
      <c r="AY232" s="3244"/>
      <c r="AZ232" s="3295" t="s">
        <v>4445</v>
      </c>
      <c r="BA232" s="3296" t="str">
        <f t="shared" si="53"/>
        <v>签约</v>
      </c>
      <c r="BB232" s="3226"/>
      <c r="BC232" s="3226"/>
      <c r="BD232" s="3292">
        <v>43823</v>
      </c>
      <c r="BE232" s="3297" t="s">
        <v>4696</v>
      </c>
      <c r="BG232" s="3297">
        <f>IFERROR(VLOOKUP(B232,[3]Sheet2!A$1:B$65536,2,FALSE),0)</f>
        <v>0</v>
      </c>
      <c r="BI232" s="3297">
        <f>IFERROR(VLOOKUP(B232,[3]Sheet2!A$1:C$65536,2,FALSE),0)</f>
        <v>0</v>
      </c>
      <c r="BJ232" s="3297">
        <f>IFERROR(VLOOKUP(B232,[3]Sheet2!A$1:C$65536,3,FALSE),0)</f>
        <v>0</v>
      </c>
    </row>
    <row r="233" spans="1:62" s="3261" customFormat="1" ht="20.25" customHeight="1">
      <c r="A233" s="3226">
        <v>231</v>
      </c>
      <c r="B233" s="3250" t="s">
        <v>4857</v>
      </c>
      <c r="C233" s="3227" t="s">
        <v>3333</v>
      </c>
      <c r="D233" s="3251" t="s">
        <v>3782</v>
      </c>
      <c r="E233" s="3229">
        <v>43814</v>
      </c>
      <c r="F233" s="3230">
        <v>50000</v>
      </c>
      <c r="G233" s="3231">
        <v>130.77000000000001</v>
      </c>
      <c r="H233" s="3231" t="str">
        <f t="shared" si="42"/>
        <v>普通住宅</v>
      </c>
      <c r="I233" s="3230">
        <v>1750817</v>
      </c>
      <c r="J233" s="3229">
        <v>43817</v>
      </c>
      <c r="K233" s="3284">
        <f t="shared" si="43"/>
        <v>12</v>
      </c>
      <c r="L233" s="3230">
        <v>1740817</v>
      </c>
      <c r="M233" s="3235">
        <f t="shared" si="44"/>
        <v>13312.051693813564</v>
      </c>
      <c r="N233" s="3236">
        <v>480817</v>
      </c>
      <c r="O233" s="3244">
        <f t="shared" si="45"/>
        <v>1740817</v>
      </c>
      <c r="P233" s="3244"/>
      <c r="Q233" s="3244"/>
      <c r="R233" s="3244">
        <f t="shared" si="46"/>
        <v>530817</v>
      </c>
      <c r="S233" s="3244">
        <f t="shared" si="47"/>
        <v>530817</v>
      </c>
      <c r="T233" s="3236"/>
      <c r="U233" s="3236"/>
      <c r="V233" s="3236">
        <v>1210000</v>
      </c>
      <c r="W233" s="3236"/>
      <c r="X233" s="3244">
        <f t="shared" si="48"/>
        <v>1740817</v>
      </c>
      <c r="Y233" s="3244">
        <f t="shared" si="49"/>
        <v>0</v>
      </c>
      <c r="Z233" s="3285">
        <f t="shared" si="50"/>
        <v>1</v>
      </c>
      <c r="AA233" s="3226" t="s">
        <v>4416</v>
      </c>
      <c r="AB233" s="3226" t="s">
        <v>4417</v>
      </c>
      <c r="AC233" s="3226" t="s">
        <v>4418</v>
      </c>
      <c r="AD233" s="3286" t="s">
        <v>4539</v>
      </c>
      <c r="AE233" s="3286" t="s">
        <v>4427</v>
      </c>
      <c r="AF233" s="3286"/>
      <c r="AG233" s="3323"/>
      <c r="AH233" s="3255">
        <v>43852</v>
      </c>
      <c r="AI233" s="3255">
        <v>43886</v>
      </c>
      <c r="AJ233" s="3255">
        <v>43900</v>
      </c>
      <c r="AK233" s="3287">
        <f t="shared" si="51"/>
        <v>2020</v>
      </c>
      <c r="AL233" s="3288">
        <f t="shared" si="52"/>
        <v>3</v>
      </c>
      <c r="AM233" s="3226" t="s">
        <v>4477</v>
      </c>
      <c r="AN233" s="3289">
        <v>1210000</v>
      </c>
      <c r="AO233" s="3300"/>
      <c r="AP233" s="3300"/>
      <c r="AQ233" s="3300"/>
      <c r="AR233" s="3292"/>
      <c r="AS233" s="3292"/>
      <c r="AT233" s="3292"/>
      <c r="AU233" s="3293" t="str">
        <f t="shared" si="54"/>
        <v/>
      </c>
      <c r="AV233" s="3293" t="str">
        <f t="shared" si="55"/>
        <v/>
      </c>
      <c r="AW233" s="3294"/>
      <c r="AX233" s="3236"/>
      <c r="AY233" s="3244"/>
      <c r="AZ233" s="3295" t="s">
        <v>4448</v>
      </c>
      <c r="BA233" s="3296" t="str">
        <f t="shared" si="53"/>
        <v>签约</v>
      </c>
      <c r="BB233" s="3226"/>
      <c r="BC233" s="3226"/>
      <c r="BD233" s="3292"/>
      <c r="BE233" s="3297" t="s">
        <v>4367</v>
      </c>
      <c r="BG233" s="3297">
        <f>IFERROR(VLOOKUP(B233,[3]Sheet2!A$1:B$65536,2,FALSE),0)</f>
        <v>0</v>
      </c>
      <c r="BI233" s="3297">
        <f>IFERROR(VLOOKUP(B233,[3]Sheet2!A$1:C$65536,2,FALSE),0)</f>
        <v>0</v>
      </c>
      <c r="BJ233" s="3297">
        <f>IFERROR(VLOOKUP(B233,[3]Sheet2!A$1:C$65536,3,FALSE),0)</f>
        <v>0</v>
      </c>
    </row>
    <row r="234" spans="1:62" s="3261" customFormat="1" ht="20.25" customHeight="1">
      <c r="A234" s="3226">
        <v>232</v>
      </c>
      <c r="B234" s="3250" t="s">
        <v>4858</v>
      </c>
      <c r="C234" s="3227" t="s">
        <v>3333</v>
      </c>
      <c r="D234" s="3251" t="s">
        <v>3784</v>
      </c>
      <c r="E234" s="3229">
        <v>43903</v>
      </c>
      <c r="F234" s="3230">
        <v>50000</v>
      </c>
      <c r="G234" s="3231">
        <v>130.77000000000001</v>
      </c>
      <c r="H234" s="3231" t="str">
        <f t="shared" si="42"/>
        <v>普通住宅</v>
      </c>
      <c r="I234" s="3230">
        <v>1791262</v>
      </c>
      <c r="J234" s="3229">
        <v>43936</v>
      </c>
      <c r="K234" s="3284">
        <f t="shared" si="43"/>
        <v>4</v>
      </c>
      <c r="L234" s="3230">
        <v>1780000</v>
      </c>
      <c r="M234" s="3235">
        <f t="shared" si="44"/>
        <v>13611.684637149192</v>
      </c>
      <c r="N234" s="3236">
        <v>500000</v>
      </c>
      <c r="O234" s="3244">
        <f t="shared" si="45"/>
        <v>1780000</v>
      </c>
      <c r="P234" s="3244"/>
      <c r="Q234" s="3244"/>
      <c r="R234" s="3244">
        <f t="shared" si="46"/>
        <v>550000</v>
      </c>
      <c r="S234" s="3244">
        <f t="shared" si="47"/>
        <v>550000</v>
      </c>
      <c r="T234" s="3236"/>
      <c r="U234" s="3236"/>
      <c r="V234" s="3236">
        <v>1230000</v>
      </c>
      <c r="W234" s="3236"/>
      <c r="X234" s="3244">
        <f t="shared" si="48"/>
        <v>1780000</v>
      </c>
      <c r="Y234" s="3244">
        <f t="shared" si="49"/>
        <v>0</v>
      </c>
      <c r="Z234" s="3285">
        <f t="shared" si="50"/>
        <v>1</v>
      </c>
      <c r="AA234" s="3226" t="s">
        <v>3319</v>
      </c>
      <c r="AB234" s="3226" t="s">
        <v>4587</v>
      </c>
      <c r="AC234" s="3226" t="s">
        <v>4698</v>
      </c>
      <c r="AD234" s="3286" t="s">
        <v>4419</v>
      </c>
      <c r="AE234" s="3286" t="s">
        <v>4427</v>
      </c>
      <c r="AF234" s="3286"/>
      <c r="AG234" s="3323"/>
      <c r="AH234" s="3255">
        <v>43936</v>
      </c>
      <c r="AI234" s="3255">
        <v>43941</v>
      </c>
      <c r="AJ234" s="3255">
        <v>43992</v>
      </c>
      <c r="AK234" s="3287">
        <f t="shared" si="51"/>
        <v>2020</v>
      </c>
      <c r="AL234" s="3288">
        <f t="shared" si="52"/>
        <v>6</v>
      </c>
      <c r="AM234" s="3226" t="s">
        <v>4634</v>
      </c>
      <c r="AN234" s="3289">
        <v>1230000</v>
      </c>
      <c r="AO234" s="3300"/>
      <c r="AP234" s="3300"/>
      <c r="AQ234" s="3300"/>
      <c r="AR234" s="3292"/>
      <c r="AS234" s="3292"/>
      <c r="AT234" s="3292"/>
      <c r="AU234" s="3293" t="str">
        <f t="shared" si="54"/>
        <v/>
      </c>
      <c r="AV234" s="3293" t="str">
        <f t="shared" si="55"/>
        <v/>
      </c>
      <c r="AW234" s="3294"/>
      <c r="AX234" s="3236"/>
      <c r="AY234" s="3244"/>
      <c r="AZ234" s="3295" t="s">
        <v>4445</v>
      </c>
      <c r="BA234" s="3296" t="str">
        <f t="shared" si="53"/>
        <v>签约</v>
      </c>
      <c r="BB234" s="3226"/>
      <c r="BC234" s="3226"/>
      <c r="BD234" s="3292"/>
      <c r="BE234" s="3297" t="s">
        <v>4367</v>
      </c>
      <c r="BG234" s="3297">
        <f>IFERROR(VLOOKUP(B234,[3]Sheet2!A$1:B$65536,2,FALSE),0)</f>
        <v>0</v>
      </c>
      <c r="BI234" s="3297">
        <f>IFERROR(VLOOKUP(B234,[3]Sheet2!A$1:C$65536,2,FALSE),0)</f>
        <v>0</v>
      </c>
      <c r="BJ234" s="3297">
        <f>IFERROR(VLOOKUP(B234,[3]Sheet2!A$1:C$65536,3,FALSE),0)</f>
        <v>0</v>
      </c>
    </row>
    <row r="235" spans="1:62" s="3261" customFormat="1" ht="20.25" customHeight="1">
      <c r="A235" s="3226">
        <v>233</v>
      </c>
      <c r="B235" s="3250" t="s">
        <v>4859</v>
      </c>
      <c r="C235" s="3227" t="s">
        <v>3333</v>
      </c>
      <c r="D235" s="3251" t="s">
        <v>3786</v>
      </c>
      <c r="E235" s="3229">
        <v>43836</v>
      </c>
      <c r="F235" s="3230">
        <v>50000</v>
      </c>
      <c r="G235" s="3231">
        <v>130.77000000000001</v>
      </c>
      <c r="H235" s="3231" t="str">
        <f t="shared" si="42"/>
        <v>普通住宅</v>
      </c>
      <c r="I235" s="3230">
        <v>1824965</v>
      </c>
      <c r="J235" s="3229">
        <v>43851</v>
      </c>
      <c r="K235" s="3284">
        <f t="shared" si="43"/>
        <v>1</v>
      </c>
      <c r="L235" s="3230">
        <v>1824965</v>
      </c>
      <c r="M235" s="3235">
        <f t="shared" si="44"/>
        <v>13955.532614514032</v>
      </c>
      <c r="N235" s="3236">
        <f>504965+770000+500000</f>
        <v>1774965</v>
      </c>
      <c r="O235" s="3244">
        <f t="shared" si="45"/>
        <v>1824965</v>
      </c>
      <c r="P235" s="3244"/>
      <c r="Q235" s="3244"/>
      <c r="R235" s="3244">
        <f t="shared" si="46"/>
        <v>1824965</v>
      </c>
      <c r="S235" s="3244">
        <f t="shared" si="47"/>
        <v>1824965</v>
      </c>
      <c r="T235" s="3236"/>
      <c r="U235" s="3236"/>
      <c r="V235" s="3236"/>
      <c r="W235" s="3236"/>
      <c r="X235" s="3244">
        <f t="shared" si="48"/>
        <v>1824965</v>
      </c>
      <c r="Y235" s="3244">
        <f t="shared" si="49"/>
        <v>0</v>
      </c>
      <c r="Z235" s="3285">
        <f t="shared" si="50"/>
        <v>1</v>
      </c>
      <c r="AA235" s="3226" t="s">
        <v>4416</v>
      </c>
      <c r="AB235" s="3226" t="s">
        <v>4676</v>
      </c>
      <c r="AC235" s="3226"/>
      <c r="AD235" s="3286"/>
      <c r="AE235" s="3286"/>
      <c r="AF235" s="3286"/>
      <c r="AG235" s="3323"/>
      <c r="AH235" s="3255"/>
      <c r="AI235" s="3255"/>
      <c r="AJ235" s="3255"/>
      <c r="AK235" s="3287" t="str">
        <f t="shared" si="51"/>
        <v/>
      </c>
      <c r="AL235" s="3288" t="str">
        <f t="shared" si="52"/>
        <v/>
      </c>
      <c r="AM235" s="3226"/>
      <c r="AN235" s="3289"/>
      <c r="AO235" s="3300"/>
      <c r="AP235" s="3300"/>
      <c r="AQ235" s="3300"/>
      <c r="AR235" s="3292"/>
      <c r="AS235" s="3292"/>
      <c r="AT235" s="3292"/>
      <c r="AU235" s="3293" t="str">
        <f t="shared" si="54"/>
        <v/>
      </c>
      <c r="AV235" s="3293" t="str">
        <f t="shared" si="55"/>
        <v/>
      </c>
      <c r="AW235" s="3294"/>
      <c r="AX235" s="3236"/>
      <c r="AY235" s="3244"/>
      <c r="AZ235" s="3295" t="s">
        <v>4860</v>
      </c>
      <c r="BA235" s="3296" t="str">
        <f t="shared" si="53"/>
        <v>签约</v>
      </c>
      <c r="BB235" s="3226"/>
      <c r="BC235" s="3226"/>
      <c r="BD235" s="3292"/>
      <c r="BE235" s="3297" t="s">
        <v>4367</v>
      </c>
      <c r="BG235" s="3297">
        <f>IFERROR(VLOOKUP(B235,[3]Sheet2!A$1:B$65536,2,FALSE),0)</f>
        <v>0</v>
      </c>
      <c r="BI235" s="3297">
        <f>IFERROR(VLOOKUP(B235,[3]Sheet2!A$1:C$65536,2,FALSE),0)</f>
        <v>0</v>
      </c>
      <c r="BJ235" s="3297">
        <f>IFERROR(VLOOKUP(B235,[3]Sheet2!A$1:C$65536,3,FALSE),0)</f>
        <v>0</v>
      </c>
    </row>
    <row r="236" spans="1:62" s="3261" customFormat="1" ht="20.25" customHeight="1">
      <c r="A236" s="3226">
        <v>234</v>
      </c>
      <c r="B236" s="3250" t="s">
        <v>4861</v>
      </c>
      <c r="C236" s="3227" t="s">
        <v>3333</v>
      </c>
      <c r="D236" s="3251" t="s">
        <v>3788</v>
      </c>
      <c r="E236" s="3229">
        <v>43843</v>
      </c>
      <c r="F236" s="3230">
        <v>50000</v>
      </c>
      <c r="G236" s="3231">
        <v>130.77000000000001</v>
      </c>
      <c r="H236" s="3231" t="str">
        <f t="shared" si="42"/>
        <v>普通住宅</v>
      </c>
      <c r="I236" s="3230">
        <v>1831706</v>
      </c>
      <c r="J236" s="3229">
        <v>43861</v>
      </c>
      <c r="K236" s="3284">
        <f t="shared" si="43"/>
        <v>1</v>
      </c>
      <c r="L236" s="3230">
        <v>1831706</v>
      </c>
      <c r="M236" s="3235">
        <f t="shared" si="44"/>
        <v>14007.081134816854</v>
      </c>
      <c r="N236" s="3236">
        <v>501706</v>
      </c>
      <c r="O236" s="3244">
        <f t="shared" si="45"/>
        <v>1831706</v>
      </c>
      <c r="P236" s="3244"/>
      <c r="Q236" s="3244"/>
      <c r="R236" s="3244">
        <f t="shared" si="46"/>
        <v>551706</v>
      </c>
      <c r="S236" s="3244">
        <f t="shared" si="47"/>
        <v>551706</v>
      </c>
      <c r="T236" s="3236"/>
      <c r="U236" s="3236"/>
      <c r="V236" s="3236">
        <v>680000</v>
      </c>
      <c r="W236" s="3236">
        <v>600000</v>
      </c>
      <c r="X236" s="3244">
        <f t="shared" si="48"/>
        <v>1831706</v>
      </c>
      <c r="Y236" s="3244">
        <f t="shared" si="49"/>
        <v>0</v>
      </c>
      <c r="Z236" s="3285">
        <f t="shared" si="50"/>
        <v>1</v>
      </c>
      <c r="AA236" s="3226" t="s">
        <v>4416</v>
      </c>
      <c r="AB236" s="3226" t="s">
        <v>4417</v>
      </c>
      <c r="AC236" s="3226" t="s">
        <v>4452</v>
      </c>
      <c r="AD236" s="3286" t="s">
        <v>4539</v>
      </c>
      <c r="AE236" s="3286" t="s">
        <v>4427</v>
      </c>
      <c r="AF236" s="3286"/>
      <c r="AG236" s="3323"/>
      <c r="AH236" s="3255">
        <v>43900</v>
      </c>
      <c r="AI236" s="3255">
        <v>43900</v>
      </c>
      <c r="AJ236" s="3255">
        <v>43915</v>
      </c>
      <c r="AK236" s="3287">
        <f t="shared" si="51"/>
        <v>2020</v>
      </c>
      <c r="AL236" s="3288">
        <f t="shared" si="52"/>
        <v>3</v>
      </c>
      <c r="AM236" s="3226" t="s">
        <v>4701</v>
      </c>
      <c r="AN236" s="3289">
        <v>680000</v>
      </c>
      <c r="AO236" s="3300" t="s">
        <v>4539</v>
      </c>
      <c r="AP236" s="3300" t="s">
        <v>4427</v>
      </c>
      <c r="AQ236" s="3300"/>
      <c r="AR236" s="3292">
        <v>43900</v>
      </c>
      <c r="AS236" s="3292">
        <v>43900</v>
      </c>
      <c r="AT236" s="3292">
        <v>43923</v>
      </c>
      <c r="AU236" s="3293">
        <f t="shared" si="54"/>
        <v>2020</v>
      </c>
      <c r="AV236" s="3293">
        <f t="shared" si="55"/>
        <v>4</v>
      </c>
      <c r="AW236" s="3294" t="s">
        <v>4657</v>
      </c>
      <c r="AX236" s="3236">
        <v>600000</v>
      </c>
      <c r="AY236" s="3244"/>
      <c r="AZ236" s="3295" t="s">
        <v>4441</v>
      </c>
      <c r="BA236" s="3296" t="str">
        <f t="shared" si="53"/>
        <v>签约</v>
      </c>
      <c r="BB236" s="3226"/>
      <c r="BC236" s="3226"/>
      <c r="BD236" s="3292"/>
      <c r="BE236" s="3297" t="s">
        <v>4367</v>
      </c>
      <c r="BG236" s="3297">
        <f>IFERROR(VLOOKUP(B236,[3]Sheet2!A$1:B$65536,2,FALSE),0)</f>
        <v>0</v>
      </c>
      <c r="BI236" s="3297">
        <f>IFERROR(VLOOKUP(B236,[3]Sheet2!A$1:C$65536,2,FALSE),0)</f>
        <v>0</v>
      </c>
      <c r="BJ236" s="3297">
        <f>IFERROR(VLOOKUP(B236,[3]Sheet2!A$1:C$65536,3,FALSE),0)</f>
        <v>0</v>
      </c>
    </row>
    <row r="237" spans="1:62" s="3261" customFormat="1" ht="20.25" customHeight="1">
      <c r="A237" s="3226">
        <v>235</v>
      </c>
      <c r="B237" s="3250" t="s">
        <v>4862</v>
      </c>
      <c r="C237" s="3227" t="s">
        <v>3333</v>
      </c>
      <c r="D237" s="3251" t="s">
        <v>3790</v>
      </c>
      <c r="E237" s="3229">
        <v>43903</v>
      </c>
      <c r="F237" s="3230">
        <f>20000+30000</f>
        <v>50000</v>
      </c>
      <c r="G237" s="3231">
        <v>130.77000000000001</v>
      </c>
      <c r="H237" s="3231" t="str">
        <f t="shared" si="42"/>
        <v>普通住宅</v>
      </c>
      <c r="I237" s="3230">
        <v>1838447</v>
      </c>
      <c r="J237" s="3229">
        <v>43913</v>
      </c>
      <c r="K237" s="3284">
        <f t="shared" si="43"/>
        <v>3</v>
      </c>
      <c r="L237" s="3230">
        <v>1823447</v>
      </c>
      <c r="M237" s="3235">
        <f t="shared" si="44"/>
        <v>13943.924447503248</v>
      </c>
      <c r="N237" s="3236">
        <v>503447</v>
      </c>
      <c r="O237" s="3244">
        <f t="shared" si="45"/>
        <v>1823447</v>
      </c>
      <c r="P237" s="3244"/>
      <c r="Q237" s="3244"/>
      <c r="R237" s="3244">
        <f t="shared" si="46"/>
        <v>553447</v>
      </c>
      <c r="S237" s="3244">
        <f t="shared" si="47"/>
        <v>553447</v>
      </c>
      <c r="T237" s="3236"/>
      <c r="U237" s="3236"/>
      <c r="V237" s="3236">
        <v>970000</v>
      </c>
      <c r="W237" s="3236">
        <v>300000</v>
      </c>
      <c r="X237" s="3244">
        <f t="shared" si="48"/>
        <v>1823447</v>
      </c>
      <c r="Y237" s="3244">
        <f t="shared" si="49"/>
        <v>0</v>
      </c>
      <c r="Z237" s="3285">
        <f t="shared" si="50"/>
        <v>1</v>
      </c>
      <c r="AA237" s="3226" t="s">
        <v>3319</v>
      </c>
      <c r="AB237" s="3226" t="s">
        <v>4587</v>
      </c>
      <c r="AC237" s="3226" t="s">
        <v>4452</v>
      </c>
      <c r="AD237" s="3286" t="s">
        <v>4419</v>
      </c>
      <c r="AE237" s="3286" t="s">
        <v>4427</v>
      </c>
      <c r="AF237" s="3286"/>
      <c r="AG237" s="3323"/>
      <c r="AH237" s="3255">
        <v>43969</v>
      </c>
      <c r="AI237" s="3255">
        <v>43969</v>
      </c>
      <c r="AJ237" s="3255">
        <v>43978</v>
      </c>
      <c r="AK237" s="3287">
        <f t="shared" si="51"/>
        <v>2020</v>
      </c>
      <c r="AL237" s="3288">
        <f t="shared" si="52"/>
        <v>5</v>
      </c>
      <c r="AM237" s="3226" t="s">
        <v>4701</v>
      </c>
      <c r="AN237" s="3289">
        <v>970000</v>
      </c>
      <c r="AO237" s="3300" t="s">
        <v>4539</v>
      </c>
      <c r="AP237" s="3300" t="s">
        <v>4427</v>
      </c>
      <c r="AQ237" s="3300"/>
      <c r="AR237" s="3292">
        <v>43969</v>
      </c>
      <c r="AS237" s="3292">
        <v>43969</v>
      </c>
      <c r="AT237" s="3292">
        <v>44009</v>
      </c>
      <c r="AU237" s="3293">
        <f t="shared" si="54"/>
        <v>2020</v>
      </c>
      <c r="AV237" s="3293">
        <f t="shared" si="55"/>
        <v>6</v>
      </c>
      <c r="AW237" s="3294" t="s">
        <v>4657</v>
      </c>
      <c r="AX237" s="3236">
        <v>300000</v>
      </c>
      <c r="AY237" s="3244"/>
      <c r="AZ237" s="3295" t="s">
        <v>4429</v>
      </c>
      <c r="BA237" s="3296" t="str">
        <f t="shared" si="53"/>
        <v>签约</v>
      </c>
      <c r="BB237" s="3226"/>
      <c r="BC237" s="3226"/>
      <c r="BD237" s="3292"/>
      <c r="BE237" s="3297" t="s">
        <v>4449</v>
      </c>
      <c r="BG237" s="3297">
        <f>IFERROR(VLOOKUP(B237,[3]Sheet2!A$1:B$65536,2,FALSE),0)</f>
        <v>0</v>
      </c>
      <c r="BI237" s="3297">
        <f>IFERROR(VLOOKUP(B237,[3]Sheet2!A$1:C$65536,2,FALSE),0)</f>
        <v>0</v>
      </c>
      <c r="BJ237" s="3297">
        <f>IFERROR(VLOOKUP(B237,[3]Sheet2!A$1:C$65536,3,FALSE),0)</f>
        <v>0</v>
      </c>
    </row>
    <row r="238" spans="1:62" s="3261" customFormat="1" ht="20.25" customHeight="1">
      <c r="A238" s="3226">
        <v>236</v>
      </c>
      <c r="B238" s="3250" t="s">
        <v>4863</v>
      </c>
      <c r="C238" s="3227" t="s">
        <v>3333</v>
      </c>
      <c r="D238" s="3251" t="s">
        <v>3792</v>
      </c>
      <c r="E238" s="3229">
        <v>43835</v>
      </c>
      <c r="F238" s="3230">
        <v>50000</v>
      </c>
      <c r="G238" s="3231">
        <v>130.77000000000001</v>
      </c>
      <c r="H238" s="3231" t="str">
        <f t="shared" si="42"/>
        <v>普通住宅</v>
      </c>
      <c r="I238" s="3230">
        <v>1845187</v>
      </c>
      <c r="J238" s="3229">
        <v>43866</v>
      </c>
      <c r="K238" s="3284">
        <f t="shared" si="43"/>
        <v>2</v>
      </c>
      <c r="L238" s="3230">
        <v>1844187</v>
      </c>
      <c r="M238" s="3235">
        <f t="shared" si="44"/>
        <v>14102.52351456756</v>
      </c>
      <c r="N238" s="3236">
        <f>250000+304187+140000</f>
        <v>694187</v>
      </c>
      <c r="O238" s="3244">
        <f t="shared" si="45"/>
        <v>1844187</v>
      </c>
      <c r="P238" s="3244"/>
      <c r="Q238" s="3244"/>
      <c r="R238" s="3244">
        <f t="shared" si="46"/>
        <v>744187</v>
      </c>
      <c r="S238" s="3244">
        <f t="shared" si="47"/>
        <v>744187</v>
      </c>
      <c r="T238" s="3236"/>
      <c r="U238" s="3236"/>
      <c r="V238" s="3236">
        <v>1100000</v>
      </c>
      <c r="W238" s="3236"/>
      <c r="X238" s="3244">
        <f t="shared" si="48"/>
        <v>1844187</v>
      </c>
      <c r="Y238" s="3244">
        <f t="shared" si="49"/>
        <v>0</v>
      </c>
      <c r="Z238" s="3285">
        <f t="shared" si="50"/>
        <v>1</v>
      </c>
      <c r="AA238" s="3226" t="s">
        <v>3319</v>
      </c>
      <c r="AB238" s="3226" t="s">
        <v>4587</v>
      </c>
      <c r="AC238" s="3226" t="s">
        <v>4698</v>
      </c>
      <c r="AD238" s="3286" t="s">
        <v>4539</v>
      </c>
      <c r="AE238" s="3286" t="s">
        <v>4427</v>
      </c>
      <c r="AF238" s="3286"/>
      <c r="AG238" s="3323"/>
      <c r="AH238" s="3255">
        <v>43866</v>
      </c>
      <c r="AI238" s="3255">
        <v>43891</v>
      </c>
      <c r="AJ238" s="3255">
        <v>43901</v>
      </c>
      <c r="AK238" s="3287">
        <f t="shared" si="51"/>
        <v>2020</v>
      </c>
      <c r="AL238" s="3288">
        <f t="shared" si="52"/>
        <v>3</v>
      </c>
      <c r="AM238" s="3226" t="s">
        <v>4701</v>
      </c>
      <c r="AN238" s="3289">
        <v>1100000</v>
      </c>
      <c r="AO238" s="3300"/>
      <c r="AP238" s="3300"/>
      <c r="AQ238" s="3300"/>
      <c r="AR238" s="3292"/>
      <c r="AS238" s="3292"/>
      <c r="AT238" s="3292"/>
      <c r="AU238" s="3293" t="str">
        <f t="shared" si="54"/>
        <v/>
      </c>
      <c r="AV238" s="3293" t="str">
        <f t="shared" si="55"/>
        <v/>
      </c>
      <c r="AW238" s="3294"/>
      <c r="AX238" s="3236"/>
      <c r="AY238" s="3244"/>
      <c r="AZ238" s="3295" t="s">
        <v>4454</v>
      </c>
      <c r="BA238" s="3296" t="str">
        <f t="shared" si="53"/>
        <v>签约</v>
      </c>
      <c r="BB238" s="3226"/>
      <c r="BC238" s="3226"/>
      <c r="BD238" s="3292"/>
      <c r="BE238" s="3297" t="s">
        <v>4367</v>
      </c>
      <c r="BG238" s="3297">
        <f>IFERROR(VLOOKUP(B238,[3]Sheet2!A$1:B$65536,2,FALSE),0)</f>
        <v>0</v>
      </c>
      <c r="BI238" s="3297">
        <f>IFERROR(VLOOKUP(B238,[3]Sheet2!A$1:C$65536,2,FALSE),0)</f>
        <v>0</v>
      </c>
      <c r="BJ238" s="3297">
        <f>IFERROR(VLOOKUP(B238,[3]Sheet2!A$1:C$65536,3,FALSE),0)</f>
        <v>0</v>
      </c>
    </row>
    <row r="239" spans="1:62" s="3261" customFormat="1" ht="20.25" customHeight="1">
      <c r="A239" s="3226">
        <v>237</v>
      </c>
      <c r="B239" s="3250" t="s">
        <v>4864</v>
      </c>
      <c r="C239" s="3227" t="s">
        <v>3333</v>
      </c>
      <c r="D239" s="3251" t="s">
        <v>3794</v>
      </c>
      <c r="E239" s="3229">
        <v>43843</v>
      </c>
      <c r="F239" s="3230">
        <v>50000</v>
      </c>
      <c r="G239" s="3231">
        <v>130.77000000000001</v>
      </c>
      <c r="H239" s="3231" t="str">
        <f t="shared" si="42"/>
        <v>普通住宅</v>
      </c>
      <c r="I239" s="3230">
        <v>1851928</v>
      </c>
      <c r="J239" s="3229">
        <v>43845</v>
      </c>
      <c r="K239" s="3284">
        <f t="shared" si="43"/>
        <v>1</v>
      </c>
      <c r="L239" s="3230">
        <v>1841928</v>
      </c>
      <c r="M239" s="3235">
        <f t="shared" si="44"/>
        <v>14085.248910300526</v>
      </c>
      <c r="N239" s="3236">
        <v>511928</v>
      </c>
      <c r="O239" s="3244">
        <f t="shared" si="45"/>
        <v>1841928</v>
      </c>
      <c r="P239" s="3244"/>
      <c r="Q239" s="3244"/>
      <c r="R239" s="3244">
        <f t="shared" si="46"/>
        <v>561928</v>
      </c>
      <c r="S239" s="3244">
        <f t="shared" si="47"/>
        <v>561928</v>
      </c>
      <c r="T239" s="3236"/>
      <c r="U239" s="3236"/>
      <c r="V239" s="3236">
        <v>1280000</v>
      </c>
      <c r="W239" s="3236"/>
      <c r="X239" s="3244">
        <f t="shared" si="48"/>
        <v>1841928</v>
      </c>
      <c r="Y239" s="3244">
        <f t="shared" si="49"/>
        <v>0</v>
      </c>
      <c r="Z239" s="3285">
        <f t="shared" si="50"/>
        <v>1</v>
      </c>
      <c r="AA239" s="3226" t="s">
        <v>4416</v>
      </c>
      <c r="AB239" s="3226" t="s">
        <v>4417</v>
      </c>
      <c r="AC239" s="3226" t="s">
        <v>4418</v>
      </c>
      <c r="AD239" s="3286" t="s">
        <v>4539</v>
      </c>
      <c r="AE239" s="3286" t="s">
        <v>4427</v>
      </c>
      <c r="AF239" s="3286"/>
      <c r="AG239" s="3323"/>
      <c r="AH239" s="3255">
        <v>43845</v>
      </c>
      <c r="AI239" s="3255">
        <v>43845</v>
      </c>
      <c r="AJ239" s="3255">
        <v>43852</v>
      </c>
      <c r="AK239" s="3287">
        <f t="shared" si="51"/>
        <v>2020</v>
      </c>
      <c r="AL239" s="3288">
        <f t="shared" si="52"/>
        <v>1</v>
      </c>
      <c r="AM239" s="3226" t="s">
        <v>4477</v>
      </c>
      <c r="AN239" s="3289">
        <v>1280000</v>
      </c>
      <c r="AO239" s="3300"/>
      <c r="AP239" s="3300"/>
      <c r="AQ239" s="3300"/>
      <c r="AR239" s="3292"/>
      <c r="AS239" s="3292"/>
      <c r="AT239" s="3292"/>
      <c r="AU239" s="3293" t="str">
        <f t="shared" si="54"/>
        <v/>
      </c>
      <c r="AV239" s="3293" t="str">
        <f t="shared" si="55"/>
        <v/>
      </c>
      <c r="AW239" s="3294"/>
      <c r="AX239" s="3236"/>
      <c r="AY239" s="3244"/>
      <c r="AZ239" s="3295" t="s">
        <v>4445</v>
      </c>
      <c r="BA239" s="3296" t="str">
        <f t="shared" si="53"/>
        <v>签约</v>
      </c>
      <c r="BB239" s="3226"/>
      <c r="BC239" s="3226"/>
      <c r="BD239" s="3292"/>
      <c r="BE239" s="3297" t="s">
        <v>4696</v>
      </c>
      <c r="BG239" s="3297">
        <f>IFERROR(VLOOKUP(B239,[3]Sheet2!A$1:B$65536,2,FALSE),0)</f>
        <v>0</v>
      </c>
      <c r="BI239" s="3297">
        <f>IFERROR(VLOOKUP(B239,[3]Sheet2!A$1:C$65536,2,FALSE),0)</f>
        <v>0</v>
      </c>
      <c r="BJ239" s="3297">
        <f>IFERROR(VLOOKUP(B239,[3]Sheet2!A$1:C$65536,3,FALSE),0)</f>
        <v>0</v>
      </c>
    </row>
    <row r="240" spans="1:62" s="3261" customFormat="1" ht="20.25" customHeight="1">
      <c r="A240" s="3226">
        <v>238</v>
      </c>
      <c r="B240" s="3250" t="s">
        <v>4865</v>
      </c>
      <c r="C240" s="3227" t="s">
        <v>3333</v>
      </c>
      <c r="D240" s="3251" t="s">
        <v>3796</v>
      </c>
      <c r="E240" s="3229">
        <v>43900</v>
      </c>
      <c r="F240" s="3230">
        <v>50000</v>
      </c>
      <c r="G240" s="3231">
        <v>130.77000000000001</v>
      </c>
      <c r="H240" s="3231" t="str">
        <f t="shared" si="42"/>
        <v>普通住宅</v>
      </c>
      <c r="I240" s="3230">
        <v>1858669</v>
      </c>
      <c r="J240" s="3229">
        <v>43902</v>
      </c>
      <c r="K240" s="3284">
        <f t="shared" si="43"/>
        <v>3</v>
      </c>
      <c r="L240" s="3230">
        <v>1843669</v>
      </c>
      <c r="M240" s="3235">
        <f t="shared" si="44"/>
        <v>14098.562361397873</v>
      </c>
      <c r="N240" s="3236">
        <v>893669</v>
      </c>
      <c r="O240" s="3244">
        <f t="shared" si="45"/>
        <v>1843669</v>
      </c>
      <c r="P240" s="3244"/>
      <c r="Q240" s="3244"/>
      <c r="R240" s="3244">
        <f t="shared" si="46"/>
        <v>943669</v>
      </c>
      <c r="S240" s="3244">
        <f t="shared" si="47"/>
        <v>943669</v>
      </c>
      <c r="T240" s="3236"/>
      <c r="U240" s="3236"/>
      <c r="V240" s="3236">
        <v>300000</v>
      </c>
      <c r="W240" s="3236">
        <v>600000</v>
      </c>
      <c r="X240" s="3244">
        <f t="shared" si="48"/>
        <v>1843669</v>
      </c>
      <c r="Y240" s="3244">
        <f t="shared" si="49"/>
        <v>0</v>
      </c>
      <c r="Z240" s="3285">
        <f t="shared" si="50"/>
        <v>1</v>
      </c>
      <c r="AA240" s="3226" t="s">
        <v>3319</v>
      </c>
      <c r="AB240" s="3226" t="s">
        <v>4587</v>
      </c>
      <c r="AC240" s="3226" t="s">
        <v>4452</v>
      </c>
      <c r="AD240" s="3286" t="s">
        <v>4539</v>
      </c>
      <c r="AE240" s="3286" t="s">
        <v>4427</v>
      </c>
      <c r="AF240" s="3286"/>
      <c r="AG240" s="3323"/>
      <c r="AH240" s="3255">
        <v>43921</v>
      </c>
      <c r="AI240" s="3255">
        <v>43921</v>
      </c>
      <c r="AJ240" s="3255">
        <v>43934</v>
      </c>
      <c r="AK240" s="3287">
        <f t="shared" si="51"/>
        <v>2020</v>
      </c>
      <c r="AL240" s="3288">
        <f t="shared" si="52"/>
        <v>4</v>
      </c>
      <c r="AM240" s="3226" t="s">
        <v>4440</v>
      </c>
      <c r="AN240" s="3289">
        <v>300000</v>
      </c>
      <c r="AO240" s="3300" t="s">
        <v>4539</v>
      </c>
      <c r="AP240" s="3300" t="s">
        <v>4427</v>
      </c>
      <c r="AQ240" s="3300"/>
      <c r="AR240" s="3292">
        <v>43921</v>
      </c>
      <c r="AS240" s="3292">
        <v>43921</v>
      </c>
      <c r="AT240" s="3292">
        <v>43945</v>
      </c>
      <c r="AU240" s="3293">
        <f t="shared" si="54"/>
        <v>2020</v>
      </c>
      <c r="AV240" s="3293">
        <f t="shared" si="55"/>
        <v>4</v>
      </c>
      <c r="AW240" s="3294" t="s">
        <v>4657</v>
      </c>
      <c r="AX240" s="3236">
        <v>600000</v>
      </c>
      <c r="AY240" s="3244"/>
      <c r="AZ240" s="3295" t="s">
        <v>4437</v>
      </c>
      <c r="BA240" s="3296" t="str">
        <f t="shared" si="53"/>
        <v>签约</v>
      </c>
      <c r="BB240" s="3226"/>
      <c r="BC240" s="3226"/>
      <c r="BD240" s="3292"/>
      <c r="BE240" s="3297" t="s">
        <v>4465</v>
      </c>
      <c r="BG240" s="3297">
        <f>IFERROR(VLOOKUP(B240,[3]Sheet2!A$1:B$65536,2,FALSE),0)</f>
        <v>0</v>
      </c>
      <c r="BI240" s="3297">
        <f>IFERROR(VLOOKUP(B240,[3]Sheet2!A$1:C$65536,2,FALSE),0)</f>
        <v>0</v>
      </c>
      <c r="BJ240" s="3297">
        <f>IFERROR(VLOOKUP(B240,[3]Sheet2!A$1:C$65536,3,FALSE),0)</f>
        <v>0</v>
      </c>
    </row>
    <row r="241" spans="1:62" s="3261" customFormat="1" ht="20.25" customHeight="1">
      <c r="A241" s="3226">
        <v>239</v>
      </c>
      <c r="B241" s="3250" t="s">
        <v>4866</v>
      </c>
      <c r="C241" s="3227" t="s">
        <v>3333</v>
      </c>
      <c r="D241" s="3251" t="s">
        <v>3798</v>
      </c>
      <c r="E241" s="3229">
        <v>43909</v>
      </c>
      <c r="F241" s="3230">
        <v>50000</v>
      </c>
      <c r="G241" s="3231">
        <v>130.77000000000001</v>
      </c>
      <c r="H241" s="3231" t="str">
        <f t="shared" si="42"/>
        <v>普通住宅</v>
      </c>
      <c r="I241" s="3230">
        <v>1784521</v>
      </c>
      <c r="J241" s="3229">
        <v>43919</v>
      </c>
      <c r="K241" s="3284">
        <f t="shared" si="43"/>
        <v>3</v>
      </c>
      <c r="L241" s="3230">
        <v>1770000</v>
      </c>
      <c r="M241" s="3235">
        <f t="shared" si="44"/>
        <v>13535.214498738242</v>
      </c>
      <c r="N241" s="3236">
        <v>720000</v>
      </c>
      <c r="O241" s="3244">
        <f t="shared" si="45"/>
        <v>1770000</v>
      </c>
      <c r="P241" s="3244"/>
      <c r="Q241" s="3244"/>
      <c r="R241" s="3244">
        <f t="shared" si="46"/>
        <v>770000</v>
      </c>
      <c r="S241" s="3244">
        <f t="shared" si="47"/>
        <v>770000</v>
      </c>
      <c r="T241" s="3236"/>
      <c r="U241" s="3236"/>
      <c r="V241" s="3236">
        <v>1000000</v>
      </c>
      <c r="W241" s="3236"/>
      <c r="X241" s="3244">
        <f t="shared" si="48"/>
        <v>1770000</v>
      </c>
      <c r="Y241" s="3244">
        <f t="shared" si="49"/>
        <v>0</v>
      </c>
      <c r="Z241" s="3285">
        <f t="shared" si="50"/>
        <v>1</v>
      </c>
      <c r="AA241" s="3226" t="s">
        <v>3319</v>
      </c>
      <c r="AB241" s="3226" t="s">
        <v>4587</v>
      </c>
      <c r="AC241" s="3226" t="s">
        <v>4698</v>
      </c>
      <c r="AD241" s="3286" t="s">
        <v>4539</v>
      </c>
      <c r="AE241" s="3286" t="s">
        <v>4427</v>
      </c>
      <c r="AF241" s="3286"/>
      <c r="AG241" s="3323"/>
      <c r="AH241" s="3255">
        <v>43918</v>
      </c>
      <c r="AI241" s="3255">
        <v>43922</v>
      </c>
      <c r="AJ241" s="3255">
        <v>43957</v>
      </c>
      <c r="AK241" s="3287">
        <f t="shared" si="51"/>
        <v>2020</v>
      </c>
      <c r="AL241" s="3288">
        <f t="shared" si="52"/>
        <v>5</v>
      </c>
      <c r="AM241" s="3226" t="s">
        <v>4634</v>
      </c>
      <c r="AN241" s="3289">
        <v>1000000</v>
      </c>
      <c r="AO241" s="3300"/>
      <c r="AP241" s="3300"/>
      <c r="AQ241" s="3300"/>
      <c r="AR241" s="3292"/>
      <c r="AS241" s="3292"/>
      <c r="AT241" s="3292"/>
      <c r="AU241" s="3293" t="str">
        <f t="shared" si="54"/>
        <v/>
      </c>
      <c r="AV241" s="3293" t="str">
        <f t="shared" si="55"/>
        <v/>
      </c>
      <c r="AW241" s="3294"/>
      <c r="AX241" s="3236"/>
      <c r="AY241" s="3244"/>
      <c r="AZ241" s="3295" t="s">
        <v>4445</v>
      </c>
      <c r="BA241" s="3296" t="str">
        <f t="shared" si="53"/>
        <v>签约</v>
      </c>
      <c r="BB241" s="3226"/>
      <c r="BC241" s="3226"/>
      <c r="BD241" s="3292"/>
      <c r="BE241" s="3297" t="s">
        <v>4367</v>
      </c>
      <c r="BG241" s="3297">
        <f>IFERROR(VLOOKUP(B241,[3]Sheet2!A$1:B$65536,2,FALSE),0)</f>
        <v>0</v>
      </c>
      <c r="BI241" s="3297">
        <f>IFERROR(VLOOKUP(B241,[3]Sheet2!A$1:C$65536,2,FALSE),0)</f>
        <v>0</v>
      </c>
      <c r="BJ241" s="3297">
        <f>IFERROR(VLOOKUP(B241,[3]Sheet2!A$1:C$65536,3,FALSE),0)</f>
        <v>0</v>
      </c>
    </row>
    <row r="242" spans="1:62" s="3261" customFormat="1" ht="20.25" customHeight="1">
      <c r="A242" s="3226">
        <v>240</v>
      </c>
      <c r="B242" s="3250" t="s">
        <v>4867</v>
      </c>
      <c r="C242" s="3227" t="s">
        <v>3333</v>
      </c>
      <c r="D242" s="3251" t="s">
        <v>3780</v>
      </c>
      <c r="E242" s="3229">
        <v>43799</v>
      </c>
      <c r="F242" s="3230">
        <v>50000</v>
      </c>
      <c r="G242" s="3231">
        <v>150.22</v>
      </c>
      <c r="H242" s="3231" t="str">
        <f t="shared" si="42"/>
        <v>非普通住宅</v>
      </c>
      <c r="I242" s="3230">
        <v>1881935</v>
      </c>
      <c r="J242" s="3229">
        <v>43804</v>
      </c>
      <c r="K242" s="3284">
        <f t="shared" si="43"/>
        <v>12</v>
      </c>
      <c r="L242" s="3230">
        <v>1861935</v>
      </c>
      <c r="M242" s="3235">
        <f t="shared" si="44"/>
        <v>12394.721075755559</v>
      </c>
      <c r="N242" s="3236">
        <v>511935</v>
      </c>
      <c r="O242" s="3244">
        <f t="shared" si="45"/>
        <v>1861935</v>
      </c>
      <c r="P242" s="3244"/>
      <c r="Q242" s="3244"/>
      <c r="R242" s="3244">
        <f t="shared" si="46"/>
        <v>561935</v>
      </c>
      <c r="S242" s="3244">
        <f t="shared" si="47"/>
        <v>561935</v>
      </c>
      <c r="T242" s="3236"/>
      <c r="U242" s="3236"/>
      <c r="V242" s="3236">
        <v>1300000</v>
      </c>
      <c r="W242" s="3236"/>
      <c r="X242" s="3244">
        <f t="shared" si="48"/>
        <v>1861935</v>
      </c>
      <c r="Y242" s="3244">
        <f t="shared" si="49"/>
        <v>0</v>
      </c>
      <c r="Z242" s="3285">
        <f t="shared" si="50"/>
        <v>1</v>
      </c>
      <c r="AA242" s="3226" t="s">
        <v>3319</v>
      </c>
      <c r="AB242" s="3226" t="s">
        <v>4587</v>
      </c>
      <c r="AC242" s="3226" t="s">
        <v>4698</v>
      </c>
      <c r="AD242" s="3286" t="s">
        <v>4419</v>
      </c>
      <c r="AE242" s="3286" t="s">
        <v>4427</v>
      </c>
      <c r="AF242" s="3286"/>
      <c r="AG242" s="3323"/>
      <c r="AH242" s="3255">
        <v>43804</v>
      </c>
      <c r="AI242" s="3255">
        <v>43810</v>
      </c>
      <c r="AJ242" s="3255">
        <v>43852</v>
      </c>
      <c r="AK242" s="3287">
        <f t="shared" si="51"/>
        <v>2020</v>
      </c>
      <c r="AL242" s="3288">
        <f t="shared" si="52"/>
        <v>1</v>
      </c>
      <c r="AM242" s="3226" t="s">
        <v>4477</v>
      </c>
      <c r="AN242" s="3289">
        <v>1300000</v>
      </c>
      <c r="AO242" s="3300"/>
      <c r="AP242" s="3300"/>
      <c r="AQ242" s="3300"/>
      <c r="AR242" s="3292"/>
      <c r="AS242" s="3292"/>
      <c r="AT242" s="3292"/>
      <c r="AU242" s="3293" t="str">
        <f t="shared" si="54"/>
        <v/>
      </c>
      <c r="AV242" s="3293" t="str">
        <f t="shared" si="55"/>
        <v/>
      </c>
      <c r="AW242" s="3294"/>
      <c r="AX242" s="3236"/>
      <c r="AY242" s="3244"/>
      <c r="AZ242" s="3295" t="s">
        <v>4445</v>
      </c>
      <c r="BA242" s="3296" t="str">
        <f t="shared" si="53"/>
        <v>签约</v>
      </c>
      <c r="BB242" s="3226"/>
      <c r="BC242" s="3226"/>
      <c r="BD242" s="3292">
        <v>43826</v>
      </c>
      <c r="BE242" s="3297" t="s">
        <v>4696</v>
      </c>
      <c r="BG242" s="3297">
        <f>IFERROR(VLOOKUP(B242,[3]Sheet2!A$1:B$65536,2,FALSE),0)</f>
        <v>0</v>
      </c>
      <c r="BI242" s="3297">
        <f>IFERROR(VLOOKUP(B242,[3]Sheet2!A$1:C$65536,2,FALSE),0)</f>
        <v>0</v>
      </c>
      <c r="BJ242" s="3297">
        <f>IFERROR(VLOOKUP(B242,[3]Sheet2!A$1:C$65536,3,FALSE),0)</f>
        <v>0</v>
      </c>
    </row>
    <row r="243" spans="1:62" s="3261" customFormat="1" ht="20.25" customHeight="1">
      <c r="A243" s="3226">
        <v>241</v>
      </c>
      <c r="B243" s="3250" t="s">
        <v>4868</v>
      </c>
      <c r="C243" s="3227" t="s">
        <v>3333</v>
      </c>
      <c r="D243" s="3251" t="s">
        <v>3801</v>
      </c>
      <c r="E243" s="3229">
        <v>43816</v>
      </c>
      <c r="F243" s="3230">
        <v>100000</v>
      </c>
      <c r="G243" s="3231">
        <v>150.22</v>
      </c>
      <c r="H243" s="3231" t="str">
        <f t="shared" si="42"/>
        <v>非普通住宅</v>
      </c>
      <c r="I243" s="3230">
        <v>1959368</v>
      </c>
      <c r="J243" s="3229">
        <v>43860</v>
      </c>
      <c r="K243" s="3284">
        <f t="shared" si="43"/>
        <v>1</v>
      </c>
      <c r="L243" s="3230">
        <v>1949368</v>
      </c>
      <c r="M243" s="3235">
        <f t="shared" si="44"/>
        <v>12976.754093995474</v>
      </c>
      <c r="N243" s="3236">
        <v>689368</v>
      </c>
      <c r="O243" s="3244">
        <f t="shared" si="45"/>
        <v>1949368</v>
      </c>
      <c r="P243" s="3244"/>
      <c r="Q243" s="3244"/>
      <c r="R243" s="3244">
        <f t="shared" si="46"/>
        <v>789368</v>
      </c>
      <c r="S243" s="3244">
        <f t="shared" si="47"/>
        <v>789368</v>
      </c>
      <c r="T243" s="3236"/>
      <c r="U243" s="3236"/>
      <c r="V243" s="3236">
        <v>1160000</v>
      </c>
      <c r="W243" s="3236"/>
      <c r="X243" s="3244">
        <f t="shared" si="48"/>
        <v>1949368</v>
      </c>
      <c r="Y243" s="3244">
        <f t="shared" si="49"/>
        <v>0</v>
      </c>
      <c r="Z243" s="3285">
        <f t="shared" si="50"/>
        <v>1</v>
      </c>
      <c r="AA243" s="3226" t="s">
        <v>4416</v>
      </c>
      <c r="AB243" s="3226" t="s">
        <v>4417</v>
      </c>
      <c r="AC243" s="3226" t="s">
        <v>4418</v>
      </c>
      <c r="AD243" s="3286" t="s">
        <v>4419</v>
      </c>
      <c r="AE243" s="3286" t="s">
        <v>4427</v>
      </c>
      <c r="AF243" s="3286"/>
      <c r="AG243" s="3323"/>
      <c r="AH243" s="3255">
        <v>43860</v>
      </c>
      <c r="AI243" s="3255">
        <v>43888</v>
      </c>
      <c r="AJ243" s="3255">
        <v>43903</v>
      </c>
      <c r="AK243" s="3287">
        <f t="shared" si="51"/>
        <v>2020</v>
      </c>
      <c r="AL243" s="3288">
        <f t="shared" si="52"/>
        <v>3</v>
      </c>
      <c r="AM243" s="3226" t="s">
        <v>4433</v>
      </c>
      <c r="AN243" s="3289">
        <v>1160000</v>
      </c>
      <c r="AO243" s="3300"/>
      <c r="AP243" s="3300"/>
      <c r="AQ243" s="3300"/>
      <c r="AR243" s="3292"/>
      <c r="AS243" s="3292"/>
      <c r="AT243" s="3292"/>
      <c r="AU243" s="3293" t="str">
        <f t="shared" si="54"/>
        <v/>
      </c>
      <c r="AV243" s="3293" t="str">
        <f t="shared" si="55"/>
        <v/>
      </c>
      <c r="AW243" s="3294"/>
      <c r="AX243" s="3236"/>
      <c r="AY243" s="3244"/>
      <c r="AZ243" s="3295" t="s">
        <v>4422</v>
      </c>
      <c r="BA243" s="3296" t="str">
        <f t="shared" si="53"/>
        <v>签约</v>
      </c>
      <c r="BB243" s="3226"/>
      <c r="BC243" s="3226"/>
      <c r="BD243" s="3292"/>
      <c r="BE243" s="3297" t="s">
        <v>4367</v>
      </c>
      <c r="BG243" s="3297">
        <f>IFERROR(VLOOKUP(B243,[3]Sheet2!A$1:B$65536,2,FALSE),0)</f>
        <v>0</v>
      </c>
      <c r="BI243" s="3297">
        <f>IFERROR(VLOOKUP(B243,[3]Sheet2!A$1:C$65536,2,FALSE),0)</f>
        <v>0</v>
      </c>
      <c r="BJ243" s="3297">
        <f>IFERROR(VLOOKUP(B243,[3]Sheet2!A$1:C$65536,3,FALSE),0)</f>
        <v>0</v>
      </c>
    </row>
    <row r="244" spans="1:62" s="3261" customFormat="1" ht="20.25" customHeight="1">
      <c r="A244" s="3226">
        <v>242</v>
      </c>
      <c r="B244" s="3263" t="s">
        <v>4869</v>
      </c>
      <c r="C244" s="3227" t="s">
        <v>3333</v>
      </c>
      <c r="D244" s="3251" t="s">
        <v>3803</v>
      </c>
      <c r="E244" s="3229">
        <v>43909</v>
      </c>
      <c r="F244" s="3230">
        <v>50000</v>
      </c>
      <c r="G244" s="3231">
        <v>150.22</v>
      </c>
      <c r="H244" s="3231" t="str">
        <f t="shared" si="42"/>
        <v>非普通住宅</v>
      </c>
      <c r="I244" s="3230">
        <v>2013571</v>
      </c>
      <c r="J244" s="3229">
        <v>43919</v>
      </c>
      <c r="K244" s="3284">
        <f t="shared" si="43"/>
        <v>3</v>
      </c>
      <c r="L244" s="3230">
        <v>1998571</v>
      </c>
      <c r="M244" s="3235">
        <f t="shared" si="44"/>
        <v>13304.293702569565</v>
      </c>
      <c r="N244" s="3236">
        <v>1048571</v>
      </c>
      <c r="O244" s="3244">
        <f t="shared" si="45"/>
        <v>1998571</v>
      </c>
      <c r="P244" s="3244"/>
      <c r="Q244" s="3244"/>
      <c r="R244" s="3244">
        <f t="shared" si="46"/>
        <v>1098571</v>
      </c>
      <c r="S244" s="3244">
        <f t="shared" si="47"/>
        <v>1098571</v>
      </c>
      <c r="T244" s="3236"/>
      <c r="U244" s="3236"/>
      <c r="V244" s="3236">
        <v>900000</v>
      </c>
      <c r="W244" s="3236"/>
      <c r="X244" s="3244">
        <f t="shared" si="48"/>
        <v>1998571</v>
      </c>
      <c r="Y244" s="3244">
        <f t="shared" si="49"/>
        <v>0</v>
      </c>
      <c r="Z244" s="3285">
        <f t="shared" si="50"/>
        <v>1</v>
      </c>
      <c r="AA244" s="3226" t="s">
        <v>3319</v>
      </c>
      <c r="AB244" s="3226" t="s">
        <v>4587</v>
      </c>
      <c r="AC244" s="3226" t="s">
        <v>4698</v>
      </c>
      <c r="AD244" s="3286" t="s">
        <v>4539</v>
      </c>
      <c r="AE244" s="3286" t="s">
        <v>4427</v>
      </c>
      <c r="AF244" s="3286"/>
      <c r="AG244" s="3323"/>
      <c r="AH244" s="3255">
        <v>43919</v>
      </c>
      <c r="AI244" s="3255">
        <v>43925</v>
      </c>
      <c r="AJ244" s="3255">
        <v>43934</v>
      </c>
      <c r="AK244" s="3287">
        <f t="shared" si="51"/>
        <v>2020</v>
      </c>
      <c r="AL244" s="3288">
        <f t="shared" si="52"/>
        <v>4</v>
      </c>
      <c r="AM244" s="3226" t="s">
        <v>4433</v>
      </c>
      <c r="AN244" s="3289">
        <v>900000</v>
      </c>
      <c r="AO244" s="3300"/>
      <c r="AP244" s="3300"/>
      <c r="AQ244" s="3300"/>
      <c r="AR244" s="3292"/>
      <c r="AS244" s="3292"/>
      <c r="AT244" s="3292"/>
      <c r="AU244" s="3293" t="str">
        <f t="shared" si="54"/>
        <v/>
      </c>
      <c r="AV244" s="3293" t="str">
        <f t="shared" si="55"/>
        <v/>
      </c>
      <c r="AW244" s="3294"/>
      <c r="AX244" s="3236"/>
      <c r="AY244" s="3244"/>
      <c r="AZ244" s="3295" t="s">
        <v>4422</v>
      </c>
      <c r="BA244" s="3296" t="str">
        <f t="shared" si="53"/>
        <v>签约</v>
      </c>
      <c r="BB244" s="3226"/>
      <c r="BC244" s="3226"/>
      <c r="BD244" s="3292"/>
      <c r="BE244" s="3297" t="s">
        <v>4367</v>
      </c>
      <c r="BG244" s="3297">
        <f>IFERROR(VLOOKUP(B244,[3]Sheet2!A$1:B$65536,2,FALSE),0)</f>
        <v>0</v>
      </c>
      <c r="BI244" s="3297">
        <f>IFERROR(VLOOKUP(B244,[3]Sheet2!A$1:C$65536,2,FALSE),0)</f>
        <v>0</v>
      </c>
      <c r="BJ244" s="3297">
        <f>IFERROR(VLOOKUP(B244,[3]Sheet2!A$1:C$65536,3,FALSE),0)</f>
        <v>0</v>
      </c>
    </row>
    <row r="245" spans="1:62" s="3261" customFormat="1" ht="20.25" customHeight="1">
      <c r="A245" s="3226">
        <v>243</v>
      </c>
      <c r="B245" s="3263" t="s">
        <v>4870</v>
      </c>
      <c r="C245" s="3227" t="s">
        <v>3333</v>
      </c>
      <c r="D245" s="3251" t="s">
        <v>3805</v>
      </c>
      <c r="E245" s="3229">
        <v>43933</v>
      </c>
      <c r="F245" s="3230">
        <f>20000+30000</f>
        <v>50000</v>
      </c>
      <c r="G245" s="3231">
        <v>150.22</v>
      </c>
      <c r="H245" s="3231" t="str">
        <f t="shared" si="42"/>
        <v>非普通住宅</v>
      </c>
      <c r="I245" s="3230">
        <v>2060030</v>
      </c>
      <c r="J245" s="3229">
        <v>43943</v>
      </c>
      <c r="K245" s="3284">
        <f t="shared" si="43"/>
        <v>4</v>
      </c>
      <c r="L245" s="3230">
        <v>2060030</v>
      </c>
      <c r="M245" s="3235">
        <f t="shared" si="44"/>
        <v>13713.420316868593</v>
      </c>
      <c r="N245" s="3236">
        <v>570030</v>
      </c>
      <c r="O245" s="3244">
        <f t="shared" si="45"/>
        <v>2060030</v>
      </c>
      <c r="P245" s="3244"/>
      <c r="Q245" s="3244"/>
      <c r="R245" s="3244">
        <f t="shared" si="46"/>
        <v>620030</v>
      </c>
      <c r="S245" s="3244">
        <f t="shared" si="47"/>
        <v>620030</v>
      </c>
      <c r="T245" s="3236"/>
      <c r="U245" s="3236"/>
      <c r="V245" s="3236">
        <v>1440000</v>
      </c>
      <c r="W245" s="3236"/>
      <c r="X245" s="3244">
        <f t="shared" si="48"/>
        <v>2060030</v>
      </c>
      <c r="Y245" s="3244">
        <f t="shared" si="49"/>
        <v>0</v>
      </c>
      <c r="Z245" s="3285">
        <f t="shared" si="50"/>
        <v>1</v>
      </c>
      <c r="AA245" s="3226" t="s">
        <v>3319</v>
      </c>
      <c r="AB245" s="3226" t="s">
        <v>4587</v>
      </c>
      <c r="AC245" s="3226" t="s">
        <v>4698</v>
      </c>
      <c r="AD245" s="3286" t="s">
        <v>4539</v>
      </c>
      <c r="AE245" s="3286" t="s">
        <v>4427</v>
      </c>
      <c r="AF245" s="3286"/>
      <c r="AG245" s="3323"/>
      <c r="AH245" s="3255">
        <v>43943</v>
      </c>
      <c r="AI245" s="3255">
        <v>43943</v>
      </c>
      <c r="AJ245" s="3255">
        <v>43964</v>
      </c>
      <c r="AK245" s="3287">
        <f t="shared" si="51"/>
        <v>2020</v>
      </c>
      <c r="AL245" s="3288">
        <f t="shared" si="52"/>
        <v>5</v>
      </c>
      <c r="AM245" s="3226" t="s">
        <v>4477</v>
      </c>
      <c r="AN245" s="3289">
        <v>1440000</v>
      </c>
      <c r="AO245" s="3300"/>
      <c r="AP245" s="3300"/>
      <c r="AQ245" s="3300"/>
      <c r="AR245" s="3292"/>
      <c r="AS245" s="3292"/>
      <c r="AT245" s="3292"/>
      <c r="AU245" s="3293" t="str">
        <f t="shared" si="54"/>
        <v/>
      </c>
      <c r="AV245" s="3293" t="str">
        <f t="shared" si="55"/>
        <v/>
      </c>
      <c r="AW245" s="3294"/>
      <c r="AX245" s="3236"/>
      <c r="AY245" s="3244"/>
      <c r="AZ245" s="3325" t="s">
        <v>4735</v>
      </c>
      <c r="BA245" s="3296" t="str">
        <f t="shared" si="53"/>
        <v>签约</v>
      </c>
      <c r="BB245" s="3226"/>
      <c r="BC245" s="3226"/>
      <c r="BD245" s="3292"/>
      <c r="BE245" s="3297" t="s">
        <v>4465</v>
      </c>
      <c r="BG245" s="3297">
        <f>IFERROR(VLOOKUP(B245,[3]Sheet2!A$1:B$65536,2,FALSE),0)</f>
        <v>0</v>
      </c>
      <c r="BI245" s="3297">
        <f>IFERROR(VLOOKUP(B245,[3]Sheet2!A$1:C$65536,2,FALSE),0)</f>
        <v>0</v>
      </c>
      <c r="BJ245" s="3297">
        <f>IFERROR(VLOOKUP(B245,[3]Sheet2!A$1:C$65536,3,FALSE),0)</f>
        <v>0</v>
      </c>
    </row>
    <row r="246" spans="1:62" s="3261" customFormat="1" ht="20.25" customHeight="1">
      <c r="A246" s="3226">
        <v>244</v>
      </c>
      <c r="B246" s="3250" t="s">
        <v>4871</v>
      </c>
      <c r="C246" s="3227" t="s">
        <v>3333</v>
      </c>
      <c r="D246" s="3251" t="s">
        <v>3807</v>
      </c>
      <c r="E246" s="3229">
        <v>43901</v>
      </c>
      <c r="F246" s="3230">
        <v>50000</v>
      </c>
      <c r="G246" s="3231">
        <v>150.22</v>
      </c>
      <c r="H246" s="3231" t="str">
        <f t="shared" si="42"/>
        <v>非普通住宅</v>
      </c>
      <c r="I246" s="3230">
        <v>2067774</v>
      </c>
      <c r="J246" s="3229">
        <v>43915</v>
      </c>
      <c r="K246" s="3284">
        <f t="shared" si="43"/>
        <v>3</v>
      </c>
      <c r="L246" s="3230">
        <v>2052774</v>
      </c>
      <c r="M246" s="3235">
        <f t="shared" si="44"/>
        <v>13665.117827186792</v>
      </c>
      <c r="N246" s="3236">
        <f>602774+200000</f>
        <v>802774</v>
      </c>
      <c r="O246" s="3244">
        <f t="shared" si="45"/>
        <v>2052774</v>
      </c>
      <c r="P246" s="3244"/>
      <c r="Q246" s="3244"/>
      <c r="R246" s="3244">
        <f t="shared" si="46"/>
        <v>852774</v>
      </c>
      <c r="S246" s="3244">
        <f t="shared" si="47"/>
        <v>852774</v>
      </c>
      <c r="T246" s="3236"/>
      <c r="U246" s="3236"/>
      <c r="V246" s="3236">
        <v>600000</v>
      </c>
      <c r="W246" s="3236">
        <v>600000</v>
      </c>
      <c r="X246" s="3244">
        <f t="shared" si="48"/>
        <v>2052774</v>
      </c>
      <c r="Y246" s="3244">
        <f t="shared" si="49"/>
        <v>0</v>
      </c>
      <c r="Z246" s="3285">
        <f t="shared" si="50"/>
        <v>1</v>
      </c>
      <c r="AA246" s="3226" t="s">
        <v>3319</v>
      </c>
      <c r="AB246" s="3226" t="s">
        <v>4587</v>
      </c>
      <c r="AC246" s="3226" t="s">
        <v>4452</v>
      </c>
      <c r="AD246" s="3286" t="s">
        <v>4539</v>
      </c>
      <c r="AE246" s="3286" t="s">
        <v>4427</v>
      </c>
      <c r="AF246" s="3286"/>
      <c r="AG246" s="3323"/>
      <c r="AH246" s="3255">
        <v>43921</v>
      </c>
      <c r="AI246" s="3255">
        <v>43921</v>
      </c>
      <c r="AJ246" s="3255">
        <v>43937</v>
      </c>
      <c r="AK246" s="3287">
        <f t="shared" si="51"/>
        <v>2020</v>
      </c>
      <c r="AL246" s="3288">
        <f t="shared" si="52"/>
        <v>4</v>
      </c>
      <c r="AM246" s="3226" t="s">
        <v>4433</v>
      </c>
      <c r="AN246" s="3289">
        <v>600000</v>
      </c>
      <c r="AO246" s="3300" t="s">
        <v>4539</v>
      </c>
      <c r="AP246" s="3300" t="s">
        <v>4427</v>
      </c>
      <c r="AQ246" s="3300"/>
      <c r="AR246" s="3292">
        <v>43921</v>
      </c>
      <c r="AS246" s="3292">
        <v>43921</v>
      </c>
      <c r="AT246" s="3292">
        <v>43945</v>
      </c>
      <c r="AU246" s="3293">
        <f t="shared" si="54"/>
        <v>2020</v>
      </c>
      <c r="AV246" s="3293">
        <f t="shared" si="55"/>
        <v>4</v>
      </c>
      <c r="AW246" s="3294" t="s">
        <v>4657</v>
      </c>
      <c r="AX246" s="3236">
        <v>600000</v>
      </c>
      <c r="AY246" s="3244"/>
      <c r="AZ246" s="3295" t="s">
        <v>4507</v>
      </c>
      <c r="BA246" s="3296" t="str">
        <f t="shared" si="53"/>
        <v>签约</v>
      </c>
      <c r="BB246" s="3226"/>
      <c r="BC246" s="3226"/>
      <c r="BD246" s="3292"/>
      <c r="BE246" s="3297" t="s">
        <v>4696</v>
      </c>
      <c r="BG246" s="3297">
        <f>IFERROR(VLOOKUP(B246,[3]Sheet2!A$1:B$65536,2,FALSE),0)</f>
        <v>0</v>
      </c>
      <c r="BI246" s="3297">
        <f>IFERROR(VLOOKUP(B246,[3]Sheet2!A$1:C$65536,2,FALSE),0)</f>
        <v>0</v>
      </c>
      <c r="BJ246" s="3297">
        <f>IFERROR(VLOOKUP(B246,[3]Sheet2!A$1:C$65536,3,FALSE),0)</f>
        <v>0</v>
      </c>
    </row>
    <row r="247" spans="1:62" s="3261" customFormat="1" ht="20.25" customHeight="1">
      <c r="A247" s="3226">
        <v>245</v>
      </c>
      <c r="B247" s="3250" t="s">
        <v>4872</v>
      </c>
      <c r="C247" s="3227" t="s">
        <v>3333</v>
      </c>
      <c r="D247" s="3251" t="s">
        <v>3809</v>
      </c>
      <c r="E247" s="3229">
        <v>43829</v>
      </c>
      <c r="F247" s="3230">
        <v>50000</v>
      </c>
      <c r="G247" s="3231">
        <v>150.22</v>
      </c>
      <c r="H247" s="3231" t="str">
        <f t="shared" si="42"/>
        <v>非普通住宅</v>
      </c>
      <c r="I247" s="3230">
        <v>2075517</v>
      </c>
      <c r="J247" s="3229">
        <v>43860</v>
      </c>
      <c r="K247" s="3284">
        <f t="shared" si="43"/>
        <v>1</v>
      </c>
      <c r="L247" s="3230">
        <v>2070000</v>
      </c>
      <c r="M247" s="3235">
        <f t="shared" si="44"/>
        <v>13779.789641858608</v>
      </c>
      <c r="N247" s="3236">
        <v>571000</v>
      </c>
      <c r="O247" s="3244">
        <f t="shared" si="45"/>
        <v>2070000</v>
      </c>
      <c r="P247" s="3244"/>
      <c r="Q247" s="3244"/>
      <c r="R247" s="3244">
        <f t="shared" si="46"/>
        <v>621000</v>
      </c>
      <c r="S247" s="3244">
        <f t="shared" si="47"/>
        <v>621000</v>
      </c>
      <c r="T247" s="3236"/>
      <c r="U247" s="3236"/>
      <c r="V247" s="3236">
        <v>1449000</v>
      </c>
      <c r="W247" s="3236"/>
      <c r="X247" s="3244">
        <f t="shared" si="48"/>
        <v>2070000</v>
      </c>
      <c r="Y247" s="3244">
        <f t="shared" si="49"/>
        <v>0</v>
      </c>
      <c r="Z247" s="3285">
        <f t="shared" si="50"/>
        <v>1</v>
      </c>
      <c r="AA247" s="3226" t="s">
        <v>4416</v>
      </c>
      <c r="AB247" s="3226" t="s">
        <v>4417</v>
      </c>
      <c r="AC247" s="3226" t="s">
        <v>4418</v>
      </c>
      <c r="AD247" s="3286" t="s">
        <v>4539</v>
      </c>
      <c r="AE247" s="3286" t="s">
        <v>4427</v>
      </c>
      <c r="AF247" s="3286"/>
      <c r="AG247" s="3323"/>
      <c r="AH247" s="3255">
        <v>43900</v>
      </c>
      <c r="AI247" s="3255">
        <v>43900</v>
      </c>
      <c r="AJ247" s="3255">
        <v>43910</v>
      </c>
      <c r="AK247" s="3287">
        <f t="shared" si="51"/>
        <v>2020</v>
      </c>
      <c r="AL247" s="3288">
        <f t="shared" si="52"/>
        <v>3</v>
      </c>
      <c r="AM247" s="3226" t="s">
        <v>4477</v>
      </c>
      <c r="AN247" s="3289">
        <v>1449000</v>
      </c>
      <c r="AO247" s="3300"/>
      <c r="AP247" s="3300"/>
      <c r="AQ247" s="3300"/>
      <c r="AR247" s="3292"/>
      <c r="AS247" s="3292"/>
      <c r="AT247" s="3292"/>
      <c r="AU247" s="3293" t="str">
        <f t="shared" si="54"/>
        <v/>
      </c>
      <c r="AV247" s="3293" t="str">
        <f t="shared" si="55"/>
        <v/>
      </c>
      <c r="AW247" s="3294"/>
      <c r="AX247" s="3236"/>
      <c r="AY247" s="3244"/>
      <c r="AZ247" s="3295" t="s">
        <v>4507</v>
      </c>
      <c r="BA247" s="3296" t="str">
        <f t="shared" si="53"/>
        <v>签约</v>
      </c>
      <c r="BB247" s="3226"/>
      <c r="BC247" s="3226"/>
      <c r="BD247" s="3292"/>
      <c r="BE247" s="3297" t="s">
        <v>4465</v>
      </c>
      <c r="BG247" s="3297">
        <f>IFERROR(VLOOKUP(B247,[3]Sheet2!A$1:B$65536,2,FALSE),0)</f>
        <v>0</v>
      </c>
      <c r="BI247" s="3297">
        <f>IFERROR(VLOOKUP(B247,[3]Sheet2!A$1:C$65536,2,FALSE),0)</f>
        <v>0</v>
      </c>
      <c r="BJ247" s="3297">
        <f>IFERROR(VLOOKUP(B247,[3]Sheet2!A$1:C$65536,3,FALSE),0)</f>
        <v>0</v>
      </c>
    </row>
    <row r="248" spans="1:62" s="3261" customFormat="1" ht="20.25" customHeight="1">
      <c r="A248" s="3226">
        <v>246</v>
      </c>
      <c r="B248" s="3250" t="s">
        <v>4873</v>
      </c>
      <c r="C248" s="3227" t="s">
        <v>3333</v>
      </c>
      <c r="D248" s="3251" t="s">
        <v>3811</v>
      </c>
      <c r="E248" s="3229">
        <v>43914</v>
      </c>
      <c r="F248" s="3230">
        <v>50000</v>
      </c>
      <c r="G248" s="3231">
        <v>150.22</v>
      </c>
      <c r="H248" s="3231" t="str">
        <f t="shared" si="42"/>
        <v>非普通住宅</v>
      </c>
      <c r="I248" s="3230">
        <v>2083260</v>
      </c>
      <c r="J248" s="3229">
        <v>43921</v>
      </c>
      <c r="K248" s="3284">
        <f t="shared" si="43"/>
        <v>3</v>
      </c>
      <c r="L248" s="3230">
        <v>2078260</v>
      </c>
      <c r="M248" s="3235">
        <f t="shared" si="44"/>
        <v>13834.77566236187</v>
      </c>
      <c r="N248" s="3236">
        <v>758260</v>
      </c>
      <c r="O248" s="3244">
        <f t="shared" si="45"/>
        <v>2078260</v>
      </c>
      <c r="P248" s="3244"/>
      <c r="Q248" s="3244"/>
      <c r="R248" s="3244">
        <f t="shared" si="46"/>
        <v>808260</v>
      </c>
      <c r="S248" s="3244">
        <f t="shared" si="47"/>
        <v>808260</v>
      </c>
      <c r="T248" s="3236"/>
      <c r="U248" s="3236"/>
      <c r="V248" s="3236">
        <v>1270000</v>
      </c>
      <c r="W248" s="3236"/>
      <c r="X248" s="3244">
        <f t="shared" si="48"/>
        <v>2078260</v>
      </c>
      <c r="Y248" s="3244">
        <f t="shared" si="49"/>
        <v>0</v>
      </c>
      <c r="Z248" s="3285">
        <f t="shared" si="50"/>
        <v>1</v>
      </c>
      <c r="AA248" s="3226" t="s">
        <v>3319</v>
      </c>
      <c r="AB248" s="3226" t="s">
        <v>4587</v>
      </c>
      <c r="AC248" s="3226" t="s">
        <v>4698</v>
      </c>
      <c r="AD248" s="3286" t="s">
        <v>4539</v>
      </c>
      <c r="AE248" s="3286" t="s">
        <v>4427</v>
      </c>
      <c r="AF248" s="3286"/>
      <c r="AG248" s="3323"/>
      <c r="AH248" s="3255">
        <v>43921</v>
      </c>
      <c r="AI248" s="3255">
        <v>43924</v>
      </c>
      <c r="AJ248" s="3255">
        <v>43934</v>
      </c>
      <c r="AK248" s="3287">
        <f t="shared" si="51"/>
        <v>2020</v>
      </c>
      <c r="AL248" s="3288">
        <f t="shared" si="52"/>
        <v>4</v>
      </c>
      <c r="AM248" s="3226" t="s">
        <v>4477</v>
      </c>
      <c r="AN248" s="3289">
        <v>1270000</v>
      </c>
      <c r="AO248" s="3300"/>
      <c r="AP248" s="3300"/>
      <c r="AQ248" s="3300"/>
      <c r="AR248" s="3292"/>
      <c r="AS248" s="3292"/>
      <c r="AT248" s="3292"/>
      <c r="AU248" s="3293" t="str">
        <f t="shared" si="54"/>
        <v/>
      </c>
      <c r="AV248" s="3293" t="str">
        <f t="shared" si="55"/>
        <v/>
      </c>
      <c r="AW248" s="3294"/>
      <c r="AX248" s="3236"/>
      <c r="AY248" s="3244"/>
      <c r="AZ248" s="3295" t="s">
        <v>4445</v>
      </c>
      <c r="BA248" s="3296" t="str">
        <f t="shared" si="53"/>
        <v>签约</v>
      </c>
      <c r="BB248" s="3226"/>
      <c r="BC248" s="3226"/>
      <c r="BD248" s="3292"/>
      <c r="BE248" s="3297" t="s">
        <v>4449</v>
      </c>
      <c r="BG248" s="3297">
        <f>IFERROR(VLOOKUP(B248,[3]Sheet2!A$1:B$65536,2,FALSE),0)</f>
        <v>0</v>
      </c>
      <c r="BI248" s="3297">
        <f>IFERROR(VLOOKUP(B248,[3]Sheet2!A$1:C$65536,2,FALSE),0)</f>
        <v>0</v>
      </c>
      <c r="BJ248" s="3297">
        <f>IFERROR(VLOOKUP(B248,[3]Sheet2!A$1:C$65536,3,FALSE),0)</f>
        <v>0</v>
      </c>
    </row>
    <row r="249" spans="1:62" s="3261" customFormat="1" ht="20.25" customHeight="1">
      <c r="A249" s="3226">
        <v>247</v>
      </c>
      <c r="B249" s="3250" t="s">
        <v>4874</v>
      </c>
      <c r="C249" s="3227" t="s">
        <v>3333</v>
      </c>
      <c r="D249" s="3251" t="s">
        <v>3813</v>
      </c>
      <c r="E249" s="3229">
        <v>43811</v>
      </c>
      <c r="F249" s="3230">
        <v>50000</v>
      </c>
      <c r="G249" s="3231">
        <v>150.22</v>
      </c>
      <c r="H249" s="3231" t="str">
        <f t="shared" si="42"/>
        <v>非普通住宅</v>
      </c>
      <c r="I249" s="3230">
        <v>2091004</v>
      </c>
      <c r="J249" s="3229">
        <v>43814</v>
      </c>
      <c r="K249" s="3284">
        <f t="shared" si="43"/>
        <v>12</v>
      </c>
      <c r="L249" s="3230">
        <v>2071000</v>
      </c>
      <c r="M249" s="3235">
        <f t="shared" si="44"/>
        <v>13786.446545067234</v>
      </c>
      <c r="N249" s="3236">
        <f>581000+500000+940000</f>
        <v>2021000</v>
      </c>
      <c r="O249" s="3244">
        <f t="shared" si="45"/>
        <v>2071000</v>
      </c>
      <c r="P249" s="3244"/>
      <c r="Q249" s="3244"/>
      <c r="R249" s="3244">
        <f t="shared" si="46"/>
        <v>2071000</v>
      </c>
      <c r="S249" s="3244">
        <f t="shared" si="47"/>
        <v>2071000</v>
      </c>
      <c r="T249" s="3236"/>
      <c r="U249" s="3236"/>
      <c r="V249" s="3236"/>
      <c r="W249" s="3236"/>
      <c r="X249" s="3244">
        <f t="shared" si="48"/>
        <v>2071000</v>
      </c>
      <c r="Y249" s="3244">
        <f t="shared" si="49"/>
        <v>0</v>
      </c>
      <c r="Z249" s="3285">
        <f t="shared" si="50"/>
        <v>1</v>
      </c>
      <c r="AA249" s="3226" t="s">
        <v>3319</v>
      </c>
      <c r="AB249" s="3226" t="s">
        <v>4676</v>
      </c>
      <c r="AC249" s="3226"/>
      <c r="AD249" s="3286"/>
      <c r="AE249" s="3286"/>
      <c r="AF249" s="3286"/>
      <c r="AG249" s="3323"/>
      <c r="AH249" s="3255"/>
      <c r="AI249" s="3255"/>
      <c r="AJ249" s="3255"/>
      <c r="AK249" s="3287" t="str">
        <f t="shared" si="51"/>
        <v/>
      </c>
      <c r="AL249" s="3288" t="str">
        <f t="shared" si="52"/>
        <v/>
      </c>
      <c r="AM249" s="3226"/>
      <c r="AN249" s="3289"/>
      <c r="AO249" s="3300"/>
      <c r="AP249" s="3300"/>
      <c r="AQ249" s="3300"/>
      <c r="AR249" s="3292"/>
      <c r="AS249" s="3292"/>
      <c r="AT249" s="3292"/>
      <c r="AU249" s="3293" t="str">
        <f t="shared" si="54"/>
        <v/>
      </c>
      <c r="AV249" s="3293" t="str">
        <f t="shared" si="55"/>
        <v/>
      </c>
      <c r="AW249" s="3294"/>
      <c r="AX249" s="3236"/>
      <c r="AY249" s="3244"/>
      <c r="AZ249" s="3295" t="s">
        <v>4441</v>
      </c>
      <c r="BA249" s="3296" t="str">
        <f t="shared" si="53"/>
        <v>签约</v>
      </c>
      <c r="BB249" s="3226"/>
      <c r="BC249" s="3226"/>
      <c r="BD249" s="3292">
        <v>43823</v>
      </c>
      <c r="BE249" s="3297" t="s">
        <v>4465</v>
      </c>
      <c r="BG249" s="3297">
        <f>IFERROR(VLOOKUP(B249,[3]Sheet2!A$1:B$65536,2,FALSE),0)</f>
        <v>0</v>
      </c>
      <c r="BI249" s="3297">
        <f>IFERROR(VLOOKUP(B249,[3]Sheet2!A$1:C$65536,2,FALSE),0)</f>
        <v>0</v>
      </c>
      <c r="BJ249" s="3297">
        <f>IFERROR(VLOOKUP(B249,[3]Sheet2!A$1:C$65536,3,FALSE),0)</f>
        <v>0</v>
      </c>
    </row>
    <row r="250" spans="1:62" s="3261" customFormat="1" ht="20.25" customHeight="1">
      <c r="A250" s="3226">
        <v>248</v>
      </c>
      <c r="B250" s="3250" t="s">
        <v>4875</v>
      </c>
      <c r="C250" s="3227" t="s">
        <v>3333</v>
      </c>
      <c r="D250" s="3251" t="s">
        <v>3815</v>
      </c>
      <c r="E250" s="3229">
        <v>43783</v>
      </c>
      <c r="F250" s="3230">
        <v>20000</v>
      </c>
      <c r="G250" s="3231">
        <v>150.22</v>
      </c>
      <c r="H250" s="3231" t="str">
        <f t="shared" si="42"/>
        <v>非普通住宅</v>
      </c>
      <c r="I250" s="3230">
        <v>2098747</v>
      </c>
      <c r="J250" s="3229">
        <v>43787</v>
      </c>
      <c r="K250" s="3284">
        <f t="shared" si="43"/>
        <v>11</v>
      </c>
      <c r="L250" s="3230">
        <v>2088747</v>
      </c>
      <c r="M250" s="3235">
        <f t="shared" si="44"/>
        <v>13904.586606310744</v>
      </c>
      <c r="N250" s="3236">
        <v>608747</v>
      </c>
      <c r="O250" s="3244">
        <f t="shared" si="45"/>
        <v>2088747</v>
      </c>
      <c r="P250" s="3244"/>
      <c r="Q250" s="3244"/>
      <c r="R250" s="3244">
        <f t="shared" si="46"/>
        <v>628747</v>
      </c>
      <c r="S250" s="3244">
        <f t="shared" si="47"/>
        <v>628747</v>
      </c>
      <c r="T250" s="3236"/>
      <c r="U250" s="3236"/>
      <c r="V250" s="3236">
        <v>1460000</v>
      </c>
      <c r="W250" s="3236"/>
      <c r="X250" s="3244">
        <f t="shared" si="48"/>
        <v>2088747</v>
      </c>
      <c r="Y250" s="3244">
        <f t="shared" si="49"/>
        <v>0</v>
      </c>
      <c r="Z250" s="3285">
        <f t="shared" si="50"/>
        <v>1</v>
      </c>
      <c r="AA250" s="3226" t="s">
        <v>3319</v>
      </c>
      <c r="AB250" s="3226" t="s">
        <v>4587</v>
      </c>
      <c r="AC250" s="3226" t="s">
        <v>4698</v>
      </c>
      <c r="AD250" s="3286" t="s">
        <v>4539</v>
      </c>
      <c r="AE250" s="3286" t="s">
        <v>4427</v>
      </c>
      <c r="AF250" s="3286"/>
      <c r="AG250" s="3323"/>
      <c r="AH250" s="3255">
        <v>43777</v>
      </c>
      <c r="AI250" s="3255">
        <v>43797</v>
      </c>
      <c r="AJ250" s="3255">
        <v>43810</v>
      </c>
      <c r="AK250" s="3287">
        <f t="shared" si="51"/>
        <v>2019</v>
      </c>
      <c r="AL250" s="3288">
        <f t="shared" si="52"/>
        <v>12</v>
      </c>
      <c r="AM250" s="3226" t="s">
        <v>4440</v>
      </c>
      <c r="AN250" s="3289">
        <v>1460000</v>
      </c>
      <c r="AO250" s="3300"/>
      <c r="AP250" s="3300"/>
      <c r="AQ250" s="3300"/>
      <c r="AR250" s="3292"/>
      <c r="AS250" s="3292"/>
      <c r="AT250" s="3292"/>
      <c r="AU250" s="3293" t="str">
        <f t="shared" si="54"/>
        <v/>
      </c>
      <c r="AV250" s="3293" t="str">
        <f t="shared" si="55"/>
        <v/>
      </c>
      <c r="AW250" s="3294"/>
      <c r="AX250" s="3236"/>
      <c r="AY250" s="3244"/>
      <c r="AZ250" s="3295" t="s">
        <v>4507</v>
      </c>
      <c r="BA250" s="3296" t="str">
        <f t="shared" si="53"/>
        <v>签约</v>
      </c>
      <c r="BB250" s="3226"/>
      <c r="BC250" s="3226"/>
      <c r="BD250" s="3292">
        <f>VLOOKUP(B250,[3]Sheet1!A$1:B$65536,2,0)</f>
        <v>43791</v>
      </c>
      <c r="BE250" s="3297" t="s">
        <v>4465</v>
      </c>
      <c r="BG250" s="3297">
        <f>IFERROR(VLOOKUP(B250,[3]Sheet2!A$1:B$65536,2,FALSE),0)</f>
        <v>0</v>
      </c>
      <c r="BI250" s="3297">
        <f>IFERROR(VLOOKUP(B250,[3]Sheet2!A$1:C$65536,2,FALSE),0)</f>
        <v>0</v>
      </c>
      <c r="BJ250" s="3297">
        <f>IFERROR(VLOOKUP(B250,[3]Sheet2!A$1:C$65536,3,FALSE),0)</f>
        <v>0</v>
      </c>
    </row>
    <row r="251" spans="1:62" s="3261" customFormat="1" ht="20.25" customHeight="1">
      <c r="A251" s="3226">
        <v>249</v>
      </c>
      <c r="B251" s="3250" t="s">
        <v>4876</v>
      </c>
      <c r="C251" s="3227" t="s">
        <v>3333</v>
      </c>
      <c r="D251" s="3251" t="s">
        <v>3817</v>
      </c>
      <c r="E251" s="3229">
        <v>43850</v>
      </c>
      <c r="F251" s="3230">
        <v>50000</v>
      </c>
      <c r="G251" s="3231">
        <v>150.22</v>
      </c>
      <c r="H251" s="3231" t="str">
        <f t="shared" si="42"/>
        <v>非普通住宅</v>
      </c>
      <c r="I251" s="3230">
        <v>2013571</v>
      </c>
      <c r="J251" s="3229">
        <v>43851</v>
      </c>
      <c r="K251" s="3284">
        <f t="shared" si="43"/>
        <v>1</v>
      </c>
      <c r="L251" s="3230">
        <v>2010000</v>
      </c>
      <c r="M251" s="3235">
        <f t="shared" si="44"/>
        <v>13380.375449340967</v>
      </c>
      <c r="N251" s="3236">
        <f>553000+1407000</f>
        <v>1960000</v>
      </c>
      <c r="O251" s="3244">
        <f t="shared" si="45"/>
        <v>2010000</v>
      </c>
      <c r="P251" s="3244"/>
      <c r="Q251" s="3244"/>
      <c r="R251" s="3244">
        <f t="shared" si="46"/>
        <v>2010000</v>
      </c>
      <c r="S251" s="3244">
        <f t="shared" si="47"/>
        <v>2010000</v>
      </c>
      <c r="T251" s="3236"/>
      <c r="U251" s="3236"/>
      <c r="V251" s="3236"/>
      <c r="W251" s="3236"/>
      <c r="X251" s="3244">
        <f t="shared" si="48"/>
        <v>2010000</v>
      </c>
      <c r="Y251" s="3244">
        <f t="shared" si="49"/>
        <v>0</v>
      </c>
      <c r="Z251" s="3285">
        <f t="shared" si="50"/>
        <v>1</v>
      </c>
      <c r="AA251" s="3226" t="s">
        <v>4416</v>
      </c>
      <c r="AB251" s="3226" t="s">
        <v>4676</v>
      </c>
      <c r="AC251" s="3226"/>
      <c r="AD251" s="3286"/>
      <c r="AE251" s="3286"/>
      <c r="AF251" s="3286"/>
      <c r="AG251" s="3323"/>
      <c r="AH251" s="3255"/>
      <c r="AI251" s="3255"/>
      <c r="AJ251" s="3255"/>
      <c r="AK251" s="3287" t="str">
        <f t="shared" si="51"/>
        <v/>
      </c>
      <c r="AL251" s="3288" t="str">
        <f t="shared" si="52"/>
        <v/>
      </c>
      <c r="AM251" s="3226"/>
      <c r="AN251" s="3289"/>
      <c r="AO251" s="3300"/>
      <c r="AP251" s="3300"/>
      <c r="AQ251" s="3300"/>
      <c r="AR251" s="3292"/>
      <c r="AS251" s="3292"/>
      <c r="AT251" s="3292"/>
      <c r="AU251" s="3293" t="str">
        <f t="shared" si="54"/>
        <v/>
      </c>
      <c r="AV251" s="3293" t="str">
        <f t="shared" si="55"/>
        <v/>
      </c>
      <c r="AW251" s="3294"/>
      <c r="AX251" s="3236"/>
      <c r="AY251" s="3244"/>
      <c r="AZ251" s="3295" t="s">
        <v>4507</v>
      </c>
      <c r="BA251" s="3296" t="str">
        <f t="shared" si="53"/>
        <v>签约</v>
      </c>
      <c r="BB251" s="3226"/>
      <c r="BC251" s="3226"/>
      <c r="BD251" s="3292"/>
      <c r="BE251" s="3297" t="s">
        <v>4367</v>
      </c>
      <c r="BG251" s="3297">
        <f>IFERROR(VLOOKUP(B251,[3]Sheet2!A$1:B$65536,2,FALSE),0)</f>
        <v>0</v>
      </c>
      <c r="BI251" s="3297">
        <f>IFERROR(VLOOKUP(B251,[3]Sheet2!A$1:C$65536,2,FALSE),0)</f>
        <v>0</v>
      </c>
      <c r="BJ251" s="3297">
        <f>IFERROR(VLOOKUP(B251,[3]Sheet2!A$1:C$65536,3,FALSE),0)</f>
        <v>0</v>
      </c>
    </row>
    <row r="252" spans="1:62" s="3261" customFormat="1" ht="20.25" customHeight="1">
      <c r="A252" s="3226">
        <v>250</v>
      </c>
      <c r="B252" s="3250" t="s">
        <v>4319</v>
      </c>
      <c r="C252" s="3250" t="s">
        <v>3011</v>
      </c>
      <c r="D252" s="3251" t="s">
        <v>4320</v>
      </c>
      <c r="E252" s="3229">
        <v>44003</v>
      </c>
      <c r="F252" s="3230">
        <v>200000</v>
      </c>
      <c r="G252" s="3231">
        <v>269.91000000000003</v>
      </c>
      <c r="H252" s="3231" t="str">
        <f t="shared" si="42"/>
        <v>非普通住宅</v>
      </c>
      <c r="I252" s="3230">
        <v>10577982</v>
      </c>
      <c r="J252" s="3229">
        <v>44011</v>
      </c>
      <c r="K252" s="3284">
        <f t="shared" si="43"/>
        <v>6</v>
      </c>
      <c r="L252" s="3230">
        <v>10246859</v>
      </c>
      <c r="M252" s="3235">
        <f t="shared" si="44"/>
        <v>37963.984291059976</v>
      </c>
      <c r="N252" s="3236">
        <f>700000+2730000</f>
        <v>3430000</v>
      </c>
      <c r="O252" s="3244">
        <f t="shared" si="45"/>
        <v>10246859</v>
      </c>
      <c r="P252" s="3244"/>
      <c r="Q252" s="3244"/>
      <c r="R252" s="3244">
        <f t="shared" si="46"/>
        <v>3630000</v>
      </c>
      <c r="S252" s="3244">
        <f t="shared" si="47"/>
        <v>3630000</v>
      </c>
      <c r="T252" s="3236"/>
      <c r="U252" s="3236"/>
      <c r="V252" s="3236"/>
      <c r="W252" s="3236"/>
      <c r="X252" s="3244">
        <f t="shared" si="48"/>
        <v>3630000</v>
      </c>
      <c r="Y252" s="3244">
        <f t="shared" si="49"/>
        <v>6616859</v>
      </c>
      <c r="Z252" s="3285">
        <f t="shared" si="50"/>
        <v>0.35425489898904633</v>
      </c>
      <c r="AA252" s="3226" t="s">
        <v>3319</v>
      </c>
      <c r="AB252" s="3226" t="s">
        <v>4676</v>
      </c>
      <c r="AC252" s="3226"/>
      <c r="AD252" s="3286"/>
      <c r="AE252" s="3286"/>
      <c r="AF252" s="3286"/>
      <c r="AG252" s="3323"/>
      <c r="AH252" s="3255"/>
      <c r="AI252" s="3255"/>
      <c r="AJ252" s="3255"/>
      <c r="AK252" s="3287" t="str">
        <f t="shared" si="51"/>
        <v/>
      </c>
      <c r="AL252" s="3288" t="str">
        <f t="shared" si="52"/>
        <v/>
      </c>
      <c r="AM252" s="3226"/>
      <c r="AN252" s="3289"/>
      <c r="AO252" s="3300"/>
      <c r="AP252" s="3300"/>
      <c r="AQ252" s="3300"/>
      <c r="AR252" s="3292"/>
      <c r="AS252" s="3292"/>
      <c r="AT252" s="3292"/>
      <c r="AU252" s="3293"/>
      <c r="AV252" s="3293"/>
      <c r="AW252" s="3294"/>
      <c r="AX252" s="3236"/>
      <c r="AY252" s="3244"/>
      <c r="AZ252" s="3325" t="s">
        <v>4437</v>
      </c>
      <c r="BA252" s="3296" t="str">
        <f t="shared" si="53"/>
        <v>签约</v>
      </c>
      <c r="BB252" s="3226"/>
      <c r="BC252" s="3226"/>
      <c r="BD252" s="3292"/>
      <c r="BE252" s="3297" t="s">
        <v>4696</v>
      </c>
      <c r="BG252" s="3297">
        <f>IFERROR(VLOOKUP(B252,[3]Sheet2!A$1:B$65536,2,FALSE),0)</f>
        <v>0</v>
      </c>
      <c r="BI252" s="3297">
        <f>IFERROR(VLOOKUP(B252,[3]Sheet2!A$1:C$65536,2,FALSE),0)</f>
        <v>0</v>
      </c>
      <c r="BJ252" s="3297">
        <f>IFERROR(VLOOKUP(B252,[3]Sheet2!A$1:C$65536,3,FALSE),0)</f>
        <v>0</v>
      </c>
    </row>
    <row r="253" spans="1:62" s="3261" customFormat="1" ht="20.25" customHeight="1">
      <c r="A253" s="3226">
        <v>251</v>
      </c>
      <c r="B253" s="3250" t="s">
        <v>4321</v>
      </c>
      <c r="C253" s="3250" t="s">
        <v>3011</v>
      </c>
      <c r="D253" s="3251" t="s">
        <v>4322</v>
      </c>
      <c r="E253" s="3229">
        <v>44018</v>
      </c>
      <c r="F253" s="3230">
        <v>200000</v>
      </c>
      <c r="G253" s="3231">
        <v>243.44</v>
      </c>
      <c r="H253" s="3231" t="str">
        <f t="shared" si="42"/>
        <v>非普通住宅</v>
      </c>
      <c r="I253" s="3230">
        <v>8269370</v>
      </c>
      <c r="J253" s="3229">
        <v>44025</v>
      </c>
      <c r="K253" s="3284">
        <f t="shared" si="43"/>
        <v>7</v>
      </c>
      <c r="L253" s="3230">
        <v>8219370</v>
      </c>
      <c r="M253" s="3235">
        <f t="shared" si="44"/>
        <v>33763.432467959254</v>
      </c>
      <c r="N253" s="3236">
        <v>3019370</v>
      </c>
      <c r="O253" s="3244">
        <f t="shared" si="45"/>
        <v>8219370</v>
      </c>
      <c r="P253" s="3244"/>
      <c r="Q253" s="3244"/>
      <c r="R253" s="3244">
        <f t="shared" si="46"/>
        <v>3219370</v>
      </c>
      <c r="S253" s="3244">
        <f t="shared" si="47"/>
        <v>3219370</v>
      </c>
      <c r="T253" s="3236"/>
      <c r="U253" s="3236"/>
      <c r="V253" s="3236"/>
      <c r="W253" s="3236"/>
      <c r="X253" s="3244">
        <f t="shared" si="48"/>
        <v>3219370</v>
      </c>
      <c r="Y253" s="3244">
        <f t="shared" si="49"/>
        <v>5000000</v>
      </c>
      <c r="Z253" s="3285">
        <f t="shared" si="50"/>
        <v>0.3916808709183307</v>
      </c>
      <c r="AA253" s="3226" t="s">
        <v>3319</v>
      </c>
      <c r="AB253" s="3226" t="s">
        <v>4587</v>
      </c>
      <c r="AC253" s="3226" t="s">
        <v>4698</v>
      </c>
      <c r="AD253" s="3286" t="s">
        <v>4773</v>
      </c>
      <c r="AE253" s="3286" t="s">
        <v>4877</v>
      </c>
      <c r="AF253" s="3286"/>
      <c r="AG253" s="3323"/>
      <c r="AH253" s="3255">
        <v>44025</v>
      </c>
      <c r="AI253" s="3255"/>
      <c r="AJ253" s="3255"/>
      <c r="AK253" s="3287" t="str">
        <f t="shared" si="51"/>
        <v/>
      </c>
      <c r="AL253" s="3288" t="str">
        <f t="shared" si="52"/>
        <v/>
      </c>
      <c r="AM253" s="3226" t="s">
        <v>4701</v>
      </c>
      <c r="AN253" s="3289">
        <v>5000000</v>
      </c>
      <c r="AO253" s="3300"/>
      <c r="AP253" s="3300"/>
      <c r="AQ253" s="3300"/>
      <c r="AR253" s="3292"/>
      <c r="AS253" s="3292"/>
      <c r="AT253" s="3292"/>
      <c r="AU253" s="3293"/>
      <c r="AV253" s="3293"/>
      <c r="AW253" s="3294"/>
      <c r="AX253" s="3236"/>
      <c r="AY253" s="3244"/>
      <c r="AZ253" s="3325" t="s">
        <v>4507</v>
      </c>
      <c r="BA253" s="3296" t="str">
        <f t="shared" si="53"/>
        <v>签约</v>
      </c>
      <c r="BB253" s="3226"/>
      <c r="BC253" s="3226"/>
      <c r="BD253" s="3292"/>
      <c r="BE253" s="3297" t="s">
        <v>4465</v>
      </c>
      <c r="BG253" s="3297">
        <f>IFERROR(VLOOKUP(B253,[3]Sheet2!A$1:B$65536,2,FALSE),0)</f>
        <v>0</v>
      </c>
      <c r="BI253" s="3297">
        <f>IFERROR(VLOOKUP(B253,[3]Sheet2!A$1:C$65536,2,FALSE),0)</f>
        <v>0</v>
      </c>
      <c r="BJ253" s="3297">
        <f>IFERROR(VLOOKUP(B253,[3]Sheet2!A$1:C$65536,3,FALSE),0)</f>
        <v>0</v>
      </c>
    </row>
    <row r="254" spans="1:62" s="3261" customFormat="1" ht="20.25" customHeight="1">
      <c r="A254" s="3226">
        <v>252</v>
      </c>
      <c r="B254" s="3250" t="s">
        <v>4323</v>
      </c>
      <c r="C254" s="3250" t="s">
        <v>3011</v>
      </c>
      <c r="D254" s="3251" t="s">
        <v>4324</v>
      </c>
      <c r="E254" s="3229">
        <v>44017</v>
      </c>
      <c r="F254" s="3230">
        <v>200000</v>
      </c>
      <c r="G254" s="3231">
        <v>239.21</v>
      </c>
      <c r="H254" s="3231" t="str">
        <f t="shared" si="42"/>
        <v>非普通住宅</v>
      </c>
      <c r="I254" s="3230">
        <v>8230322</v>
      </c>
      <c r="J254" s="3229">
        <v>44024</v>
      </c>
      <c r="K254" s="3284">
        <f t="shared" si="43"/>
        <v>7</v>
      </c>
      <c r="L254" s="3230">
        <v>8128219</v>
      </c>
      <c r="M254" s="3235">
        <f t="shared" si="44"/>
        <v>33979.428117553616</v>
      </c>
      <c r="N254" s="3236">
        <f>4938219+2990000</f>
        <v>7928219</v>
      </c>
      <c r="O254" s="3244">
        <f t="shared" si="45"/>
        <v>8128219</v>
      </c>
      <c r="P254" s="3244"/>
      <c r="Q254" s="3244"/>
      <c r="R254" s="3244">
        <f t="shared" si="46"/>
        <v>8128219</v>
      </c>
      <c r="S254" s="3244">
        <f t="shared" si="47"/>
        <v>8128219</v>
      </c>
      <c r="T254" s="3236"/>
      <c r="U254" s="3236"/>
      <c r="V254" s="3236"/>
      <c r="W254" s="3236"/>
      <c r="X254" s="3244">
        <f t="shared" si="48"/>
        <v>8128219</v>
      </c>
      <c r="Y254" s="3244">
        <f t="shared" si="49"/>
        <v>0</v>
      </c>
      <c r="Z254" s="3285">
        <f t="shared" si="50"/>
        <v>1</v>
      </c>
      <c r="AA254" s="3226" t="s">
        <v>3319</v>
      </c>
      <c r="AB254" s="3226" t="s">
        <v>4676</v>
      </c>
      <c r="AC254" s="3226"/>
      <c r="AD254" s="3286"/>
      <c r="AE254" s="3286"/>
      <c r="AF254" s="3286"/>
      <c r="AG254" s="3323"/>
      <c r="AH254" s="3255"/>
      <c r="AI254" s="3255"/>
      <c r="AJ254" s="3255"/>
      <c r="AK254" s="3287" t="str">
        <f t="shared" si="51"/>
        <v/>
      </c>
      <c r="AL254" s="3288" t="str">
        <f t="shared" si="52"/>
        <v/>
      </c>
      <c r="AM254" s="3226"/>
      <c r="AN254" s="3289"/>
      <c r="AO254" s="3300"/>
      <c r="AP254" s="3300"/>
      <c r="AQ254" s="3300"/>
      <c r="AR254" s="3292"/>
      <c r="AS254" s="3292"/>
      <c r="AT254" s="3292"/>
      <c r="AU254" s="3293"/>
      <c r="AV254" s="3293"/>
      <c r="AW254" s="3294"/>
      <c r="AX254" s="3236"/>
      <c r="AY254" s="3244"/>
      <c r="AZ254" s="3325" t="s">
        <v>4441</v>
      </c>
      <c r="BA254" s="3296" t="str">
        <f t="shared" si="53"/>
        <v>签约</v>
      </c>
      <c r="BB254" s="3226"/>
      <c r="BC254" s="3226"/>
      <c r="BD254" s="3292"/>
      <c r="BE254" s="3297" t="s">
        <v>4449</v>
      </c>
      <c r="BG254" s="3297">
        <f>IFERROR(VLOOKUP(B254,[3]Sheet2!A$1:B$65536,2,FALSE),0)</f>
        <v>0</v>
      </c>
      <c r="BI254" s="3297">
        <f>IFERROR(VLOOKUP(B254,[3]Sheet2!A$1:C$65536,2,FALSE),0)</f>
        <v>0</v>
      </c>
      <c r="BJ254" s="3297">
        <f>IFERROR(VLOOKUP(B254,[3]Sheet2!A$1:C$65536,3,FALSE),0)</f>
        <v>0</v>
      </c>
    </row>
    <row r="255" spans="1:62" s="3261" customFormat="1" ht="20.25" customHeight="1">
      <c r="A255" s="3226">
        <v>253</v>
      </c>
      <c r="B255" s="3250" t="s">
        <v>4878</v>
      </c>
      <c r="C255" s="3250" t="s">
        <v>3011</v>
      </c>
      <c r="D255" s="3251" t="s">
        <v>4879</v>
      </c>
      <c r="E255" s="3229">
        <v>44034</v>
      </c>
      <c r="F255" s="3230">
        <f>10000+190000</f>
        <v>200000</v>
      </c>
      <c r="G255" s="3231">
        <v>239.06</v>
      </c>
      <c r="H255" s="3231" t="str">
        <f t="shared" si="42"/>
        <v>非普通住宅</v>
      </c>
      <c r="I255" s="3230">
        <v>8258802</v>
      </c>
      <c r="J255" s="3229"/>
      <c r="K255" s="3284" t="str">
        <f t="shared" si="43"/>
        <v/>
      </c>
      <c r="L255" s="3230"/>
      <c r="M255" s="3235">
        <f t="shared" si="44"/>
        <v>0</v>
      </c>
      <c r="N255" s="3236"/>
      <c r="O255" s="3244">
        <f t="shared" si="45"/>
        <v>0</v>
      </c>
      <c r="P255" s="3244"/>
      <c r="Q255" s="3244"/>
      <c r="R255" s="3244">
        <f t="shared" si="46"/>
        <v>200000</v>
      </c>
      <c r="S255" s="3244">
        <f t="shared" si="47"/>
        <v>200000</v>
      </c>
      <c r="T255" s="3236"/>
      <c r="U255" s="3236"/>
      <c r="V255" s="3236"/>
      <c r="W255" s="3236"/>
      <c r="X255" s="3244">
        <f t="shared" si="48"/>
        <v>200000</v>
      </c>
      <c r="Y255" s="3244">
        <f t="shared" si="49"/>
        <v>-200000</v>
      </c>
      <c r="Z255" s="3285" t="e">
        <f t="shared" si="50"/>
        <v>#DIV/0!</v>
      </c>
      <c r="AA255" s="3226" t="s">
        <v>3318</v>
      </c>
      <c r="AB255" s="3226"/>
      <c r="AC255" s="3226"/>
      <c r="AD255" s="3286"/>
      <c r="AE255" s="3286"/>
      <c r="AF255" s="3286"/>
      <c r="AG255" s="3323"/>
      <c r="AH255" s="3255"/>
      <c r="AI255" s="3255"/>
      <c r="AJ255" s="3255"/>
      <c r="AK255" s="3287" t="str">
        <f t="shared" si="51"/>
        <v/>
      </c>
      <c r="AL255" s="3288" t="str">
        <f t="shared" si="52"/>
        <v/>
      </c>
      <c r="AM255" s="3226"/>
      <c r="AN255" s="3289"/>
      <c r="AO255" s="3300"/>
      <c r="AP255" s="3300"/>
      <c r="AQ255" s="3300"/>
      <c r="AR255" s="3292"/>
      <c r="AS255" s="3292"/>
      <c r="AT255" s="3292"/>
      <c r="AU255" s="3293"/>
      <c r="AV255" s="3293"/>
      <c r="AW255" s="3294"/>
      <c r="AX255" s="3236"/>
      <c r="AY255" s="3244"/>
      <c r="AZ255" s="3325"/>
      <c r="BA255" s="3296" t="str">
        <f t="shared" si="53"/>
        <v>认购</v>
      </c>
      <c r="BB255" s="3226"/>
      <c r="BC255" s="3226"/>
      <c r="BD255" s="3292"/>
      <c r="BE255" s="3297"/>
      <c r="BG255" s="3297">
        <f>IFERROR(VLOOKUP(B255,[3]Sheet2!A$1:B$65536,2,FALSE),0)</f>
        <v>0</v>
      </c>
      <c r="BI255" s="3297">
        <f>IFERROR(VLOOKUP(B255,[3]Sheet2!A$1:C$65536,2,FALSE),0)</f>
        <v>0</v>
      </c>
      <c r="BJ255" s="3297">
        <f>IFERROR(VLOOKUP(B255,[3]Sheet2!A$1:C$65536,3,FALSE),0)</f>
        <v>0</v>
      </c>
    </row>
    <row r="256" spans="1:62" s="3261" customFormat="1" ht="20.25" customHeight="1">
      <c r="A256" s="3226">
        <v>254</v>
      </c>
      <c r="B256" s="3250" t="s">
        <v>4325</v>
      </c>
      <c r="C256" s="3250" t="s">
        <v>3011</v>
      </c>
      <c r="D256" s="3251" t="s">
        <v>3427</v>
      </c>
      <c r="E256" s="3229">
        <v>44018</v>
      </c>
      <c r="F256" s="3230">
        <v>200000</v>
      </c>
      <c r="G256" s="3231">
        <v>239.37</v>
      </c>
      <c r="H256" s="3231" t="str">
        <f t="shared" si="42"/>
        <v>非普通住宅</v>
      </c>
      <c r="I256" s="3230">
        <v>8280937</v>
      </c>
      <c r="J256" s="3229">
        <v>44040</v>
      </c>
      <c r="K256" s="3284">
        <f t="shared" si="43"/>
        <v>7</v>
      </c>
      <c r="L256" s="3230">
        <v>8178328</v>
      </c>
      <c r="M256" s="3235">
        <f t="shared" si="44"/>
        <v>34166.052554622547</v>
      </c>
      <c r="N256" s="3236">
        <v>2258328</v>
      </c>
      <c r="O256" s="3244">
        <f t="shared" si="45"/>
        <v>8178328</v>
      </c>
      <c r="P256" s="3244"/>
      <c r="Q256" s="3244"/>
      <c r="R256" s="3244">
        <f t="shared" si="46"/>
        <v>2458328</v>
      </c>
      <c r="S256" s="3244">
        <f t="shared" si="47"/>
        <v>2458328</v>
      </c>
      <c r="T256" s="3236"/>
      <c r="U256" s="3236"/>
      <c r="V256" s="3236"/>
      <c r="W256" s="3236"/>
      <c r="X256" s="3244">
        <f t="shared" si="48"/>
        <v>2458328</v>
      </c>
      <c r="Y256" s="3244">
        <f t="shared" si="49"/>
        <v>5720000</v>
      </c>
      <c r="Z256" s="3285">
        <f t="shared" si="50"/>
        <v>0.30059053635413008</v>
      </c>
      <c r="AA256" s="3226" t="s">
        <v>3319</v>
      </c>
      <c r="AB256" s="3226" t="s">
        <v>4676</v>
      </c>
      <c r="AC256" s="3226"/>
      <c r="AD256" s="3286"/>
      <c r="AE256" s="3286"/>
      <c r="AF256" s="3286"/>
      <c r="AG256" s="3323"/>
      <c r="AH256" s="3255"/>
      <c r="AI256" s="3255"/>
      <c r="AJ256" s="3255"/>
      <c r="AK256" s="3287" t="str">
        <f t="shared" si="51"/>
        <v/>
      </c>
      <c r="AL256" s="3288" t="str">
        <f t="shared" si="52"/>
        <v/>
      </c>
      <c r="AM256" s="3226"/>
      <c r="AN256" s="3289"/>
      <c r="AO256" s="3300"/>
      <c r="AP256" s="3300"/>
      <c r="AQ256" s="3300"/>
      <c r="AR256" s="3292"/>
      <c r="AS256" s="3292"/>
      <c r="AT256" s="3292"/>
      <c r="AU256" s="3293"/>
      <c r="AV256" s="3293"/>
      <c r="AW256" s="3294"/>
      <c r="AX256" s="3236"/>
      <c r="AY256" s="3244"/>
      <c r="AZ256" s="3325" t="s">
        <v>4429</v>
      </c>
      <c r="BA256" s="3296" t="str">
        <f t="shared" si="53"/>
        <v>签约</v>
      </c>
      <c r="BB256" s="3226"/>
      <c r="BC256" s="3226"/>
      <c r="BD256" s="3292"/>
      <c r="BE256" s="3297" t="s">
        <v>4696</v>
      </c>
      <c r="BG256" s="3297"/>
      <c r="BI256" s="3297">
        <f>IFERROR(VLOOKUP(B256,[3]Sheet2!A$1:C$65536,2,FALSE),0)</f>
        <v>0</v>
      </c>
      <c r="BJ256" s="3297">
        <f>IFERROR(VLOOKUP(B256,[3]Sheet2!A$1:C$65536,3,FALSE),0)</f>
        <v>0</v>
      </c>
    </row>
    <row r="257" spans="1:64" s="3261" customFormat="1" ht="20.25" customHeight="1">
      <c r="A257" s="3226">
        <v>255</v>
      </c>
      <c r="B257" s="3250" t="s">
        <v>4326</v>
      </c>
      <c r="C257" s="3250" t="s">
        <v>3011</v>
      </c>
      <c r="D257" s="3251" t="s">
        <v>4327</v>
      </c>
      <c r="E257" s="3229">
        <v>44005</v>
      </c>
      <c r="F257" s="3230">
        <v>200000</v>
      </c>
      <c r="G257" s="3231">
        <v>273.41000000000003</v>
      </c>
      <c r="H257" s="3231" t="str">
        <f t="shared" si="42"/>
        <v>非普通住宅</v>
      </c>
      <c r="I257" s="3230">
        <v>9831580</v>
      </c>
      <c r="J257" s="3229">
        <v>44012</v>
      </c>
      <c r="K257" s="3284">
        <f t="shared" si="43"/>
        <v>6</v>
      </c>
      <c r="L257" s="3230">
        <v>9567325</v>
      </c>
      <c r="M257" s="3235">
        <f t="shared" si="44"/>
        <v>34992.593540836104</v>
      </c>
      <c r="N257" s="3236">
        <v>5377325</v>
      </c>
      <c r="O257" s="3244">
        <f t="shared" si="45"/>
        <v>9567325</v>
      </c>
      <c r="P257" s="3244"/>
      <c r="Q257" s="3244"/>
      <c r="R257" s="3244">
        <f t="shared" si="46"/>
        <v>5577325</v>
      </c>
      <c r="S257" s="3244">
        <f t="shared" si="47"/>
        <v>5577325</v>
      </c>
      <c r="T257" s="3236"/>
      <c r="U257" s="3236"/>
      <c r="V257" s="3236">
        <v>3990000</v>
      </c>
      <c r="W257" s="3236"/>
      <c r="X257" s="3244">
        <f t="shared" si="48"/>
        <v>9567325</v>
      </c>
      <c r="Y257" s="3244">
        <f t="shared" si="49"/>
        <v>0</v>
      </c>
      <c r="Z257" s="3285">
        <f t="shared" si="50"/>
        <v>1</v>
      </c>
      <c r="AA257" s="3226" t="s">
        <v>3319</v>
      </c>
      <c r="AB257" s="3226" t="s">
        <v>4587</v>
      </c>
      <c r="AC257" s="3226" t="s">
        <v>4698</v>
      </c>
      <c r="AD257" s="3286" t="s">
        <v>4539</v>
      </c>
      <c r="AE257" s="3286" t="s">
        <v>4427</v>
      </c>
      <c r="AF257" s="3286"/>
      <c r="AG257" s="3323"/>
      <c r="AH257" s="3255">
        <v>44012</v>
      </c>
      <c r="AI257" s="3255">
        <v>44032</v>
      </c>
      <c r="AJ257" s="3255">
        <v>44041</v>
      </c>
      <c r="AK257" s="3287">
        <f t="shared" si="51"/>
        <v>2020</v>
      </c>
      <c r="AL257" s="3288">
        <f t="shared" si="52"/>
        <v>7</v>
      </c>
      <c r="AM257" s="3226" t="s">
        <v>4739</v>
      </c>
      <c r="AN257" s="3289">
        <v>3990000</v>
      </c>
      <c r="AO257" s="3300"/>
      <c r="AP257" s="3300"/>
      <c r="AQ257" s="3300"/>
      <c r="AR257" s="3292"/>
      <c r="AS257" s="3292"/>
      <c r="AT257" s="3292"/>
      <c r="AU257" s="3293"/>
      <c r="AV257" s="3293"/>
      <c r="AW257" s="3294"/>
      <c r="AX257" s="3236"/>
      <c r="AY257" s="3244"/>
      <c r="AZ257" s="3325" t="s">
        <v>4437</v>
      </c>
      <c r="BA257" s="3296" t="str">
        <f t="shared" si="53"/>
        <v>签约</v>
      </c>
      <c r="BB257" s="3226"/>
      <c r="BC257" s="3226"/>
      <c r="BD257" s="3292"/>
      <c r="BE257" s="3297" t="s">
        <v>4449</v>
      </c>
      <c r="BG257" s="3297"/>
      <c r="BI257" s="3297">
        <f>IFERROR(VLOOKUP(B257,[3]Sheet2!A$1:C$65536,2,FALSE),0)</f>
        <v>3990000</v>
      </c>
      <c r="BJ257" s="3297" t="str">
        <f>IFERROR(VLOOKUP(B257,[3]Sheet2!A$1:C$65536,3,FALSE),0)</f>
        <v>交通银行常州武进支行</v>
      </c>
      <c r="BL257" s="3261">
        <f>BI257-AN257</f>
        <v>0</v>
      </c>
    </row>
    <row r="258" spans="1:64" s="3261" customFormat="1" ht="20.25" customHeight="1">
      <c r="A258" s="3226">
        <v>256</v>
      </c>
      <c r="B258" s="3250" t="s">
        <v>4328</v>
      </c>
      <c r="C258" s="3250" t="s">
        <v>3011</v>
      </c>
      <c r="D258" s="3251" t="s">
        <v>4329</v>
      </c>
      <c r="E258" s="3229">
        <v>44010</v>
      </c>
      <c r="F258" s="3230">
        <v>70000</v>
      </c>
      <c r="G258" s="3231">
        <v>268.49</v>
      </c>
      <c r="H258" s="3231" t="str">
        <f t="shared" si="42"/>
        <v>非普通住宅</v>
      </c>
      <c r="I258" s="3230">
        <v>8680235</v>
      </c>
      <c r="J258" s="3229">
        <v>44018</v>
      </c>
      <c r="K258" s="3284">
        <f t="shared" si="43"/>
        <v>7</v>
      </c>
      <c r="L258" s="3230">
        <v>8487896</v>
      </c>
      <c r="M258" s="3235">
        <f t="shared" si="44"/>
        <v>31613.453015009869</v>
      </c>
      <c r="N258" s="3236">
        <f>3917896+510000</f>
        <v>4427896</v>
      </c>
      <c r="O258" s="3244">
        <f t="shared" si="45"/>
        <v>8487896</v>
      </c>
      <c r="P258" s="3244"/>
      <c r="Q258" s="3244"/>
      <c r="R258" s="3244">
        <f t="shared" si="46"/>
        <v>4497896</v>
      </c>
      <c r="S258" s="3244">
        <f t="shared" si="47"/>
        <v>4497896</v>
      </c>
      <c r="T258" s="3236"/>
      <c r="U258" s="3236"/>
      <c r="V258" s="3236">
        <v>3990000</v>
      </c>
      <c r="W258" s="3236"/>
      <c r="X258" s="3244">
        <f t="shared" si="48"/>
        <v>8487896</v>
      </c>
      <c r="Y258" s="3244">
        <f t="shared" si="49"/>
        <v>0</v>
      </c>
      <c r="Z258" s="3285">
        <f t="shared" si="50"/>
        <v>1</v>
      </c>
      <c r="AA258" s="3226" t="s">
        <v>3319</v>
      </c>
      <c r="AB258" s="3226" t="s">
        <v>4587</v>
      </c>
      <c r="AC258" s="3226" t="s">
        <v>4698</v>
      </c>
      <c r="AD258" s="3286" t="s">
        <v>4539</v>
      </c>
      <c r="AE258" s="3286" t="s">
        <v>4427</v>
      </c>
      <c r="AF258" s="3286"/>
      <c r="AG258" s="3323"/>
      <c r="AH258" s="3255">
        <v>44029</v>
      </c>
      <c r="AI258" s="3255">
        <v>44029</v>
      </c>
      <c r="AJ258" s="3255">
        <v>44039</v>
      </c>
      <c r="AK258" s="3287">
        <f t="shared" si="51"/>
        <v>2020</v>
      </c>
      <c r="AL258" s="3288">
        <f t="shared" si="52"/>
        <v>7</v>
      </c>
      <c r="AM258" s="3226" t="s">
        <v>4739</v>
      </c>
      <c r="AN258" s="3289">
        <v>3990000</v>
      </c>
      <c r="AO258" s="3300"/>
      <c r="AP258" s="3300"/>
      <c r="AQ258" s="3300"/>
      <c r="AR258" s="3292"/>
      <c r="AS258" s="3292"/>
      <c r="AT258" s="3292"/>
      <c r="AU258" s="3293"/>
      <c r="AV258" s="3293"/>
      <c r="AW258" s="3294"/>
      <c r="AX258" s="3236"/>
      <c r="AY258" s="3244"/>
      <c r="AZ258" s="3325" t="s">
        <v>4880</v>
      </c>
      <c r="BA258" s="3296" t="str">
        <f t="shared" si="53"/>
        <v>签约</v>
      </c>
      <c r="BB258" s="3226"/>
      <c r="BC258" s="3226"/>
      <c r="BD258" s="3292"/>
      <c r="BE258" s="3297" t="s">
        <v>4465</v>
      </c>
      <c r="BG258" s="3297">
        <f>IFERROR(VLOOKUP(B258,[3]Sheet2!A$1:B$65536,2,FALSE),0)</f>
        <v>0</v>
      </c>
      <c r="BI258" s="3297">
        <f>IFERROR(VLOOKUP(B258,[3]Sheet2!A$1:C$65536,2,FALSE),0)</f>
        <v>0</v>
      </c>
      <c r="BJ258" s="3297">
        <f>IFERROR(VLOOKUP(B258,[3]Sheet2!A$1:C$65536,3,FALSE),0)</f>
        <v>0</v>
      </c>
    </row>
    <row r="259" spans="1:64" s="3261" customFormat="1" ht="20.25" customHeight="1">
      <c r="A259" s="3226">
        <v>257</v>
      </c>
      <c r="B259" s="3250" t="s">
        <v>4330</v>
      </c>
      <c r="C259" s="3250" t="s">
        <v>3011</v>
      </c>
      <c r="D259" s="3251" t="s">
        <v>4331</v>
      </c>
      <c r="E259" s="3229">
        <v>44014</v>
      </c>
      <c r="F259" s="3230">
        <v>200000</v>
      </c>
      <c r="G259" s="3231">
        <v>245.42</v>
      </c>
      <c r="H259" s="3231" t="str">
        <f t="shared" si="42"/>
        <v>非普通住宅</v>
      </c>
      <c r="I259" s="3230">
        <v>7385045</v>
      </c>
      <c r="J259" s="3229">
        <v>44032</v>
      </c>
      <c r="K259" s="3284">
        <f t="shared" si="43"/>
        <v>7</v>
      </c>
      <c r="L259" s="3230">
        <v>7365045</v>
      </c>
      <c r="M259" s="3235">
        <f t="shared" si="44"/>
        <v>30009.962513242604</v>
      </c>
      <c r="N259" s="3236">
        <v>2015045</v>
      </c>
      <c r="O259" s="3244">
        <f t="shared" si="45"/>
        <v>7365045</v>
      </c>
      <c r="P259" s="3244"/>
      <c r="Q259" s="3244"/>
      <c r="R259" s="3244">
        <f t="shared" si="46"/>
        <v>2215045</v>
      </c>
      <c r="S259" s="3244">
        <f t="shared" si="47"/>
        <v>2215045</v>
      </c>
      <c r="T259" s="3236"/>
      <c r="U259" s="3236"/>
      <c r="V259" s="3236">
        <v>5150000</v>
      </c>
      <c r="W259" s="3236"/>
      <c r="X259" s="3244">
        <f t="shared" si="48"/>
        <v>7365045</v>
      </c>
      <c r="Y259" s="3244">
        <f t="shared" si="49"/>
        <v>0</v>
      </c>
      <c r="Z259" s="3285">
        <f t="shared" si="50"/>
        <v>1</v>
      </c>
      <c r="AA259" s="3226" t="s">
        <v>3319</v>
      </c>
      <c r="AB259" s="3226" t="s">
        <v>4587</v>
      </c>
      <c r="AC259" s="3226" t="s">
        <v>4698</v>
      </c>
      <c r="AD259" s="3286" t="s">
        <v>4539</v>
      </c>
      <c r="AE259" s="3286" t="s">
        <v>4427</v>
      </c>
      <c r="AF259" s="3286"/>
      <c r="AG259" s="3323"/>
      <c r="AH259" s="3255">
        <v>44034</v>
      </c>
      <c r="AI259" s="3255">
        <v>44035</v>
      </c>
      <c r="AJ259" s="3255">
        <v>44041</v>
      </c>
      <c r="AK259" s="3287">
        <f t="shared" si="51"/>
        <v>2020</v>
      </c>
      <c r="AL259" s="3288">
        <f t="shared" si="52"/>
        <v>7</v>
      </c>
      <c r="AM259" s="3226" t="s">
        <v>4881</v>
      </c>
      <c r="AN259" s="3289">
        <v>5150000</v>
      </c>
      <c r="AO259" s="3300"/>
      <c r="AP259" s="3300"/>
      <c r="AQ259" s="3300"/>
      <c r="AR259" s="3292"/>
      <c r="AS259" s="3292"/>
      <c r="AT259" s="3292"/>
      <c r="AU259" s="3293"/>
      <c r="AV259" s="3293"/>
      <c r="AW259" s="3294"/>
      <c r="AX259" s="3236"/>
      <c r="AY259" s="3244"/>
      <c r="AZ259" s="3325" t="s">
        <v>4882</v>
      </c>
      <c r="BA259" s="3296" t="str">
        <f t="shared" si="53"/>
        <v>签约</v>
      </c>
      <c r="BB259" s="3226"/>
      <c r="BC259" s="3226"/>
      <c r="BD259" s="3292"/>
      <c r="BE259" s="3297" t="s">
        <v>4449</v>
      </c>
      <c r="BG259" s="3297"/>
      <c r="BI259" s="3297">
        <f>IFERROR(VLOOKUP(B259,[3]Sheet2!A$1:C$65536,2,FALSE),0)</f>
        <v>5150000</v>
      </c>
      <c r="BJ259" s="3297" t="str">
        <f>IFERROR(VLOOKUP(B259,[3]Sheet2!A$1:C$65536,3,FALSE),0)</f>
        <v>江南农村商业银行前黄支行</v>
      </c>
      <c r="BL259" s="3261">
        <f>BI259-AN259</f>
        <v>0</v>
      </c>
    </row>
    <row r="260" spans="1:64" s="3261" customFormat="1" ht="20.25" customHeight="1">
      <c r="A260" s="3226">
        <v>258</v>
      </c>
      <c r="B260" s="3250" t="s">
        <v>4332</v>
      </c>
      <c r="C260" s="3250" t="s">
        <v>3011</v>
      </c>
      <c r="D260" s="3251" t="s">
        <v>4333</v>
      </c>
      <c r="E260" s="3229">
        <v>44004</v>
      </c>
      <c r="F260" s="3230">
        <v>200000</v>
      </c>
      <c r="G260" s="3231">
        <v>272.16000000000003</v>
      </c>
      <c r="H260" s="3231" t="str">
        <f t="shared" ref="H260:H323" si="56">IF(G260&lt;144,"普通住宅","非普通住宅")</f>
        <v>非普通住宅</v>
      </c>
      <c r="I260" s="3230">
        <v>8617229</v>
      </c>
      <c r="J260" s="3229">
        <v>44010</v>
      </c>
      <c r="K260" s="3284">
        <f t="shared" ref="K260:K323" si="57">IF(ISBLANK(J260),"",MONTH(J260))</f>
        <v>6</v>
      </c>
      <c r="L260" s="3230">
        <v>8377139</v>
      </c>
      <c r="M260" s="3235">
        <f t="shared" ref="M260:M323" si="58">L260/G260</f>
        <v>30780.199147560255</v>
      </c>
      <c r="N260" s="3236">
        <f>2317139+1860000</f>
        <v>4177139</v>
      </c>
      <c r="O260" s="3244">
        <f t="shared" ref="O260:O323" si="59">L260-P260-Q260</f>
        <v>8377139</v>
      </c>
      <c r="P260" s="3244"/>
      <c r="Q260" s="3244"/>
      <c r="R260" s="3244">
        <f t="shared" ref="R260:R323" si="60">F260+N260</f>
        <v>4377139</v>
      </c>
      <c r="S260" s="3244">
        <f t="shared" ref="S260:S323" si="61">R260-T260-U260</f>
        <v>4377139</v>
      </c>
      <c r="T260" s="3236"/>
      <c r="U260" s="3236"/>
      <c r="V260" s="3236">
        <v>4000000</v>
      </c>
      <c r="W260" s="3236"/>
      <c r="X260" s="3244">
        <f t="shared" ref="X260:X323" si="62">R260+V260+W260</f>
        <v>8377139</v>
      </c>
      <c r="Y260" s="3244">
        <f t="shared" ref="Y260:Y323" si="63">L260-X260</f>
        <v>0</v>
      </c>
      <c r="Z260" s="3285">
        <f t="shared" ref="Z260:Z323" si="64">X260/L260</f>
        <v>1</v>
      </c>
      <c r="AA260" s="3226" t="s">
        <v>3319</v>
      </c>
      <c r="AB260" s="3226" t="s">
        <v>4587</v>
      </c>
      <c r="AC260" s="3226" t="s">
        <v>4698</v>
      </c>
      <c r="AD260" s="3286" t="s">
        <v>4539</v>
      </c>
      <c r="AE260" s="3286" t="s">
        <v>4427</v>
      </c>
      <c r="AF260" s="3286"/>
      <c r="AG260" s="3323"/>
      <c r="AH260" s="3255">
        <v>44010</v>
      </c>
      <c r="AI260" s="3255">
        <v>44013</v>
      </c>
      <c r="AJ260" s="3255">
        <v>44027</v>
      </c>
      <c r="AK260" s="3287">
        <f t="shared" ref="AK260:AK323" si="65">IF(ISBLANK(AJ260),"",YEAR(AJ260))</f>
        <v>2020</v>
      </c>
      <c r="AL260" s="3288">
        <f t="shared" ref="AL260:AL323" si="66">IF(ISBLANK(AJ260),"",MONTH(AJ260))</f>
        <v>7</v>
      </c>
      <c r="AM260" s="3226" t="s">
        <v>4777</v>
      </c>
      <c r="AN260" s="3289">
        <v>4000000</v>
      </c>
      <c r="AO260" s="3300"/>
      <c r="AP260" s="3300"/>
      <c r="AQ260" s="3300"/>
      <c r="AR260" s="3292"/>
      <c r="AS260" s="3292"/>
      <c r="AT260" s="3292"/>
      <c r="AU260" s="3293"/>
      <c r="AV260" s="3293"/>
      <c r="AW260" s="3294"/>
      <c r="AX260" s="3236"/>
      <c r="AY260" s="3244"/>
      <c r="AZ260" s="3325" t="s">
        <v>4883</v>
      </c>
      <c r="BA260" s="3296" t="str">
        <f t="shared" ref="BA260:BA323" si="67">IF(E260=0,"未售",IF(J260&gt;0,"签约","认购"))</f>
        <v>签约</v>
      </c>
      <c r="BB260" s="3226"/>
      <c r="BC260" s="3226"/>
      <c r="BD260" s="3292"/>
      <c r="BE260" s="3297" t="s">
        <v>4465</v>
      </c>
      <c r="BG260" s="3297">
        <f>IFERROR(VLOOKUP(B260,[3]Sheet2!A$1:B$65536,2,FALSE),0)</f>
        <v>0</v>
      </c>
      <c r="BI260" s="3297">
        <f>IFERROR(VLOOKUP(B260,[3]Sheet2!A$1:C$65536,2,FALSE),0)</f>
        <v>0</v>
      </c>
      <c r="BJ260" s="3297">
        <f>IFERROR(VLOOKUP(B260,[3]Sheet2!A$1:C$65536,3,FALSE),0)</f>
        <v>0</v>
      </c>
    </row>
    <row r="261" spans="1:64" s="3261" customFormat="1" ht="20.25" customHeight="1">
      <c r="A261" s="3226">
        <v>259</v>
      </c>
      <c r="B261" s="3250" t="s">
        <v>4884</v>
      </c>
      <c r="C261" s="3250" t="s">
        <v>3011</v>
      </c>
      <c r="D261" s="3251"/>
      <c r="E261" s="3229"/>
      <c r="F261" s="3230"/>
      <c r="G261" s="3231">
        <v>272.12</v>
      </c>
      <c r="H261" s="3231" t="str">
        <f t="shared" si="56"/>
        <v>非普通住宅</v>
      </c>
      <c r="I261" s="3230">
        <v>8887628</v>
      </c>
      <c r="J261" s="3229"/>
      <c r="K261" s="3284" t="str">
        <f t="shared" si="57"/>
        <v/>
      </c>
      <c r="L261" s="3230"/>
      <c r="M261" s="3235">
        <f t="shared" si="58"/>
        <v>0</v>
      </c>
      <c r="N261" s="3236"/>
      <c r="O261" s="3244">
        <f t="shared" si="59"/>
        <v>0</v>
      </c>
      <c r="P261" s="3244"/>
      <c r="Q261" s="3244"/>
      <c r="R261" s="3244">
        <f t="shared" si="60"/>
        <v>0</v>
      </c>
      <c r="S261" s="3244">
        <f t="shared" si="61"/>
        <v>0</v>
      </c>
      <c r="T261" s="3236"/>
      <c r="U261" s="3236"/>
      <c r="V261" s="3236"/>
      <c r="W261" s="3236"/>
      <c r="X261" s="3244">
        <f t="shared" si="62"/>
        <v>0</v>
      </c>
      <c r="Y261" s="3244">
        <f t="shared" si="63"/>
        <v>0</v>
      </c>
      <c r="Z261" s="3285" t="e">
        <f t="shared" si="64"/>
        <v>#DIV/0!</v>
      </c>
      <c r="AA261" s="3226"/>
      <c r="AB261" s="3226"/>
      <c r="AC261" s="3226"/>
      <c r="AD261" s="3286"/>
      <c r="AE261" s="3286"/>
      <c r="AF261" s="3286"/>
      <c r="AG261" s="3323"/>
      <c r="AH261" s="3255"/>
      <c r="AI261" s="3255"/>
      <c r="AJ261" s="3255"/>
      <c r="AK261" s="3287" t="str">
        <f t="shared" si="65"/>
        <v/>
      </c>
      <c r="AL261" s="3288" t="str">
        <f t="shared" si="66"/>
        <v/>
      </c>
      <c r="AM261" s="3226"/>
      <c r="AN261" s="3289"/>
      <c r="AO261" s="3300"/>
      <c r="AP261" s="3300"/>
      <c r="AQ261" s="3300"/>
      <c r="AR261" s="3292"/>
      <c r="AS261" s="3292"/>
      <c r="AT261" s="3292"/>
      <c r="AU261" s="3293"/>
      <c r="AV261" s="3293"/>
      <c r="AW261" s="3294"/>
      <c r="AX261" s="3236"/>
      <c r="AY261" s="3244"/>
      <c r="AZ261" s="3325"/>
      <c r="BA261" s="3296" t="str">
        <f t="shared" si="67"/>
        <v>未售</v>
      </c>
      <c r="BB261" s="3226"/>
      <c r="BC261" s="3226"/>
      <c r="BD261" s="3292"/>
      <c r="BE261" s="3297"/>
      <c r="BG261" s="3297">
        <f>IFERROR(VLOOKUP(B261,[3]Sheet2!A$1:B$65536,2,FALSE),0)</f>
        <v>0</v>
      </c>
      <c r="BI261" s="3297">
        <f>IFERROR(VLOOKUP(B261,[3]Sheet2!A$1:C$65536,2,FALSE),0)</f>
        <v>0</v>
      </c>
      <c r="BJ261" s="3297">
        <f>IFERROR(VLOOKUP(B261,[3]Sheet2!A$1:C$65536,3,FALSE),0)</f>
        <v>0</v>
      </c>
    </row>
    <row r="262" spans="1:64" s="3261" customFormat="1" ht="20.25" customHeight="1">
      <c r="A262" s="3226">
        <v>260</v>
      </c>
      <c r="B262" s="3250" t="s">
        <v>4334</v>
      </c>
      <c r="C262" s="3250" t="s">
        <v>3011</v>
      </c>
      <c r="D262" s="3251" t="s">
        <v>4335</v>
      </c>
      <c r="E262" s="3229">
        <v>44017</v>
      </c>
      <c r="F262" s="3230">
        <v>200000</v>
      </c>
      <c r="G262" s="3231">
        <v>245.39</v>
      </c>
      <c r="H262" s="3231" t="str">
        <f t="shared" si="56"/>
        <v>非普通住宅</v>
      </c>
      <c r="I262" s="3230">
        <v>7370008</v>
      </c>
      <c r="J262" s="3229">
        <v>44024</v>
      </c>
      <c r="K262" s="3284">
        <f t="shared" si="57"/>
        <v>7</v>
      </c>
      <c r="L262" s="3230">
        <v>7276508</v>
      </c>
      <c r="M262" s="3235">
        <f t="shared" si="58"/>
        <v>29652.830188679247</v>
      </c>
      <c r="N262" s="3236">
        <v>1986508</v>
      </c>
      <c r="O262" s="3244">
        <f t="shared" si="59"/>
        <v>7276508</v>
      </c>
      <c r="P262" s="3244"/>
      <c r="Q262" s="3244"/>
      <c r="R262" s="3244">
        <f t="shared" si="60"/>
        <v>2186508</v>
      </c>
      <c r="S262" s="3244">
        <f t="shared" si="61"/>
        <v>2186508</v>
      </c>
      <c r="T262" s="3236"/>
      <c r="U262" s="3236"/>
      <c r="V262" s="3236"/>
      <c r="W262" s="3236"/>
      <c r="X262" s="3244">
        <f t="shared" si="62"/>
        <v>2186508</v>
      </c>
      <c r="Y262" s="3244">
        <f t="shared" si="63"/>
        <v>5090000</v>
      </c>
      <c r="Z262" s="3285">
        <f t="shared" si="64"/>
        <v>0.30048864097998657</v>
      </c>
      <c r="AA262" s="3226" t="s">
        <v>3319</v>
      </c>
      <c r="AB262" s="3226" t="s">
        <v>4587</v>
      </c>
      <c r="AC262" s="3226" t="s">
        <v>4698</v>
      </c>
      <c r="AD262" s="3286" t="s">
        <v>4773</v>
      </c>
      <c r="AE262" s="3286" t="s">
        <v>4774</v>
      </c>
      <c r="AF262" s="3286"/>
      <c r="AG262" s="3323"/>
      <c r="AH262" s="3255"/>
      <c r="AI262" s="3255"/>
      <c r="AJ262" s="3255"/>
      <c r="AK262" s="3287" t="str">
        <f t="shared" si="65"/>
        <v/>
      </c>
      <c r="AL262" s="3288" t="str">
        <f t="shared" si="66"/>
        <v/>
      </c>
      <c r="AM262" s="3226"/>
      <c r="AN262" s="3289"/>
      <c r="AO262" s="3300"/>
      <c r="AP262" s="3300"/>
      <c r="AQ262" s="3300"/>
      <c r="AR262" s="3292"/>
      <c r="AS262" s="3292"/>
      <c r="AT262" s="3292"/>
      <c r="AU262" s="3293"/>
      <c r="AV262" s="3293"/>
      <c r="AW262" s="3294"/>
      <c r="AX262" s="3236"/>
      <c r="AY262" s="3244"/>
      <c r="AZ262" s="3325" t="s">
        <v>4885</v>
      </c>
      <c r="BA262" s="3296" t="str">
        <f t="shared" si="67"/>
        <v>签约</v>
      </c>
      <c r="BB262" s="3226"/>
      <c r="BC262" s="3226"/>
      <c r="BD262" s="3292"/>
      <c r="BE262" s="3297" t="s">
        <v>4465</v>
      </c>
      <c r="BG262" s="3297">
        <f>IFERROR(VLOOKUP(B262,[3]Sheet2!A$1:B$65536,2,FALSE),0)</f>
        <v>0</v>
      </c>
      <c r="BI262" s="3297">
        <f>IFERROR(VLOOKUP(B262,[3]Sheet2!A$1:C$65536,2,FALSE),0)</f>
        <v>0</v>
      </c>
      <c r="BJ262" s="3297">
        <f>IFERROR(VLOOKUP(B262,[3]Sheet2!A$1:C$65536,3,FALSE),0)</f>
        <v>0</v>
      </c>
    </row>
    <row r="263" spans="1:64" s="3261" customFormat="1" ht="20.25" customHeight="1">
      <c r="A263" s="3226">
        <v>261</v>
      </c>
      <c r="B263" s="3250" t="s">
        <v>4336</v>
      </c>
      <c r="C263" s="3250" t="s">
        <v>3011</v>
      </c>
      <c r="D263" s="3251" t="s">
        <v>4337</v>
      </c>
      <c r="E263" s="3229">
        <v>44012</v>
      </c>
      <c r="F263" s="3230">
        <v>150000</v>
      </c>
      <c r="G263" s="3231">
        <v>272.12</v>
      </c>
      <c r="H263" s="3231" t="str">
        <f t="shared" si="56"/>
        <v>非普通住宅</v>
      </c>
      <c r="I263" s="3230">
        <v>8393817</v>
      </c>
      <c r="J263" s="3229">
        <v>44042</v>
      </c>
      <c r="K263" s="3284">
        <f t="shared" si="57"/>
        <v>7</v>
      </c>
      <c r="L263" s="3230">
        <v>8290079</v>
      </c>
      <c r="M263" s="3235">
        <f t="shared" si="58"/>
        <v>30464.79126855799</v>
      </c>
      <c r="N263" s="3236">
        <f>850000+660079</f>
        <v>1510079</v>
      </c>
      <c r="O263" s="3244">
        <f t="shared" si="59"/>
        <v>8290079</v>
      </c>
      <c r="P263" s="3244"/>
      <c r="Q263" s="3244"/>
      <c r="R263" s="3244">
        <f t="shared" si="60"/>
        <v>1660079</v>
      </c>
      <c r="S263" s="3244">
        <f t="shared" si="61"/>
        <v>1660079</v>
      </c>
      <c r="T263" s="3236"/>
      <c r="U263" s="3236"/>
      <c r="V263" s="3236"/>
      <c r="W263" s="3236"/>
      <c r="X263" s="3244">
        <f t="shared" si="62"/>
        <v>1660079</v>
      </c>
      <c r="Y263" s="3244">
        <f t="shared" si="63"/>
        <v>6630000</v>
      </c>
      <c r="Z263" s="3285">
        <f t="shared" si="64"/>
        <v>0.20024887579479037</v>
      </c>
      <c r="AA263" s="3226" t="s">
        <v>3319</v>
      </c>
      <c r="AB263" s="3226" t="s">
        <v>4587</v>
      </c>
      <c r="AC263" s="3226" t="s">
        <v>4698</v>
      </c>
      <c r="AD263" s="3286" t="s">
        <v>4773</v>
      </c>
      <c r="AE263" s="3286" t="s">
        <v>4774</v>
      </c>
      <c r="AF263" s="3286"/>
      <c r="AG263" s="3323"/>
      <c r="AH263" s="3255"/>
      <c r="AI263" s="3255"/>
      <c r="AJ263" s="3255"/>
      <c r="AK263" s="3287" t="str">
        <f t="shared" si="65"/>
        <v/>
      </c>
      <c r="AL263" s="3288" t="str">
        <f t="shared" si="66"/>
        <v/>
      </c>
      <c r="AM263" s="3226"/>
      <c r="AN263" s="3289"/>
      <c r="AO263" s="3300"/>
      <c r="AP263" s="3300"/>
      <c r="AQ263" s="3300"/>
      <c r="AR263" s="3292"/>
      <c r="AS263" s="3292"/>
      <c r="AT263" s="3292"/>
      <c r="AU263" s="3293"/>
      <c r="AV263" s="3293"/>
      <c r="AW263" s="3294"/>
      <c r="AX263" s="3236"/>
      <c r="AY263" s="3244"/>
      <c r="AZ263" s="3325" t="s">
        <v>4886</v>
      </c>
      <c r="BA263" s="3296" t="str">
        <f t="shared" si="67"/>
        <v>签约</v>
      </c>
      <c r="BB263" s="3226"/>
      <c r="BC263" s="3226"/>
      <c r="BD263" s="3292"/>
      <c r="BE263" s="3297" t="s">
        <v>4465</v>
      </c>
      <c r="BG263" s="3297">
        <f>IFERROR(VLOOKUP(B263,[3]Sheet2!A$1:B$65536,2,FALSE),0)</f>
        <v>0</v>
      </c>
      <c r="BI263" s="3297">
        <f>IFERROR(VLOOKUP(B263,[3]Sheet2!A$1:C$65536,2,FALSE),0)</f>
        <v>0</v>
      </c>
      <c r="BJ263" s="3297">
        <f>IFERROR(VLOOKUP(B263,[3]Sheet2!A$1:C$65536,3,FALSE),0)</f>
        <v>0</v>
      </c>
    </row>
    <row r="264" spans="1:64" s="3261" customFormat="1" ht="20.25" customHeight="1">
      <c r="A264" s="3226">
        <v>262</v>
      </c>
      <c r="B264" s="3250" t="s">
        <v>4338</v>
      </c>
      <c r="C264" s="3250" t="s">
        <v>3011</v>
      </c>
      <c r="D264" s="3251" t="s">
        <v>4339</v>
      </c>
      <c r="E264" s="3229">
        <v>44005</v>
      </c>
      <c r="F264" s="3230">
        <v>200000</v>
      </c>
      <c r="G264" s="3231">
        <v>272.95</v>
      </c>
      <c r="H264" s="3231" t="str">
        <f t="shared" si="56"/>
        <v>非普通住宅</v>
      </c>
      <c r="I264" s="3230">
        <v>10117510</v>
      </c>
      <c r="J264" s="3229">
        <v>44012</v>
      </c>
      <c r="K264" s="3284">
        <f t="shared" si="57"/>
        <v>6</v>
      </c>
      <c r="L264" s="3230">
        <v>9847565</v>
      </c>
      <c r="M264" s="3235">
        <f t="shared" si="58"/>
        <v>36078.274409232465</v>
      </c>
      <c r="N264" s="3236">
        <f>5857565+1550000+450000</f>
        <v>7857565</v>
      </c>
      <c r="O264" s="3244">
        <f t="shared" si="59"/>
        <v>9847565</v>
      </c>
      <c r="P264" s="3244"/>
      <c r="Q264" s="3244"/>
      <c r="R264" s="3244">
        <f t="shared" si="60"/>
        <v>8057565</v>
      </c>
      <c r="S264" s="3244">
        <f t="shared" si="61"/>
        <v>8057565</v>
      </c>
      <c r="T264" s="3236"/>
      <c r="U264" s="3236"/>
      <c r="V264" s="3236"/>
      <c r="W264" s="3236"/>
      <c r="X264" s="3244">
        <f t="shared" si="62"/>
        <v>8057565</v>
      </c>
      <c r="Y264" s="3244">
        <f t="shared" si="63"/>
        <v>1790000</v>
      </c>
      <c r="Z264" s="3285">
        <f t="shared" si="64"/>
        <v>0.81822917645123439</v>
      </c>
      <c r="AA264" s="3226" t="s">
        <v>3319</v>
      </c>
      <c r="AB264" s="3226" t="s">
        <v>4587</v>
      </c>
      <c r="AC264" s="3226" t="s">
        <v>4698</v>
      </c>
      <c r="AD264" s="3286" t="s">
        <v>4773</v>
      </c>
      <c r="AE264" s="3286" t="s">
        <v>4877</v>
      </c>
      <c r="AF264" s="3286"/>
      <c r="AG264" s="3323"/>
      <c r="AH264" s="3255">
        <v>44033</v>
      </c>
      <c r="AI264" s="3255"/>
      <c r="AJ264" s="3255"/>
      <c r="AK264" s="3287" t="str">
        <f t="shared" si="65"/>
        <v/>
      </c>
      <c r="AL264" s="3288" t="str">
        <f t="shared" si="66"/>
        <v/>
      </c>
      <c r="AM264" s="3226" t="s">
        <v>4881</v>
      </c>
      <c r="AN264" s="3289">
        <v>1790000</v>
      </c>
      <c r="AO264" s="3300"/>
      <c r="AP264" s="3300"/>
      <c r="AQ264" s="3300"/>
      <c r="AR264" s="3292"/>
      <c r="AS264" s="3292"/>
      <c r="AT264" s="3292"/>
      <c r="AU264" s="3293"/>
      <c r="AV264" s="3293"/>
      <c r="AW264" s="3294"/>
      <c r="AX264" s="3236"/>
      <c r="AY264" s="3244"/>
      <c r="AZ264" s="3325" t="s">
        <v>3385</v>
      </c>
      <c r="BA264" s="3296" t="str">
        <f t="shared" si="67"/>
        <v>签约</v>
      </c>
      <c r="BB264" s="3226"/>
      <c r="BC264" s="3226"/>
      <c r="BD264" s="3292"/>
      <c r="BE264" s="3297" t="s">
        <v>4696</v>
      </c>
      <c r="BG264" s="3297">
        <f>IFERROR(VLOOKUP(B264,[3]Sheet2!A$1:B$65536,2,FALSE),0)</f>
        <v>0</v>
      </c>
      <c r="BI264" s="3297">
        <f>IFERROR(VLOOKUP(B264,[3]Sheet2!A$1:C$65536,2,FALSE),0)</f>
        <v>0</v>
      </c>
      <c r="BJ264" s="3297">
        <f>IFERROR(VLOOKUP(B264,[3]Sheet2!A$1:C$65536,3,FALSE),0)</f>
        <v>0</v>
      </c>
    </row>
    <row r="265" spans="1:64" s="3261" customFormat="1" ht="20.25" customHeight="1">
      <c r="A265" s="3226">
        <v>263</v>
      </c>
      <c r="B265" s="3250" t="s">
        <v>4340</v>
      </c>
      <c r="C265" s="3250" t="s">
        <v>3011</v>
      </c>
      <c r="D265" s="3251" t="s">
        <v>4341</v>
      </c>
      <c r="E265" s="3229">
        <v>44003</v>
      </c>
      <c r="F265" s="3230">
        <f>200000+400000</f>
        <v>600000</v>
      </c>
      <c r="G265" s="3231">
        <v>239.11</v>
      </c>
      <c r="H265" s="3231" t="str">
        <f t="shared" si="56"/>
        <v>非普通住宅</v>
      </c>
      <c r="I265" s="3230">
        <v>8190285</v>
      </c>
      <c r="J265" s="3229">
        <v>44031</v>
      </c>
      <c r="K265" s="3284">
        <f t="shared" si="57"/>
        <v>7</v>
      </c>
      <c r="L265" s="3230">
        <v>7958691</v>
      </c>
      <c r="M265" s="3235">
        <f t="shared" si="58"/>
        <v>33284.643051315295</v>
      </c>
      <c r="N265" s="3236">
        <v>1788691</v>
      </c>
      <c r="O265" s="3244">
        <f t="shared" si="59"/>
        <v>7958691</v>
      </c>
      <c r="P265" s="3244"/>
      <c r="Q265" s="3244"/>
      <c r="R265" s="3244">
        <f t="shared" si="60"/>
        <v>2388691</v>
      </c>
      <c r="S265" s="3244">
        <f t="shared" si="61"/>
        <v>2388691</v>
      </c>
      <c r="T265" s="3236"/>
      <c r="U265" s="3236"/>
      <c r="V265" s="3236">
        <v>5570000</v>
      </c>
      <c r="W265" s="3236"/>
      <c r="X265" s="3244">
        <f t="shared" si="62"/>
        <v>7958691</v>
      </c>
      <c r="Y265" s="3244">
        <f t="shared" si="63"/>
        <v>0</v>
      </c>
      <c r="Z265" s="3285">
        <f t="shared" si="64"/>
        <v>1</v>
      </c>
      <c r="AA265" s="3226" t="s">
        <v>3319</v>
      </c>
      <c r="AB265" s="3226" t="s">
        <v>4587</v>
      </c>
      <c r="AC265" s="3226" t="s">
        <v>4698</v>
      </c>
      <c r="AD265" s="3286" t="s">
        <v>4539</v>
      </c>
      <c r="AE265" s="3286" t="s">
        <v>4427</v>
      </c>
      <c r="AF265" s="3286"/>
      <c r="AG265" s="3323"/>
      <c r="AH265" s="3255">
        <v>44031</v>
      </c>
      <c r="AI265" s="3255">
        <v>44032</v>
      </c>
      <c r="AJ265" s="3255">
        <v>44043</v>
      </c>
      <c r="AK265" s="3287">
        <f t="shared" si="65"/>
        <v>2020</v>
      </c>
      <c r="AL265" s="3288">
        <f t="shared" si="66"/>
        <v>7</v>
      </c>
      <c r="AM265" s="3226" t="s">
        <v>4881</v>
      </c>
      <c r="AN265" s="3289">
        <v>5570000</v>
      </c>
      <c r="AO265" s="3300"/>
      <c r="AP265" s="3300"/>
      <c r="AQ265" s="3300"/>
      <c r="AR265" s="3292"/>
      <c r="AS265" s="3292"/>
      <c r="AT265" s="3292"/>
      <c r="AU265" s="3293"/>
      <c r="AV265" s="3293"/>
      <c r="AW265" s="3294"/>
      <c r="AX265" s="3236"/>
      <c r="AY265" s="3244"/>
      <c r="AZ265" s="3325" t="s">
        <v>4429</v>
      </c>
      <c r="BA265" s="3296" t="str">
        <f t="shared" si="67"/>
        <v>签约</v>
      </c>
      <c r="BB265" s="3226"/>
      <c r="BC265" s="3226"/>
      <c r="BD265" s="3292"/>
      <c r="BE265" s="3297" t="s">
        <v>4465</v>
      </c>
      <c r="BG265" s="3297">
        <f>IFERROR(VLOOKUP(B265,[3]Sheet2!A$1:B$65536,2,FALSE),0)</f>
        <v>0</v>
      </c>
      <c r="BI265" s="3297">
        <f>IFERROR(VLOOKUP(B265,[3]Sheet2!A$1:C$65536,2,FALSE),0)</f>
        <v>0</v>
      </c>
      <c r="BJ265" s="3297">
        <f>IFERROR(VLOOKUP(B265,[3]Sheet2!A$1:C$65536,3,FALSE),0)</f>
        <v>0</v>
      </c>
    </row>
    <row r="266" spans="1:64" s="3261" customFormat="1" ht="20.25" customHeight="1">
      <c r="A266" s="3226">
        <v>264</v>
      </c>
      <c r="B266" s="3250" t="s">
        <v>4887</v>
      </c>
      <c r="C266" s="3250" t="s">
        <v>3011</v>
      </c>
      <c r="D266" s="3251"/>
      <c r="E266" s="3229"/>
      <c r="F266" s="3230"/>
      <c r="G266" s="3231">
        <v>239.11</v>
      </c>
      <c r="H266" s="3231" t="str">
        <f t="shared" si="56"/>
        <v>非普通住宅</v>
      </c>
      <c r="I266" s="3230">
        <v>8235513</v>
      </c>
      <c r="J266" s="3229"/>
      <c r="K266" s="3284" t="str">
        <f t="shared" si="57"/>
        <v/>
      </c>
      <c r="L266" s="3230"/>
      <c r="M266" s="3235">
        <f t="shared" si="58"/>
        <v>0</v>
      </c>
      <c r="N266" s="3236"/>
      <c r="O266" s="3244">
        <f t="shared" si="59"/>
        <v>0</v>
      </c>
      <c r="P266" s="3244"/>
      <c r="Q266" s="3244"/>
      <c r="R266" s="3244">
        <f t="shared" si="60"/>
        <v>0</v>
      </c>
      <c r="S266" s="3244">
        <f t="shared" si="61"/>
        <v>0</v>
      </c>
      <c r="T266" s="3236"/>
      <c r="U266" s="3236"/>
      <c r="V266" s="3236"/>
      <c r="W266" s="3236"/>
      <c r="X266" s="3244">
        <f t="shared" si="62"/>
        <v>0</v>
      </c>
      <c r="Y266" s="3244">
        <f t="shared" si="63"/>
        <v>0</v>
      </c>
      <c r="Z266" s="3285" t="e">
        <f t="shared" si="64"/>
        <v>#DIV/0!</v>
      </c>
      <c r="AA266" s="3226" t="s">
        <v>3318</v>
      </c>
      <c r="AB266" s="3226"/>
      <c r="AC266" s="3226"/>
      <c r="AD266" s="3286"/>
      <c r="AE266" s="3286"/>
      <c r="AF266" s="3286"/>
      <c r="AG266" s="3323"/>
      <c r="AH266" s="3255"/>
      <c r="AI266" s="3255"/>
      <c r="AJ266" s="3255"/>
      <c r="AK266" s="3287" t="str">
        <f t="shared" si="65"/>
        <v/>
      </c>
      <c r="AL266" s="3288" t="str">
        <f t="shared" si="66"/>
        <v/>
      </c>
      <c r="AM266" s="3226"/>
      <c r="AN266" s="3289"/>
      <c r="AO266" s="3300"/>
      <c r="AP266" s="3300"/>
      <c r="AQ266" s="3300"/>
      <c r="AR266" s="3292"/>
      <c r="AS266" s="3292"/>
      <c r="AT266" s="3292"/>
      <c r="AU266" s="3293"/>
      <c r="AV266" s="3293"/>
      <c r="AW266" s="3294"/>
      <c r="AX266" s="3236"/>
      <c r="AY266" s="3244"/>
      <c r="AZ266" s="3325"/>
      <c r="BA266" s="3296" t="str">
        <f t="shared" si="67"/>
        <v>未售</v>
      </c>
      <c r="BB266" s="3226"/>
      <c r="BC266" s="3226"/>
      <c r="BD266" s="3292"/>
      <c r="BE266" s="3297"/>
      <c r="BG266" s="3297">
        <f>IFERROR(VLOOKUP(B266,[3]Sheet2!A$1:B$65536,2,FALSE),0)</f>
        <v>0</v>
      </c>
      <c r="BI266" s="3297">
        <f>IFERROR(VLOOKUP(B266,[3]Sheet2!A$1:C$65536,2,FALSE),0)</f>
        <v>0</v>
      </c>
      <c r="BJ266" s="3297">
        <f>IFERROR(VLOOKUP(B266,[3]Sheet2!A$1:C$65536,3,FALSE),0)</f>
        <v>0</v>
      </c>
    </row>
    <row r="267" spans="1:64" s="3261" customFormat="1" ht="20.25" customHeight="1">
      <c r="A267" s="3226">
        <v>265</v>
      </c>
      <c r="B267" s="3250" t="s">
        <v>4342</v>
      </c>
      <c r="C267" s="3250" t="s">
        <v>3011</v>
      </c>
      <c r="D267" s="3251" t="s">
        <v>4343</v>
      </c>
      <c r="E267" s="3229">
        <v>44008</v>
      </c>
      <c r="F267" s="3230">
        <f>100000+100000</f>
        <v>200000</v>
      </c>
      <c r="G267" s="3231">
        <v>272.95</v>
      </c>
      <c r="H267" s="3231" t="str">
        <f t="shared" si="56"/>
        <v>非普通住宅</v>
      </c>
      <c r="I267" s="3230">
        <v>9916107</v>
      </c>
      <c r="J267" s="3229">
        <v>44032</v>
      </c>
      <c r="K267" s="3284">
        <f t="shared" si="57"/>
        <v>7</v>
      </c>
      <c r="L267" s="3230">
        <v>9699174</v>
      </c>
      <c r="M267" s="3235">
        <f t="shared" si="58"/>
        <v>35534.618061916102</v>
      </c>
      <c r="N267" s="3236">
        <v>2719174</v>
      </c>
      <c r="O267" s="3244">
        <f t="shared" si="59"/>
        <v>9699174</v>
      </c>
      <c r="P267" s="3244"/>
      <c r="Q267" s="3244"/>
      <c r="R267" s="3244">
        <f t="shared" si="60"/>
        <v>2919174</v>
      </c>
      <c r="S267" s="3244">
        <f t="shared" si="61"/>
        <v>2919174</v>
      </c>
      <c r="T267" s="3236"/>
      <c r="U267" s="3236"/>
      <c r="V267" s="3236">
        <v>6780000</v>
      </c>
      <c r="W267" s="3236"/>
      <c r="X267" s="3244">
        <f t="shared" si="62"/>
        <v>9699174</v>
      </c>
      <c r="Y267" s="3244">
        <f t="shared" si="63"/>
        <v>0</v>
      </c>
      <c r="Z267" s="3285">
        <f t="shared" si="64"/>
        <v>1</v>
      </c>
      <c r="AA267" s="3226" t="s">
        <v>3319</v>
      </c>
      <c r="AB267" s="3226" t="s">
        <v>4587</v>
      </c>
      <c r="AC267" s="3226" t="s">
        <v>4698</v>
      </c>
      <c r="AD267" s="3286" t="s">
        <v>4539</v>
      </c>
      <c r="AE267" s="3286" t="s">
        <v>4427</v>
      </c>
      <c r="AF267" s="3286"/>
      <c r="AG267" s="3323"/>
      <c r="AH267" s="3255">
        <v>44032</v>
      </c>
      <c r="AI267" s="3255">
        <v>44034</v>
      </c>
      <c r="AJ267" s="3255">
        <v>44043</v>
      </c>
      <c r="AK267" s="3287">
        <f t="shared" si="65"/>
        <v>2020</v>
      </c>
      <c r="AL267" s="3288">
        <f t="shared" si="66"/>
        <v>7</v>
      </c>
      <c r="AM267" s="3226" t="s">
        <v>4433</v>
      </c>
      <c r="AN267" s="3289">
        <v>6780000</v>
      </c>
      <c r="AO267" s="3300"/>
      <c r="AP267" s="3300"/>
      <c r="AQ267" s="3300"/>
      <c r="AR267" s="3292"/>
      <c r="AS267" s="3292"/>
      <c r="AT267" s="3292"/>
      <c r="AU267" s="3293"/>
      <c r="AV267" s="3293"/>
      <c r="AW267" s="3294"/>
      <c r="AX267" s="3236"/>
      <c r="AY267" s="3244"/>
      <c r="AZ267" s="3325" t="s">
        <v>3385</v>
      </c>
      <c r="BA267" s="3296" t="str">
        <f t="shared" si="67"/>
        <v>签约</v>
      </c>
      <c r="BB267" s="3226"/>
      <c r="BC267" s="3226"/>
      <c r="BD267" s="3292"/>
      <c r="BE267" s="3297" t="s">
        <v>4449</v>
      </c>
      <c r="BG267" s="3297">
        <f>IFERROR(VLOOKUP(B267,[3]Sheet2!A$1:B$65536,2,FALSE),0)</f>
        <v>0</v>
      </c>
      <c r="BI267" s="3297">
        <f>IFERROR(VLOOKUP(B267,[3]Sheet2!A$1:C$65536,2,FALSE),0)</f>
        <v>0</v>
      </c>
      <c r="BJ267" s="3297">
        <f>IFERROR(VLOOKUP(B267,[3]Sheet2!A$1:C$65536,3,FALSE),0)</f>
        <v>0</v>
      </c>
    </row>
    <row r="268" spans="1:64" s="3261" customFormat="1" ht="20.25" customHeight="1">
      <c r="A268" s="3226">
        <v>266</v>
      </c>
      <c r="B268" s="3250" t="s">
        <v>4344</v>
      </c>
      <c r="C268" s="3250" t="s">
        <v>3011</v>
      </c>
      <c r="D268" s="3251" t="s">
        <v>3819</v>
      </c>
      <c r="E268" s="3229">
        <v>44032</v>
      </c>
      <c r="F268" s="3230">
        <v>200000</v>
      </c>
      <c r="G268" s="3231">
        <v>272.12</v>
      </c>
      <c r="H268" s="3231" t="str">
        <f t="shared" si="56"/>
        <v>非普通住宅</v>
      </c>
      <c r="I268" s="3230">
        <v>8632267</v>
      </c>
      <c r="J268" s="3229">
        <v>44032</v>
      </c>
      <c r="K268" s="3284">
        <f t="shared" si="57"/>
        <v>7</v>
      </c>
      <c r="L268" s="3230">
        <v>8526144</v>
      </c>
      <c r="M268" s="3235">
        <f t="shared" si="58"/>
        <v>31332.294575922388</v>
      </c>
      <c r="N268" s="3236">
        <f>1973822+392322</f>
        <v>2366144</v>
      </c>
      <c r="O268" s="3244">
        <f t="shared" si="59"/>
        <v>8526144</v>
      </c>
      <c r="P268" s="3244"/>
      <c r="Q268" s="3244"/>
      <c r="R268" s="3244">
        <f t="shared" si="60"/>
        <v>2566144</v>
      </c>
      <c r="S268" s="3244">
        <f t="shared" si="61"/>
        <v>2566144</v>
      </c>
      <c r="T268" s="3236"/>
      <c r="U268" s="3236"/>
      <c r="V268" s="3236"/>
      <c r="W268" s="3236"/>
      <c r="X268" s="3244">
        <f t="shared" si="62"/>
        <v>2566144</v>
      </c>
      <c r="Y268" s="3244">
        <f t="shared" si="63"/>
        <v>5960000</v>
      </c>
      <c r="Z268" s="3285">
        <f t="shared" si="64"/>
        <v>0.30097357023292126</v>
      </c>
      <c r="AA268" s="3226" t="s">
        <v>3319</v>
      </c>
      <c r="AB268" s="3226" t="s">
        <v>4587</v>
      </c>
      <c r="AC268" s="3226" t="s">
        <v>4698</v>
      </c>
      <c r="AD268" s="3286" t="s">
        <v>4773</v>
      </c>
      <c r="AE268" s="3286" t="s">
        <v>4877</v>
      </c>
      <c r="AF268" s="3286"/>
      <c r="AG268" s="3323"/>
      <c r="AH268" s="3255">
        <v>44036</v>
      </c>
      <c r="AI268" s="3255"/>
      <c r="AJ268" s="3255"/>
      <c r="AK268" s="3287" t="str">
        <f t="shared" si="65"/>
        <v/>
      </c>
      <c r="AL268" s="3288" t="str">
        <f t="shared" si="66"/>
        <v/>
      </c>
      <c r="AM268" s="3226" t="s">
        <v>4777</v>
      </c>
      <c r="AN268" s="3289">
        <v>5960000</v>
      </c>
      <c r="AO268" s="3300"/>
      <c r="AP268" s="3300"/>
      <c r="AQ268" s="3300"/>
      <c r="AR268" s="3292"/>
      <c r="AS268" s="3292"/>
      <c r="AT268" s="3292"/>
      <c r="AU268" s="3293"/>
      <c r="AV268" s="3293"/>
      <c r="AW268" s="3294"/>
      <c r="AX268" s="3236"/>
      <c r="AY268" s="3244"/>
      <c r="AZ268" s="3325" t="s">
        <v>4445</v>
      </c>
      <c r="BA268" s="3296" t="str">
        <f t="shared" si="67"/>
        <v>签约</v>
      </c>
      <c r="BB268" s="3226"/>
      <c r="BC268" s="3226"/>
      <c r="BD268" s="3292"/>
      <c r="BE268" s="3297" t="s">
        <v>4696</v>
      </c>
      <c r="BG268" s="3297">
        <f>IFERROR(VLOOKUP(B268,[3]Sheet2!A$1:B$65536,2,FALSE),0)</f>
        <v>0</v>
      </c>
      <c r="BI268" s="3297">
        <f>IFERROR(VLOOKUP(B268,[3]Sheet2!A$1:C$65536,2,FALSE),0)</f>
        <v>0</v>
      </c>
      <c r="BJ268" s="3297">
        <f>IFERROR(VLOOKUP(B268,[3]Sheet2!A$1:C$65536,3,FALSE),0)</f>
        <v>0</v>
      </c>
    </row>
    <row r="269" spans="1:64" s="3261" customFormat="1" ht="20.25" customHeight="1">
      <c r="A269" s="3226">
        <v>267</v>
      </c>
      <c r="B269" s="3250" t="s">
        <v>4345</v>
      </c>
      <c r="C269" s="3250" t="s">
        <v>3011</v>
      </c>
      <c r="D269" s="3251" t="s">
        <v>4346</v>
      </c>
      <c r="E269" s="3229">
        <v>44014</v>
      </c>
      <c r="F269" s="3230">
        <v>200000</v>
      </c>
      <c r="G269" s="3231">
        <v>245.39</v>
      </c>
      <c r="H269" s="3231" t="str">
        <f t="shared" si="56"/>
        <v>非普通住宅</v>
      </c>
      <c r="I269" s="3230">
        <v>7412567</v>
      </c>
      <c r="J269" s="3229">
        <v>44019</v>
      </c>
      <c r="K269" s="3284">
        <f t="shared" si="57"/>
        <v>7</v>
      </c>
      <c r="L269" s="3230">
        <v>7318641</v>
      </c>
      <c r="M269" s="3235">
        <f t="shared" si="58"/>
        <v>29824.528301886796</v>
      </c>
      <c r="N269" s="3236">
        <v>2218641</v>
      </c>
      <c r="O269" s="3244">
        <f t="shared" si="59"/>
        <v>7318641</v>
      </c>
      <c r="P269" s="3244"/>
      <c r="Q269" s="3244"/>
      <c r="R269" s="3244">
        <f t="shared" si="60"/>
        <v>2418641</v>
      </c>
      <c r="S269" s="3244">
        <f t="shared" si="61"/>
        <v>2418641</v>
      </c>
      <c r="T269" s="3236"/>
      <c r="U269" s="3236"/>
      <c r="V269" s="3236">
        <v>4900000</v>
      </c>
      <c r="W269" s="3236"/>
      <c r="X269" s="3244">
        <f t="shared" si="62"/>
        <v>7318641</v>
      </c>
      <c r="Y269" s="3244">
        <f t="shared" si="63"/>
        <v>0</v>
      </c>
      <c r="Z269" s="3285">
        <f t="shared" si="64"/>
        <v>1</v>
      </c>
      <c r="AA269" s="3226" t="s">
        <v>3319</v>
      </c>
      <c r="AB269" s="3226" t="s">
        <v>4587</v>
      </c>
      <c r="AC269" s="3226" t="s">
        <v>4698</v>
      </c>
      <c r="AD269" s="3286" t="s">
        <v>4539</v>
      </c>
      <c r="AE269" s="3286" t="s">
        <v>4427</v>
      </c>
      <c r="AF269" s="3286"/>
      <c r="AG269" s="3323"/>
      <c r="AH269" s="3255">
        <v>44026</v>
      </c>
      <c r="AI269" s="3255">
        <v>44026</v>
      </c>
      <c r="AJ269" s="3255">
        <v>44047</v>
      </c>
      <c r="AK269" s="3287">
        <f t="shared" si="65"/>
        <v>2020</v>
      </c>
      <c r="AL269" s="3288">
        <f t="shared" si="66"/>
        <v>8</v>
      </c>
      <c r="AM269" s="3226" t="s">
        <v>4440</v>
      </c>
      <c r="AN269" s="3289">
        <v>4900000</v>
      </c>
      <c r="AO269" s="3300"/>
      <c r="AP269" s="3300"/>
      <c r="AQ269" s="3300"/>
      <c r="AR269" s="3292"/>
      <c r="AS269" s="3292"/>
      <c r="AT269" s="3292"/>
      <c r="AU269" s="3293"/>
      <c r="AV269" s="3293"/>
      <c r="AW269" s="3294"/>
      <c r="AX269" s="3236"/>
      <c r="AY269" s="3244"/>
      <c r="AZ269" s="3325" t="s">
        <v>4441</v>
      </c>
      <c r="BA269" s="3296" t="str">
        <f t="shared" si="67"/>
        <v>签约</v>
      </c>
      <c r="BB269" s="3226"/>
      <c r="BC269" s="3226"/>
      <c r="BD269" s="3292"/>
      <c r="BE269" s="3297" t="s">
        <v>4449</v>
      </c>
      <c r="BG269" s="3297">
        <f>IFERROR(VLOOKUP(B269,[3]Sheet2!A$1:B$65536,2,FALSE),0)</f>
        <v>0</v>
      </c>
      <c r="BI269" s="3297">
        <f>IFERROR(VLOOKUP(B269,[3]Sheet2!A$1:C$65536,2,FALSE),0)</f>
        <v>0</v>
      </c>
      <c r="BJ269" s="3297">
        <f>IFERROR(VLOOKUP(B269,[3]Sheet2!A$1:C$65536,3,FALSE),0)</f>
        <v>0</v>
      </c>
    </row>
    <row r="270" spans="1:64" s="3261" customFormat="1" ht="20.25" customHeight="1">
      <c r="A270" s="3226">
        <v>268</v>
      </c>
      <c r="B270" s="3250" t="s">
        <v>4347</v>
      </c>
      <c r="C270" s="3250" t="s">
        <v>3011</v>
      </c>
      <c r="D270" s="3251" t="s">
        <v>4348</v>
      </c>
      <c r="E270" s="3229">
        <v>44003</v>
      </c>
      <c r="F270" s="3230">
        <v>200000</v>
      </c>
      <c r="G270" s="3231">
        <v>272.12</v>
      </c>
      <c r="H270" s="3231" t="str">
        <f t="shared" si="56"/>
        <v>非普通住宅</v>
      </c>
      <c r="I270" s="3230">
        <v>8639721</v>
      </c>
      <c r="J270" s="3229">
        <v>44006</v>
      </c>
      <c r="K270" s="3284">
        <f t="shared" si="57"/>
        <v>6</v>
      </c>
      <c r="L270" s="3230">
        <v>8399184</v>
      </c>
      <c r="M270" s="3235">
        <f t="shared" si="58"/>
        <v>30865.735704836101</v>
      </c>
      <c r="N270" s="3236">
        <v>4699184</v>
      </c>
      <c r="O270" s="3244">
        <f t="shared" si="59"/>
        <v>8399184</v>
      </c>
      <c r="P270" s="3244"/>
      <c r="Q270" s="3244"/>
      <c r="R270" s="3244">
        <f t="shared" si="60"/>
        <v>4899184</v>
      </c>
      <c r="S270" s="3244">
        <f t="shared" si="61"/>
        <v>4899184</v>
      </c>
      <c r="T270" s="3236"/>
      <c r="U270" s="3236"/>
      <c r="V270" s="3236">
        <v>3500000</v>
      </c>
      <c r="W270" s="3236"/>
      <c r="X270" s="3244">
        <f t="shared" si="62"/>
        <v>8399184</v>
      </c>
      <c r="Y270" s="3244">
        <f t="shared" si="63"/>
        <v>0</v>
      </c>
      <c r="Z270" s="3285">
        <f t="shared" si="64"/>
        <v>1</v>
      </c>
      <c r="AA270" s="3226" t="s">
        <v>3319</v>
      </c>
      <c r="AB270" s="3226" t="s">
        <v>4587</v>
      </c>
      <c r="AC270" s="3226" t="s">
        <v>4698</v>
      </c>
      <c r="AD270" s="3286" t="s">
        <v>4539</v>
      </c>
      <c r="AE270" s="3286" t="s">
        <v>4427</v>
      </c>
      <c r="AF270" s="3286"/>
      <c r="AG270" s="3323"/>
      <c r="AH270" s="3255">
        <v>44010</v>
      </c>
      <c r="AI270" s="3255">
        <v>44015</v>
      </c>
      <c r="AJ270" s="3255">
        <v>44021</v>
      </c>
      <c r="AK270" s="3287">
        <f t="shared" si="65"/>
        <v>2020</v>
      </c>
      <c r="AL270" s="3288">
        <f t="shared" si="66"/>
        <v>7</v>
      </c>
      <c r="AM270" s="3226" t="s">
        <v>4477</v>
      </c>
      <c r="AN270" s="3289">
        <v>3500000</v>
      </c>
      <c r="AO270" s="3300"/>
      <c r="AP270" s="3300"/>
      <c r="AQ270" s="3300"/>
      <c r="AR270" s="3292"/>
      <c r="AS270" s="3292"/>
      <c r="AT270" s="3292"/>
      <c r="AU270" s="3293"/>
      <c r="AV270" s="3293"/>
      <c r="AW270" s="3294"/>
      <c r="AX270" s="3236"/>
      <c r="AY270" s="3244"/>
      <c r="AZ270" s="3325" t="s">
        <v>4448</v>
      </c>
      <c r="BA270" s="3296" t="str">
        <f t="shared" si="67"/>
        <v>签约</v>
      </c>
      <c r="BB270" s="3226"/>
      <c r="BC270" s="3226"/>
      <c r="BD270" s="3292"/>
      <c r="BE270" s="3297" t="s">
        <v>4449</v>
      </c>
      <c r="BG270" s="3297">
        <f>IFERROR(VLOOKUP(B270,[3]Sheet2!A$1:B$65536,2,FALSE),0)</f>
        <v>0</v>
      </c>
      <c r="BI270" s="3297">
        <f>IFERROR(VLOOKUP(B270,[3]Sheet2!A$1:C$65536,2,FALSE),0)</f>
        <v>0</v>
      </c>
      <c r="BJ270" s="3297">
        <f>IFERROR(VLOOKUP(B270,[3]Sheet2!A$1:C$65536,3,FALSE),0)</f>
        <v>0</v>
      </c>
    </row>
    <row r="271" spans="1:64" s="3261" customFormat="1" ht="20.25" customHeight="1">
      <c r="A271" s="3226">
        <v>269</v>
      </c>
      <c r="B271" s="3250" t="s">
        <v>4137</v>
      </c>
      <c r="C271" s="3250" t="s">
        <v>3009</v>
      </c>
      <c r="D271" s="3251" t="s">
        <v>4138</v>
      </c>
      <c r="E271" s="3229">
        <v>44003</v>
      </c>
      <c r="F271" s="3230">
        <v>200000</v>
      </c>
      <c r="G271" s="3231">
        <v>216.96</v>
      </c>
      <c r="H271" s="3231" t="str">
        <f t="shared" si="56"/>
        <v>非普通住宅</v>
      </c>
      <c r="I271" s="3230">
        <v>5616855</v>
      </c>
      <c r="J271" s="3229">
        <v>44007</v>
      </c>
      <c r="K271" s="3284">
        <f t="shared" si="57"/>
        <v>6</v>
      </c>
      <c r="L271" s="3230">
        <v>5428519</v>
      </c>
      <c r="M271" s="3235">
        <f t="shared" si="58"/>
        <v>25020.828724188788</v>
      </c>
      <c r="N271" s="3236">
        <v>5228519</v>
      </c>
      <c r="O271" s="3244">
        <f t="shared" si="59"/>
        <v>5428519</v>
      </c>
      <c r="P271" s="3244"/>
      <c r="Q271" s="3244"/>
      <c r="R271" s="3244">
        <f t="shared" si="60"/>
        <v>5428519</v>
      </c>
      <c r="S271" s="3244">
        <f t="shared" si="61"/>
        <v>5428519</v>
      </c>
      <c r="T271" s="3236"/>
      <c r="U271" s="3236"/>
      <c r="V271" s="3236"/>
      <c r="W271" s="3236"/>
      <c r="X271" s="3244">
        <f t="shared" si="62"/>
        <v>5428519</v>
      </c>
      <c r="Y271" s="3244">
        <f t="shared" si="63"/>
        <v>0</v>
      </c>
      <c r="Z271" s="3285">
        <f t="shared" si="64"/>
        <v>1</v>
      </c>
      <c r="AA271" s="3226" t="s">
        <v>3319</v>
      </c>
      <c r="AB271" s="3226" t="s">
        <v>4676</v>
      </c>
      <c r="AC271" s="3226"/>
      <c r="AD271" s="3286"/>
      <c r="AE271" s="3286"/>
      <c r="AF271" s="3286"/>
      <c r="AG271" s="3323"/>
      <c r="AH271" s="3255"/>
      <c r="AI271" s="3255"/>
      <c r="AJ271" s="3255"/>
      <c r="AK271" s="3287" t="str">
        <f t="shared" si="65"/>
        <v/>
      </c>
      <c r="AL271" s="3288" t="str">
        <f t="shared" si="66"/>
        <v/>
      </c>
      <c r="AM271" s="3226"/>
      <c r="AN271" s="3289"/>
      <c r="AO271" s="3300"/>
      <c r="AP271" s="3300"/>
      <c r="AQ271" s="3300"/>
      <c r="AR271" s="3292"/>
      <c r="AS271" s="3292"/>
      <c r="AT271" s="3292"/>
      <c r="AU271" s="3293"/>
      <c r="AV271" s="3293"/>
      <c r="AW271" s="3294"/>
      <c r="AX271" s="3236"/>
      <c r="AY271" s="3244"/>
      <c r="AZ271" s="3325" t="s">
        <v>4507</v>
      </c>
      <c r="BA271" s="3296" t="str">
        <f t="shared" si="67"/>
        <v>签约</v>
      </c>
      <c r="BB271" s="3226"/>
      <c r="BC271" s="3226"/>
      <c r="BD271" s="3292"/>
      <c r="BE271" s="3297" t="s">
        <v>4696</v>
      </c>
      <c r="BG271" s="3297">
        <f>IFERROR(VLOOKUP(B271,[3]Sheet2!A$1:B$65536,2,FALSE),0)</f>
        <v>0</v>
      </c>
      <c r="BI271" s="3297">
        <f>IFERROR(VLOOKUP(B271,[3]Sheet2!A$1:C$65536,2,FALSE),0)</f>
        <v>0</v>
      </c>
      <c r="BJ271" s="3297">
        <f>IFERROR(VLOOKUP(B271,[3]Sheet2!A$1:C$65536,3,FALSE),0)</f>
        <v>0</v>
      </c>
    </row>
    <row r="272" spans="1:64" s="3261" customFormat="1" ht="20.25" customHeight="1">
      <c r="A272" s="3226">
        <v>270</v>
      </c>
      <c r="B272" s="3250" t="s">
        <v>4139</v>
      </c>
      <c r="C272" s="3250" t="s">
        <v>3009</v>
      </c>
      <c r="D272" s="3251" t="s">
        <v>4140</v>
      </c>
      <c r="E272" s="3229">
        <v>44003</v>
      </c>
      <c r="F272" s="3230">
        <v>200000</v>
      </c>
      <c r="G272" s="3231">
        <v>186.59</v>
      </c>
      <c r="H272" s="3231" t="str">
        <f t="shared" si="56"/>
        <v>非普通住宅</v>
      </c>
      <c r="I272" s="3230">
        <v>4618082</v>
      </c>
      <c r="J272" s="3229">
        <v>44010</v>
      </c>
      <c r="K272" s="3284">
        <f t="shared" si="57"/>
        <v>6</v>
      </c>
      <c r="L272" s="3230">
        <v>4477177</v>
      </c>
      <c r="M272" s="3235">
        <f t="shared" si="58"/>
        <v>23994.731764831984</v>
      </c>
      <c r="N272" s="3236">
        <v>1147177</v>
      </c>
      <c r="O272" s="3244">
        <f t="shared" si="59"/>
        <v>4477177</v>
      </c>
      <c r="P272" s="3244"/>
      <c r="Q272" s="3244"/>
      <c r="R272" s="3244">
        <f t="shared" si="60"/>
        <v>1347177</v>
      </c>
      <c r="S272" s="3244">
        <f t="shared" si="61"/>
        <v>1347177</v>
      </c>
      <c r="T272" s="3236"/>
      <c r="U272" s="3236"/>
      <c r="V272" s="3236">
        <v>3130000</v>
      </c>
      <c r="W272" s="3236"/>
      <c r="X272" s="3244">
        <f t="shared" si="62"/>
        <v>4477177</v>
      </c>
      <c r="Y272" s="3244">
        <f t="shared" si="63"/>
        <v>0</v>
      </c>
      <c r="Z272" s="3285">
        <f t="shared" si="64"/>
        <v>1</v>
      </c>
      <c r="AA272" s="3226" t="s">
        <v>3319</v>
      </c>
      <c r="AB272" s="3226" t="s">
        <v>4587</v>
      </c>
      <c r="AC272" s="3226" t="s">
        <v>4698</v>
      </c>
      <c r="AD272" s="3286" t="s">
        <v>4539</v>
      </c>
      <c r="AE272" s="3286" t="s">
        <v>4427</v>
      </c>
      <c r="AF272" s="3286"/>
      <c r="AG272" s="3323"/>
      <c r="AH272" s="3255">
        <v>44010</v>
      </c>
      <c r="AI272" s="3255">
        <v>44013</v>
      </c>
      <c r="AJ272" s="3255">
        <v>44028</v>
      </c>
      <c r="AK272" s="3287">
        <f t="shared" si="65"/>
        <v>2020</v>
      </c>
      <c r="AL272" s="3288">
        <f t="shared" si="66"/>
        <v>7</v>
      </c>
      <c r="AM272" s="3226" t="s">
        <v>4477</v>
      </c>
      <c r="AN272" s="3289">
        <v>3130000</v>
      </c>
      <c r="AO272" s="3300"/>
      <c r="AP272" s="3300"/>
      <c r="AQ272" s="3300"/>
      <c r="AR272" s="3292"/>
      <c r="AS272" s="3292"/>
      <c r="AT272" s="3292"/>
      <c r="AU272" s="3293"/>
      <c r="AV272" s="3293"/>
      <c r="AW272" s="3294"/>
      <c r="AX272" s="3236"/>
      <c r="AY272" s="3244"/>
      <c r="AZ272" s="3325" t="s">
        <v>4885</v>
      </c>
      <c r="BA272" s="3296" t="str">
        <f t="shared" si="67"/>
        <v>签约</v>
      </c>
      <c r="BB272" s="3226"/>
      <c r="BC272" s="3226"/>
      <c r="BD272" s="3292"/>
      <c r="BE272" s="3297" t="s">
        <v>4696</v>
      </c>
      <c r="BG272" s="3297">
        <f>IFERROR(VLOOKUP(B272,[3]Sheet2!A$1:B$65536,2,FALSE),0)</f>
        <v>0</v>
      </c>
      <c r="BI272" s="3297">
        <f>IFERROR(VLOOKUP(B272,[3]Sheet2!A$1:C$65536,2,FALSE),0)</f>
        <v>0</v>
      </c>
      <c r="BJ272" s="3297">
        <f>IFERROR(VLOOKUP(B272,[3]Sheet2!A$1:C$65536,3,FALSE),0)</f>
        <v>0</v>
      </c>
    </row>
    <row r="273" spans="1:62" s="3261" customFormat="1" ht="20.25" customHeight="1">
      <c r="A273" s="3226">
        <v>271</v>
      </c>
      <c r="B273" s="3250" t="s">
        <v>4141</v>
      </c>
      <c r="C273" s="3250" t="s">
        <v>3009</v>
      </c>
      <c r="D273" s="3251" t="s">
        <v>4142</v>
      </c>
      <c r="E273" s="3229">
        <v>44005</v>
      </c>
      <c r="F273" s="3230">
        <v>200000</v>
      </c>
      <c r="G273" s="3231">
        <v>186.59</v>
      </c>
      <c r="H273" s="3231" t="str">
        <f t="shared" si="56"/>
        <v>非普通住宅</v>
      </c>
      <c r="I273" s="3230">
        <v>4650353</v>
      </c>
      <c r="J273" s="3229">
        <v>44005</v>
      </c>
      <c r="K273" s="3284">
        <f t="shared" si="57"/>
        <v>6</v>
      </c>
      <c r="L273" s="3230">
        <v>4508806</v>
      </c>
      <c r="M273" s="3235">
        <f t="shared" si="58"/>
        <v>24164.242456723296</v>
      </c>
      <c r="N273" s="3236">
        <v>1158806</v>
      </c>
      <c r="O273" s="3244">
        <f t="shared" si="59"/>
        <v>4508806</v>
      </c>
      <c r="P273" s="3244"/>
      <c r="Q273" s="3244"/>
      <c r="R273" s="3244">
        <f t="shared" si="60"/>
        <v>1358806</v>
      </c>
      <c r="S273" s="3244">
        <f t="shared" si="61"/>
        <v>1358806</v>
      </c>
      <c r="T273" s="3236"/>
      <c r="U273" s="3236"/>
      <c r="V273" s="3236">
        <v>3150000</v>
      </c>
      <c r="W273" s="3236"/>
      <c r="X273" s="3244">
        <f t="shared" si="62"/>
        <v>4508806</v>
      </c>
      <c r="Y273" s="3244">
        <f t="shared" si="63"/>
        <v>0</v>
      </c>
      <c r="Z273" s="3285">
        <f t="shared" si="64"/>
        <v>1</v>
      </c>
      <c r="AA273" s="3226" t="s">
        <v>3319</v>
      </c>
      <c r="AB273" s="3226" t="s">
        <v>4587</v>
      </c>
      <c r="AC273" s="3226" t="s">
        <v>4698</v>
      </c>
      <c r="AD273" s="3286" t="s">
        <v>4539</v>
      </c>
      <c r="AE273" s="3286" t="s">
        <v>4427</v>
      </c>
      <c r="AF273" s="3286"/>
      <c r="AG273" s="3323"/>
      <c r="AH273" s="3255">
        <v>44009</v>
      </c>
      <c r="AI273" s="3255">
        <v>44009</v>
      </c>
      <c r="AJ273" s="3255">
        <v>44015</v>
      </c>
      <c r="AK273" s="3287">
        <f t="shared" si="65"/>
        <v>2020</v>
      </c>
      <c r="AL273" s="3288">
        <f t="shared" si="66"/>
        <v>7</v>
      </c>
      <c r="AM273" s="3226" t="s">
        <v>4477</v>
      </c>
      <c r="AN273" s="3289">
        <v>3150000</v>
      </c>
      <c r="AO273" s="3300"/>
      <c r="AP273" s="3300"/>
      <c r="AQ273" s="3300"/>
      <c r="AR273" s="3292"/>
      <c r="AS273" s="3292"/>
      <c r="AT273" s="3292"/>
      <c r="AU273" s="3293"/>
      <c r="AV273" s="3293"/>
      <c r="AW273" s="3294"/>
      <c r="AX273" s="3236"/>
      <c r="AY273" s="3244"/>
      <c r="AZ273" s="3325" t="s">
        <v>4445</v>
      </c>
      <c r="BA273" s="3296" t="str">
        <f t="shared" si="67"/>
        <v>签约</v>
      </c>
      <c r="BB273" s="3226"/>
      <c r="BC273" s="3226"/>
      <c r="BD273" s="3292"/>
      <c r="BE273" s="3297" t="s">
        <v>4696</v>
      </c>
      <c r="BG273" s="3297">
        <f>IFERROR(VLOOKUP(B273,[3]Sheet2!A$1:B$65536,2,FALSE),0)</f>
        <v>0</v>
      </c>
      <c r="BI273" s="3297">
        <f>IFERROR(VLOOKUP(B273,[3]Sheet2!A$1:C$65536,2,FALSE),0)</f>
        <v>0</v>
      </c>
      <c r="BJ273" s="3297">
        <f>IFERROR(VLOOKUP(B273,[3]Sheet2!A$1:C$65536,3,FALSE),0)</f>
        <v>0</v>
      </c>
    </row>
    <row r="274" spans="1:62" s="3261" customFormat="1" ht="20.25" customHeight="1">
      <c r="A274" s="3226">
        <v>272</v>
      </c>
      <c r="B274" s="3250" t="s">
        <v>4143</v>
      </c>
      <c r="C274" s="3250" t="s">
        <v>3009</v>
      </c>
      <c r="D274" s="3251" t="s">
        <v>4144</v>
      </c>
      <c r="E274" s="3229">
        <v>44004</v>
      </c>
      <c r="F274" s="3230">
        <f>100000+100000</f>
        <v>200000</v>
      </c>
      <c r="G274" s="3231">
        <v>186.59</v>
      </c>
      <c r="H274" s="3231" t="str">
        <f t="shared" si="56"/>
        <v>非普通住宅</v>
      </c>
      <c r="I274" s="3230">
        <v>4683170</v>
      </c>
      <c r="J274" s="3229">
        <v>44006</v>
      </c>
      <c r="K274" s="3284">
        <f t="shared" si="57"/>
        <v>6</v>
      </c>
      <c r="L274" s="3230">
        <v>4540970</v>
      </c>
      <c r="M274" s="3235">
        <f t="shared" si="58"/>
        <v>24336.620397663326</v>
      </c>
      <c r="N274" s="3236">
        <v>1340970</v>
      </c>
      <c r="O274" s="3244">
        <f t="shared" si="59"/>
        <v>4540970</v>
      </c>
      <c r="P274" s="3244"/>
      <c r="Q274" s="3244"/>
      <c r="R274" s="3244">
        <f t="shared" si="60"/>
        <v>1540970</v>
      </c>
      <c r="S274" s="3244">
        <f t="shared" si="61"/>
        <v>1540970</v>
      </c>
      <c r="T274" s="3236"/>
      <c r="U274" s="3236"/>
      <c r="V274" s="3236">
        <v>3000000</v>
      </c>
      <c r="W274" s="3236"/>
      <c r="X274" s="3244">
        <f t="shared" si="62"/>
        <v>4540970</v>
      </c>
      <c r="Y274" s="3244">
        <f t="shared" si="63"/>
        <v>0</v>
      </c>
      <c r="Z274" s="3285">
        <f t="shared" si="64"/>
        <v>1</v>
      </c>
      <c r="AA274" s="3226" t="s">
        <v>3319</v>
      </c>
      <c r="AB274" s="3226" t="s">
        <v>4587</v>
      </c>
      <c r="AC274" s="3226" t="s">
        <v>4698</v>
      </c>
      <c r="AD274" s="3286" t="s">
        <v>4539</v>
      </c>
      <c r="AE274" s="3286" t="s">
        <v>4427</v>
      </c>
      <c r="AF274" s="3286"/>
      <c r="AG274" s="3323"/>
      <c r="AH274" s="3255">
        <v>44010</v>
      </c>
      <c r="AI274" s="3255">
        <v>44013</v>
      </c>
      <c r="AJ274" s="3255">
        <v>44027</v>
      </c>
      <c r="AK274" s="3287">
        <f t="shared" si="65"/>
        <v>2020</v>
      </c>
      <c r="AL274" s="3288">
        <f t="shared" si="66"/>
        <v>7</v>
      </c>
      <c r="AM274" s="3226" t="s">
        <v>4777</v>
      </c>
      <c r="AN274" s="3289">
        <v>3000000</v>
      </c>
      <c r="AO274" s="3300"/>
      <c r="AP274" s="3300"/>
      <c r="AQ274" s="3300"/>
      <c r="AR274" s="3292"/>
      <c r="AS274" s="3292"/>
      <c r="AT274" s="3292"/>
      <c r="AU274" s="3293"/>
      <c r="AV274" s="3293"/>
      <c r="AW274" s="3294"/>
      <c r="AX274" s="3236"/>
      <c r="AY274" s="3244"/>
      <c r="AZ274" s="3325" t="s">
        <v>4735</v>
      </c>
      <c r="BA274" s="3296" t="str">
        <f t="shared" si="67"/>
        <v>签约</v>
      </c>
      <c r="BB274" s="3226"/>
      <c r="BC274" s="3226"/>
      <c r="BD274" s="3292"/>
      <c r="BE274" s="3297" t="s">
        <v>4449</v>
      </c>
      <c r="BG274" s="3297">
        <f>IFERROR(VLOOKUP(B274,[3]Sheet2!A$1:B$65536,2,FALSE),0)</f>
        <v>0</v>
      </c>
      <c r="BI274" s="3297">
        <f>IFERROR(VLOOKUP(B274,[3]Sheet2!A$1:C$65536,2,FALSE),0)</f>
        <v>0</v>
      </c>
      <c r="BJ274" s="3297">
        <f>IFERROR(VLOOKUP(B274,[3]Sheet2!A$1:C$65536,3,FALSE),0)</f>
        <v>0</v>
      </c>
    </row>
    <row r="275" spans="1:62" s="3261" customFormat="1" ht="20.25" customHeight="1">
      <c r="A275" s="3226">
        <v>273</v>
      </c>
      <c r="B275" s="3250" t="s">
        <v>4145</v>
      </c>
      <c r="C275" s="3250" t="s">
        <v>3009</v>
      </c>
      <c r="D275" s="3251" t="s">
        <v>4146</v>
      </c>
      <c r="E275" s="3229">
        <v>44005</v>
      </c>
      <c r="F275" s="3230">
        <f>100000+100000</f>
        <v>200000</v>
      </c>
      <c r="G275" s="3231">
        <v>186.59</v>
      </c>
      <c r="H275" s="3231" t="str">
        <f t="shared" si="56"/>
        <v>非普通住宅</v>
      </c>
      <c r="I275" s="3230">
        <v>4715441</v>
      </c>
      <c r="J275" s="3229">
        <v>44010</v>
      </c>
      <c r="K275" s="3284">
        <f t="shared" si="57"/>
        <v>6</v>
      </c>
      <c r="L275" s="3230">
        <v>4648487</v>
      </c>
      <c r="M275" s="3235">
        <f t="shared" si="58"/>
        <v>24912.840988263037</v>
      </c>
      <c r="N275" s="3236">
        <v>1448487</v>
      </c>
      <c r="O275" s="3244">
        <f t="shared" si="59"/>
        <v>4648487</v>
      </c>
      <c r="P275" s="3244"/>
      <c r="Q275" s="3244"/>
      <c r="R275" s="3244">
        <f t="shared" si="60"/>
        <v>1648487</v>
      </c>
      <c r="S275" s="3244">
        <f t="shared" si="61"/>
        <v>1648487</v>
      </c>
      <c r="T275" s="3236"/>
      <c r="U275" s="3236"/>
      <c r="V275" s="3236">
        <v>3000000</v>
      </c>
      <c r="W275" s="3236"/>
      <c r="X275" s="3244">
        <f t="shared" si="62"/>
        <v>4648487</v>
      </c>
      <c r="Y275" s="3244">
        <f t="shared" si="63"/>
        <v>0</v>
      </c>
      <c r="Z275" s="3285">
        <f t="shared" si="64"/>
        <v>1</v>
      </c>
      <c r="AA275" s="3226" t="s">
        <v>3319</v>
      </c>
      <c r="AB275" s="3226" t="s">
        <v>4587</v>
      </c>
      <c r="AC275" s="3226" t="s">
        <v>4698</v>
      </c>
      <c r="AD275" s="3286" t="s">
        <v>4539</v>
      </c>
      <c r="AE275" s="3286" t="s">
        <v>4427</v>
      </c>
      <c r="AF275" s="3286"/>
      <c r="AG275" s="3323"/>
      <c r="AH275" s="3255">
        <v>44010</v>
      </c>
      <c r="AI275" s="3255">
        <v>44013</v>
      </c>
      <c r="AJ275" s="3255">
        <v>44027</v>
      </c>
      <c r="AK275" s="3287">
        <f t="shared" si="65"/>
        <v>2020</v>
      </c>
      <c r="AL275" s="3288">
        <f t="shared" si="66"/>
        <v>7</v>
      </c>
      <c r="AM275" s="3226" t="s">
        <v>4792</v>
      </c>
      <c r="AN275" s="3289">
        <v>3000000</v>
      </c>
      <c r="AO275" s="3300"/>
      <c r="AP275" s="3300"/>
      <c r="AQ275" s="3300"/>
      <c r="AR275" s="3292"/>
      <c r="AS275" s="3292"/>
      <c r="AT275" s="3292"/>
      <c r="AU275" s="3293"/>
      <c r="AV275" s="3293"/>
      <c r="AW275" s="3294"/>
      <c r="AX275" s="3236"/>
      <c r="AY275" s="3244"/>
      <c r="AZ275" s="3325" t="s">
        <v>4735</v>
      </c>
      <c r="BA275" s="3296" t="str">
        <f t="shared" si="67"/>
        <v>签约</v>
      </c>
      <c r="BB275" s="3226"/>
      <c r="BC275" s="3226"/>
      <c r="BD275" s="3292"/>
      <c r="BE275" s="3297" t="s">
        <v>4465</v>
      </c>
      <c r="BG275" s="3297">
        <f>IFERROR(VLOOKUP(B275,[3]Sheet2!A$1:B$65536,2,FALSE),0)</f>
        <v>0</v>
      </c>
      <c r="BI275" s="3297">
        <f>IFERROR(VLOOKUP(B275,[3]Sheet2!A$1:C$65536,2,FALSE),0)</f>
        <v>0</v>
      </c>
      <c r="BJ275" s="3297">
        <f>IFERROR(VLOOKUP(B275,[3]Sheet2!A$1:C$65536,3,FALSE),0)</f>
        <v>0</v>
      </c>
    </row>
    <row r="276" spans="1:62" s="3261" customFormat="1" ht="20.25" customHeight="1">
      <c r="A276" s="3226">
        <v>274</v>
      </c>
      <c r="B276" s="3250" t="s">
        <v>4147</v>
      </c>
      <c r="C276" s="3250" t="s">
        <v>3009</v>
      </c>
      <c r="D276" s="3251" t="s">
        <v>3435</v>
      </c>
      <c r="E276" s="3229">
        <v>44003</v>
      </c>
      <c r="F276" s="3230">
        <v>200000</v>
      </c>
      <c r="G276" s="3231">
        <v>228.7</v>
      </c>
      <c r="H276" s="3231" t="str">
        <f t="shared" si="56"/>
        <v>非普通住宅</v>
      </c>
      <c r="I276" s="3230">
        <v>5635413</v>
      </c>
      <c r="J276" s="3229">
        <v>44011</v>
      </c>
      <c r="K276" s="3284">
        <f t="shared" si="57"/>
        <v>6</v>
      </c>
      <c r="L276" s="3230">
        <v>5446615</v>
      </c>
      <c r="M276" s="3235">
        <f t="shared" si="58"/>
        <v>23815.544381285526</v>
      </c>
      <c r="N276" s="3236">
        <v>800000</v>
      </c>
      <c r="O276" s="3244">
        <f t="shared" si="59"/>
        <v>5446615</v>
      </c>
      <c r="P276" s="3244"/>
      <c r="Q276" s="3244"/>
      <c r="R276" s="3244">
        <f t="shared" si="60"/>
        <v>1000000</v>
      </c>
      <c r="S276" s="3244">
        <f t="shared" si="61"/>
        <v>1000000</v>
      </c>
      <c r="T276" s="3236"/>
      <c r="U276" s="3236"/>
      <c r="V276" s="3236"/>
      <c r="W276" s="3236"/>
      <c r="X276" s="3244">
        <f t="shared" si="62"/>
        <v>1000000</v>
      </c>
      <c r="Y276" s="3244">
        <f t="shared" si="63"/>
        <v>4446615</v>
      </c>
      <c r="Z276" s="3285">
        <f t="shared" si="64"/>
        <v>0.18360027283000543</v>
      </c>
      <c r="AA276" s="3226" t="s">
        <v>3319</v>
      </c>
      <c r="AB276" s="3226" t="s">
        <v>4676</v>
      </c>
      <c r="AC276" s="3226"/>
      <c r="AD276" s="3286"/>
      <c r="AE276" s="3286"/>
      <c r="AF276" s="3286"/>
      <c r="AG276" s="3323"/>
      <c r="AH276" s="3255"/>
      <c r="AI276" s="3255"/>
      <c r="AJ276" s="3255"/>
      <c r="AK276" s="3287" t="str">
        <f t="shared" si="65"/>
        <v/>
      </c>
      <c r="AL276" s="3288" t="str">
        <f t="shared" si="66"/>
        <v/>
      </c>
      <c r="AM276" s="3226"/>
      <c r="AN276" s="3289"/>
      <c r="AO276" s="3300"/>
      <c r="AP276" s="3300"/>
      <c r="AQ276" s="3300"/>
      <c r="AR276" s="3292"/>
      <c r="AS276" s="3292"/>
      <c r="AT276" s="3292"/>
      <c r="AU276" s="3293"/>
      <c r="AV276" s="3293"/>
      <c r="AW276" s="3294"/>
      <c r="AX276" s="3236"/>
      <c r="AY276" s="3244"/>
      <c r="AZ276" s="3325"/>
      <c r="BA276" s="3296" t="str">
        <f t="shared" si="67"/>
        <v>签约</v>
      </c>
      <c r="BB276" s="3226"/>
      <c r="BC276" s="3226"/>
      <c r="BD276" s="3292"/>
      <c r="BE276" s="3297"/>
      <c r="BG276" s="3297">
        <f>IFERROR(VLOOKUP(B276,[3]Sheet2!A$1:B$65536,2,FALSE),0)</f>
        <v>0</v>
      </c>
      <c r="BI276" s="3297">
        <f>IFERROR(VLOOKUP(B276,[3]Sheet2!A$1:C$65536,2,FALSE),0)</f>
        <v>0</v>
      </c>
      <c r="BJ276" s="3297">
        <f>IFERROR(VLOOKUP(B276,[3]Sheet2!A$1:C$65536,3,FALSE),0)</f>
        <v>0</v>
      </c>
    </row>
    <row r="277" spans="1:62" s="3261" customFormat="1" ht="20.25" customHeight="1">
      <c r="A277" s="3226">
        <v>275</v>
      </c>
      <c r="B277" s="3250" t="s">
        <v>4148</v>
      </c>
      <c r="C277" s="3250" t="s">
        <v>3009</v>
      </c>
      <c r="D277" s="3251" t="s">
        <v>4149</v>
      </c>
      <c r="E277" s="3229">
        <v>44010</v>
      </c>
      <c r="F277" s="3230">
        <v>200000</v>
      </c>
      <c r="G277" s="3231">
        <v>208.42</v>
      </c>
      <c r="H277" s="3231" t="str">
        <f t="shared" si="56"/>
        <v>非普通住宅</v>
      </c>
      <c r="I277" s="3230">
        <v>4199404</v>
      </c>
      <c r="J277" s="3229">
        <v>44010</v>
      </c>
      <c r="K277" s="3284">
        <f t="shared" si="57"/>
        <v>6</v>
      </c>
      <c r="L277" s="3230">
        <v>4066831</v>
      </c>
      <c r="M277" s="3235">
        <f t="shared" si="58"/>
        <v>19512.671528644085</v>
      </c>
      <c r="N277" s="3236">
        <v>2616831</v>
      </c>
      <c r="O277" s="3244">
        <f t="shared" si="59"/>
        <v>4066831</v>
      </c>
      <c r="P277" s="3244"/>
      <c r="Q277" s="3244"/>
      <c r="R277" s="3244">
        <f t="shared" si="60"/>
        <v>2816831</v>
      </c>
      <c r="S277" s="3244">
        <f t="shared" si="61"/>
        <v>2816831</v>
      </c>
      <c r="T277" s="3236"/>
      <c r="U277" s="3236"/>
      <c r="V277" s="3236">
        <v>1250000</v>
      </c>
      <c r="W277" s="3236"/>
      <c r="X277" s="3244">
        <f t="shared" si="62"/>
        <v>4066831</v>
      </c>
      <c r="Y277" s="3244">
        <f t="shared" si="63"/>
        <v>0</v>
      </c>
      <c r="Z277" s="3285">
        <f t="shared" si="64"/>
        <v>1</v>
      </c>
      <c r="AA277" s="3226" t="s">
        <v>3319</v>
      </c>
      <c r="AB277" s="3226" t="s">
        <v>4587</v>
      </c>
      <c r="AC277" s="3226" t="s">
        <v>4698</v>
      </c>
      <c r="AD277" s="3286" t="s">
        <v>4539</v>
      </c>
      <c r="AE277" s="3286" t="s">
        <v>4427</v>
      </c>
      <c r="AF277" s="3286"/>
      <c r="AG277" s="3323"/>
      <c r="AH277" s="3255">
        <v>44010</v>
      </c>
      <c r="AI277" s="3255">
        <v>44013</v>
      </c>
      <c r="AJ277" s="3255">
        <v>44021</v>
      </c>
      <c r="AK277" s="3287">
        <f t="shared" si="65"/>
        <v>2020</v>
      </c>
      <c r="AL277" s="3288">
        <f t="shared" si="66"/>
        <v>7</v>
      </c>
      <c r="AM277" s="3226" t="s">
        <v>4701</v>
      </c>
      <c r="AN277" s="3289">
        <v>1250000</v>
      </c>
      <c r="AO277" s="3300"/>
      <c r="AP277" s="3300"/>
      <c r="AQ277" s="3300"/>
      <c r="AR277" s="3292"/>
      <c r="AS277" s="3292"/>
      <c r="AT277" s="3292"/>
      <c r="AU277" s="3293"/>
      <c r="AV277" s="3293"/>
      <c r="AW277" s="3294"/>
      <c r="AX277" s="3236"/>
      <c r="AY277" s="3244"/>
      <c r="AZ277" s="3325" t="s">
        <v>4885</v>
      </c>
      <c r="BA277" s="3296" t="str">
        <f t="shared" si="67"/>
        <v>签约</v>
      </c>
      <c r="BB277" s="3226"/>
      <c r="BC277" s="3226"/>
      <c r="BD277" s="3292"/>
      <c r="BE277" s="3297" t="s">
        <v>4696</v>
      </c>
      <c r="BG277" s="3297">
        <f>IFERROR(VLOOKUP(B277,[3]Sheet2!A$1:B$65536,2,FALSE),0)</f>
        <v>0</v>
      </c>
      <c r="BI277" s="3297">
        <f>IFERROR(VLOOKUP(B277,[3]Sheet2!A$1:C$65536,2,FALSE),0)</f>
        <v>0</v>
      </c>
      <c r="BJ277" s="3297">
        <f>IFERROR(VLOOKUP(B277,[3]Sheet2!A$1:C$65536,3,FALSE),0)</f>
        <v>0</v>
      </c>
    </row>
    <row r="278" spans="1:62" s="3261" customFormat="1" ht="20.25" customHeight="1">
      <c r="A278" s="3226">
        <v>276</v>
      </c>
      <c r="B278" s="3250" t="s">
        <v>4150</v>
      </c>
      <c r="C278" s="3250" t="s">
        <v>3009</v>
      </c>
      <c r="D278" s="3251" t="s">
        <v>4151</v>
      </c>
      <c r="E278" s="3229">
        <v>44003</v>
      </c>
      <c r="F278" s="3230">
        <v>200000</v>
      </c>
      <c r="G278" s="3231">
        <v>180.62</v>
      </c>
      <c r="H278" s="3231" t="str">
        <f t="shared" si="56"/>
        <v>非普通住宅</v>
      </c>
      <c r="I278" s="3230">
        <v>3704686</v>
      </c>
      <c r="J278" s="3229">
        <v>44010</v>
      </c>
      <c r="K278" s="3284">
        <f t="shared" si="57"/>
        <v>6</v>
      </c>
      <c r="L278" s="3230">
        <v>3581958</v>
      </c>
      <c r="M278" s="3235">
        <f t="shared" si="58"/>
        <v>19831.458310264643</v>
      </c>
      <c r="N278" s="3236">
        <v>881958</v>
      </c>
      <c r="O278" s="3244">
        <f t="shared" si="59"/>
        <v>3581958</v>
      </c>
      <c r="P278" s="3244"/>
      <c r="Q278" s="3244"/>
      <c r="R278" s="3244">
        <f t="shared" si="60"/>
        <v>1081958</v>
      </c>
      <c r="S278" s="3244">
        <f t="shared" si="61"/>
        <v>1081958</v>
      </c>
      <c r="T278" s="3236"/>
      <c r="U278" s="3236"/>
      <c r="V278" s="3236">
        <v>2500000</v>
      </c>
      <c r="W278" s="3236"/>
      <c r="X278" s="3244">
        <f t="shared" si="62"/>
        <v>3581958</v>
      </c>
      <c r="Y278" s="3244">
        <f t="shared" si="63"/>
        <v>0</v>
      </c>
      <c r="Z278" s="3285">
        <f t="shared" si="64"/>
        <v>1</v>
      </c>
      <c r="AA278" s="3226" t="s">
        <v>3319</v>
      </c>
      <c r="AB278" s="3226" t="s">
        <v>4587</v>
      </c>
      <c r="AC278" s="3226" t="s">
        <v>4698</v>
      </c>
      <c r="AD278" s="3286" t="s">
        <v>4539</v>
      </c>
      <c r="AE278" s="3286" t="s">
        <v>4427</v>
      </c>
      <c r="AF278" s="3286"/>
      <c r="AG278" s="3323"/>
      <c r="AH278" s="3255">
        <v>44010</v>
      </c>
      <c r="AI278" s="3255">
        <v>44013</v>
      </c>
      <c r="AJ278" s="3255">
        <v>44021</v>
      </c>
      <c r="AK278" s="3287">
        <f t="shared" si="65"/>
        <v>2020</v>
      </c>
      <c r="AL278" s="3288">
        <f t="shared" si="66"/>
        <v>7</v>
      </c>
      <c r="AM278" s="3226" t="s">
        <v>4701</v>
      </c>
      <c r="AN278" s="3289">
        <v>2500000</v>
      </c>
      <c r="AO278" s="3300"/>
      <c r="AP278" s="3300"/>
      <c r="AQ278" s="3300"/>
      <c r="AR278" s="3292"/>
      <c r="AS278" s="3292"/>
      <c r="AT278" s="3292"/>
      <c r="AU278" s="3293"/>
      <c r="AV278" s="3293"/>
      <c r="AW278" s="3294"/>
      <c r="AX278" s="3236"/>
      <c r="AY278" s="3244"/>
      <c r="AZ278" s="3325" t="s">
        <v>4445</v>
      </c>
      <c r="BA278" s="3296" t="str">
        <f t="shared" si="67"/>
        <v>签约</v>
      </c>
      <c r="BB278" s="3226"/>
      <c r="BC278" s="3226"/>
      <c r="BD278" s="3292"/>
      <c r="BE278" s="3297" t="s">
        <v>4696</v>
      </c>
      <c r="BG278" s="3297">
        <f>IFERROR(VLOOKUP(B278,[3]Sheet2!A$1:B$65536,2,FALSE),0)</f>
        <v>0</v>
      </c>
      <c r="BI278" s="3297">
        <f>IFERROR(VLOOKUP(B278,[3]Sheet2!A$1:C$65536,2,FALSE),0)</f>
        <v>0</v>
      </c>
      <c r="BJ278" s="3297">
        <f>IFERROR(VLOOKUP(B278,[3]Sheet2!A$1:C$65536,3,FALSE),0)</f>
        <v>0</v>
      </c>
    </row>
    <row r="279" spans="1:62" s="3261" customFormat="1" ht="20.25" customHeight="1">
      <c r="A279" s="3226">
        <v>277</v>
      </c>
      <c r="B279" s="3250" t="s">
        <v>4152</v>
      </c>
      <c r="C279" s="3250" t="s">
        <v>3009</v>
      </c>
      <c r="D279" s="3251" t="s">
        <v>4153</v>
      </c>
      <c r="E279" s="3229">
        <v>44003</v>
      </c>
      <c r="F279" s="3230">
        <v>200000</v>
      </c>
      <c r="G279" s="3231">
        <v>180.62</v>
      </c>
      <c r="H279" s="3231" t="str">
        <f t="shared" si="56"/>
        <v>非普通住宅</v>
      </c>
      <c r="I279" s="3230">
        <v>3738170</v>
      </c>
      <c r="J279" s="3229">
        <v>44007</v>
      </c>
      <c r="K279" s="3284">
        <f t="shared" si="57"/>
        <v>6</v>
      </c>
      <c r="L279" s="3230">
        <v>3614775</v>
      </c>
      <c r="M279" s="3235">
        <f t="shared" si="58"/>
        <v>20013.149152917726</v>
      </c>
      <c r="N279" s="3236">
        <v>1414775</v>
      </c>
      <c r="O279" s="3244">
        <f t="shared" si="59"/>
        <v>3614775</v>
      </c>
      <c r="P279" s="3244"/>
      <c r="Q279" s="3244"/>
      <c r="R279" s="3244">
        <f t="shared" si="60"/>
        <v>1614775</v>
      </c>
      <c r="S279" s="3244">
        <f t="shared" si="61"/>
        <v>1614775</v>
      </c>
      <c r="T279" s="3236"/>
      <c r="U279" s="3236"/>
      <c r="V279" s="3236">
        <v>2000000</v>
      </c>
      <c r="W279" s="3236"/>
      <c r="X279" s="3244">
        <f t="shared" si="62"/>
        <v>3614775</v>
      </c>
      <c r="Y279" s="3244">
        <f t="shared" si="63"/>
        <v>0</v>
      </c>
      <c r="Z279" s="3285">
        <f t="shared" si="64"/>
        <v>1</v>
      </c>
      <c r="AA279" s="3226" t="s">
        <v>3319</v>
      </c>
      <c r="AB279" s="3226" t="s">
        <v>4587</v>
      </c>
      <c r="AC279" s="3226" t="s">
        <v>4698</v>
      </c>
      <c r="AD279" s="3286" t="s">
        <v>4539</v>
      </c>
      <c r="AE279" s="3286" t="s">
        <v>4427</v>
      </c>
      <c r="AF279" s="3286"/>
      <c r="AG279" s="3323"/>
      <c r="AH279" s="3255">
        <v>44010</v>
      </c>
      <c r="AI279" s="3255">
        <v>44015</v>
      </c>
      <c r="AJ279" s="3255">
        <v>44021</v>
      </c>
      <c r="AK279" s="3287">
        <f t="shared" si="65"/>
        <v>2020</v>
      </c>
      <c r="AL279" s="3288">
        <f t="shared" si="66"/>
        <v>7</v>
      </c>
      <c r="AM279" s="3226" t="s">
        <v>4477</v>
      </c>
      <c r="AN279" s="3289">
        <v>2000000</v>
      </c>
      <c r="AO279" s="3300"/>
      <c r="AP279" s="3300"/>
      <c r="AQ279" s="3300"/>
      <c r="AR279" s="3292"/>
      <c r="AS279" s="3292"/>
      <c r="AT279" s="3292"/>
      <c r="AU279" s="3293"/>
      <c r="AV279" s="3293"/>
      <c r="AW279" s="3294"/>
      <c r="AX279" s="3236"/>
      <c r="AY279" s="3244"/>
      <c r="AZ279" s="3325" t="s">
        <v>4507</v>
      </c>
      <c r="BA279" s="3296" t="str">
        <f t="shared" si="67"/>
        <v>签约</v>
      </c>
      <c r="BB279" s="3226"/>
      <c r="BC279" s="3226"/>
      <c r="BD279" s="3292"/>
      <c r="BE279" s="3297" t="s">
        <v>4449</v>
      </c>
      <c r="BG279" s="3297">
        <f>IFERROR(VLOOKUP(B279,[3]Sheet2!A$1:B$65536,2,FALSE),0)</f>
        <v>0</v>
      </c>
      <c r="BI279" s="3297">
        <f>IFERROR(VLOOKUP(B279,[3]Sheet2!A$1:C$65536,2,FALSE),0)</f>
        <v>0</v>
      </c>
      <c r="BJ279" s="3297">
        <f>IFERROR(VLOOKUP(B279,[3]Sheet2!A$1:C$65536,3,FALSE),0)</f>
        <v>0</v>
      </c>
    </row>
    <row r="280" spans="1:62" s="3261" customFormat="1" ht="20.25" customHeight="1">
      <c r="A280" s="3226">
        <v>278</v>
      </c>
      <c r="B280" s="3250" t="s">
        <v>4154</v>
      </c>
      <c r="C280" s="3250" t="s">
        <v>3009</v>
      </c>
      <c r="D280" s="3251" t="s">
        <v>4155</v>
      </c>
      <c r="E280" s="3229">
        <v>44003</v>
      </c>
      <c r="F280" s="3230">
        <v>200000</v>
      </c>
      <c r="G280" s="3231">
        <v>180.62</v>
      </c>
      <c r="H280" s="3231" t="str">
        <f t="shared" si="56"/>
        <v>非普通住宅</v>
      </c>
      <c r="I280" s="3230">
        <v>3772196</v>
      </c>
      <c r="J280" s="3229">
        <v>44010</v>
      </c>
      <c r="K280" s="3284">
        <f t="shared" si="57"/>
        <v>6</v>
      </c>
      <c r="L280" s="3230">
        <v>3629699</v>
      </c>
      <c r="M280" s="3235">
        <f t="shared" si="58"/>
        <v>20095.775661610009</v>
      </c>
      <c r="N280" s="3236">
        <v>3429699</v>
      </c>
      <c r="O280" s="3244">
        <f t="shared" si="59"/>
        <v>3629699</v>
      </c>
      <c r="P280" s="3244"/>
      <c r="Q280" s="3244"/>
      <c r="R280" s="3244">
        <f t="shared" si="60"/>
        <v>3629699</v>
      </c>
      <c r="S280" s="3244">
        <f t="shared" si="61"/>
        <v>3629699</v>
      </c>
      <c r="T280" s="3236"/>
      <c r="U280" s="3236"/>
      <c r="V280" s="3236"/>
      <c r="W280" s="3236"/>
      <c r="X280" s="3244">
        <f t="shared" si="62"/>
        <v>3629699</v>
      </c>
      <c r="Y280" s="3244">
        <f t="shared" si="63"/>
        <v>0</v>
      </c>
      <c r="Z280" s="3285">
        <f t="shared" si="64"/>
        <v>1</v>
      </c>
      <c r="AA280" s="3226" t="s">
        <v>3319</v>
      </c>
      <c r="AB280" s="3226" t="s">
        <v>4676</v>
      </c>
      <c r="AC280" s="3226"/>
      <c r="AD280" s="3286"/>
      <c r="AE280" s="3286"/>
      <c r="AF280" s="3286"/>
      <c r="AG280" s="3323"/>
      <c r="AH280" s="3255"/>
      <c r="AI280" s="3255"/>
      <c r="AJ280" s="3255"/>
      <c r="AK280" s="3287" t="str">
        <f t="shared" si="65"/>
        <v/>
      </c>
      <c r="AL280" s="3288" t="str">
        <f t="shared" si="66"/>
        <v/>
      </c>
      <c r="AM280" s="3226"/>
      <c r="AN280" s="3289"/>
      <c r="AO280" s="3300"/>
      <c r="AP280" s="3300"/>
      <c r="AQ280" s="3300"/>
      <c r="AR280" s="3292"/>
      <c r="AS280" s="3292"/>
      <c r="AT280" s="3292"/>
      <c r="AU280" s="3293"/>
      <c r="AV280" s="3293"/>
      <c r="AW280" s="3294"/>
      <c r="AX280" s="3236"/>
      <c r="AY280" s="3244"/>
      <c r="AZ280" s="3325" t="s">
        <v>4445</v>
      </c>
      <c r="BA280" s="3296" t="str">
        <f t="shared" si="67"/>
        <v>签约</v>
      </c>
      <c r="BB280" s="3226"/>
      <c r="BC280" s="3226"/>
      <c r="BD280" s="3292"/>
      <c r="BE280" s="3297" t="s">
        <v>4449</v>
      </c>
      <c r="BG280" s="3297">
        <f>IFERROR(VLOOKUP(B280,[3]Sheet2!A$1:B$65536,2,FALSE),0)</f>
        <v>0</v>
      </c>
      <c r="BI280" s="3297">
        <f>IFERROR(VLOOKUP(B280,[3]Sheet2!A$1:C$65536,2,FALSE),0)</f>
        <v>0</v>
      </c>
      <c r="BJ280" s="3297">
        <f>IFERROR(VLOOKUP(B280,[3]Sheet2!A$1:C$65536,3,FALSE),0)</f>
        <v>0</v>
      </c>
    </row>
    <row r="281" spans="1:62" s="3261" customFormat="1" ht="20.25" customHeight="1">
      <c r="A281" s="3226">
        <v>279</v>
      </c>
      <c r="B281" s="3250" t="s">
        <v>4156</v>
      </c>
      <c r="C281" s="3250" t="s">
        <v>3009</v>
      </c>
      <c r="D281" s="3251" t="s">
        <v>4157</v>
      </c>
      <c r="E281" s="3229">
        <v>44003</v>
      </c>
      <c r="F281" s="3230">
        <v>200000</v>
      </c>
      <c r="G281" s="3231">
        <v>180.55</v>
      </c>
      <c r="H281" s="3231" t="str">
        <f t="shared" si="56"/>
        <v>非普通住宅</v>
      </c>
      <c r="I281" s="3230">
        <v>3804755</v>
      </c>
      <c r="J281" s="3229">
        <v>44010</v>
      </c>
      <c r="K281" s="3284">
        <f t="shared" si="57"/>
        <v>6</v>
      </c>
      <c r="L281" s="3230">
        <v>3680035</v>
      </c>
      <c r="M281" s="3235">
        <f t="shared" si="58"/>
        <v>20382.359457214068</v>
      </c>
      <c r="N281" s="3236">
        <v>910035</v>
      </c>
      <c r="O281" s="3244">
        <f t="shared" si="59"/>
        <v>3680035</v>
      </c>
      <c r="P281" s="3244"/>
      <c r="Q281" s="3244"/>
      <c r="R281" s="3244">
        <f t="shared" si="60"/>
        <v>1110035</v>
      </c>
      <c r="S281" s="3244">
        <f t="shared" si="61"/>
        <v>1110035</v>
      </c>
      <c r="T281" s="3236"/>
      <c r="U281" s="3236"/>
      <c r="V281" s="3236">
        <v>2570000</v>
      </c>
      <c r="W281" s="3236"/>
      <c r="X281" s="3244">
        <f t="shared" si="62"/>
        <v>3680035</v>
      </c>
      <c r="Y281" s="3244">
        <f t="shared" si="63"/>
        <v>0</v>
      </c>
      <c r="Z281" s="3285">
        <f t="shared" si="64"/>
        <v>1</v>
      </c>
      <c r="AA281" s="3226" t="s">
        <v>3319</v>
      </c>
      <c r="AB281" s="3226" t="s">
        <v>4587</v>
      </c>
      <c r="AC281" s="3226" t="s">
        <v>4698</v>
      </c>
      <c r="AD281" s="3286" t="s">
        <v>4539</v>
      </c>
      <c r="AE281" s="3286" t="s">
        <v>4427</v>
      </c>
      <c r="AF281" s="3286"/>
      <c r="AG281" s="3323"/>
      <c r="AH281" s="3255">
        <v>44010</v>
      </c>
      <c r="AI281" s="3255">
        <v>44015</v>
      </c>
      <c r="AJ281" s="3255">
        <v>44021</v>
      </c>
      <c r="AK281" s="3287">
        <f t="shared" si="65"/>
        <v>2020</v>
      </c>
      <c r="AL281" s="3288">
        <f t="shared" si="66"/>
        <v>7</v>
      </c>
      <c r="AM281" s="3226" t="s">
        <v>4433</v>
      </c>
      <c r="AN281" s="3289">
        <v>2570000</v>
      </c>
      <c r="AO281" s="3300"/>
      <c r="AP281" s="3300"/>
      <c r="AQ281" s="3300"/>
      <c r="AR281" s="3292"/>
      <c r="AS281" s="3292"/>
      <c r="AT281" s="3292"/>
      <c r="AU281" s="3293"/>
      <c r="AV281" s="3293"/>
      <c r="AW281" s="3294"/>
      <c r="AX281" s="3236"/>
      <c r="AY281" s="3244"/>
      <c r="AZ281" s="3325" t="s">
        <v>4445</v>
      </c>
      <c r="BA281" s="3296" t="str">
        <f t="shared" si="67"/>
        <v>签约</v>
      </c>
      <c r="BB281" s="3226"/>
      <c r="BC281" s="3226"/>
      <c r="BD281" s="3292"/>
      <c r="BE281" s="3297" t="s">
        <v>4696</v>
      </c>
      <c r="BG281" s="3297">
        <f>IFERROR(VLOOKUP(B281,[3]Sheet2!A$1:B$65536,2,FALSE),0)</f>
        <v>0</v>
      </c>
      <c r="BI281" s="3297">
        <f>IFERROR(VLOOKUP(B281,[3]Sheet2!A$1:C$65536,2,FALSE),0)</f>
        <v>0</v>
      </c>
      <c r="BJ281" s="3297">
        <f>IFERROR(VLOOKUP(B281,[3]Sheet2!A$1:C$65536,3,FALSE),0)</f>
        <v>0</v>
      </c>
    </row>
    <row r="282" spans="1:62" s="3261" customFormat="1" ht="20.25" customHeight="1">
      <c r="A282" s="3226">
        <v>280</v>
      </c>
      <c r="B282" s="3250" t="s">
        <v>4158</v>
      </c>
      <c r="C282" s="3250" t="s">
        <v>3009</v>
      </c>
      <c r="D282" s="3251" t="s">
        <v>3341</v>
      </c>
      <c r="E282" s="3229">
        <v>44003</v>
      </c>
      <c r="F282" s="3230">
        <v>200000</v>
      </c>
      <c r="G282" s="3231">
        <v>203.45</v>
      </c>
      <c r="H282" s="3231" t="str">
        <f t="shared" si="56"/>
        <v>非普通住宅</v>
      </c>
      <c r="I282" s="3230">
        <v>4168641</v>
      </c>
      <c r="J282" s="3229">
        <v>44011</v>
      </c>
      <c r="K282" s="3284">
        <f t="shared" si="57"/>
        <v>6</v>
      </c>
      <c r="L282" s="3230">
        <v>4016293</v>
      </c>
      <c r="M282" s="3235">
        <f t="shared" si="58"/>
        <v>19740.933890390759</v>
      </c>
      <c r="N282" s="3236">
        <v>1100000</v>
      </c>
      <c r="O282" s="3244">
        <f t="shared" si="59"/>
        <v>4016293</v>
      </c>
      <c r="P282" s="3244"/>
      <c r="Q282" s="3244"/>
      <c r="R282" s="3244">
        <f t="shared" si="60"/>
        <v>1300000</v>
      </c>
      <c r="S282" s="3244">
        <f t="shared" si="61"/>
        <v>1300000</v>
      </c>
      <c r="T282" s="3236"/>
      <c r="U282" s="3236"/>
      <c r="V282" s="3236"/>
      <c r="W282" s="3236"/>
      <c r="X282" s="3244">
        <f t="shared" si="62"/>
        <v>1300000</v>
      </c>
      <c r="Y282" s="3244">
        <f t="shared" si="63"/>
        <v>2716293</v>
      </c>
      <c r="Z282" s="3285">
        <f t="shared" si="64"/>
        <v>0.32368156406915533</v>
      </c>
      <c r="AA282" s="3226" t="s">
        <v>3319</v>
      </c>
      <c r="AB282" s="3226" t="s">
        <v>4676</v>
      </c>
      <c r="AC282" s="3226"/>
      <c r="AD282" s="3286"/>
      <c r="AE282" s="3286"/>
      <c r="AF282" s="3286"/>
      <c r="AG282" s="3323"/>
      <c r="AH282" s="3255"/>
      <c r="AI282" s="3255"/>
      <c r="AJ282" s="3255"/>
      <c r="AK282" s="3287" t="str">
        <f t="shared" si="65"/>
        <v/>
      </c>
      <c r="AL282" s="3288" t="str">
        <f t="shared" si="66"/>
        <v/>
      </c>
      <c r="AM282" s="3226"/>
      <c r="AN282" s="3289"/>
      <c r="AO282" s="3300"/>
      <c r="AP282" s="3300"/>
      <c r="AQ282" s="3300"/>
      <c r="AR282" s="3292"/>
      <c r="AS282" s="3292"/>
      <c r="AT282" s="3292"/>
      <c r="AU282" s="3293"/>
      <c r="AV282" s="3293"/>
      <c r="AW282" s="3294"/>
      <c r="AX282" s="3236"/>
      <c r="AY282" s="3244"/>
      <c r="AZ282" s="3325" t="s">
        <v>4437</v>
      </c>
      <c r="BA282" s="3296" t="str">
        <f t="shared" si="67"/>
        <v>签约</v>
      </c>
      <c r="BB282" s="3226"/>
      <c r="BC282" s="3226"/>
      <c r="BD282" s="3292"/>
      <c r="BE282" s="3297" t="s">
        <v>4696</v>
      </c>
      <c r="BG282" s="3297">
        <f>IFERROR(VLOOKUP(B282,[3]Sheet2!A$1:B$65536,2,FALSE),0)</f>
        <v>0</v>
      </c>
      <c r="BI282" s="3297">
        <f>IFERROR(VLOOKUP(B282,[3]Sheet2!A$1:C$65536,2,FALSE),0)</f>
        <v>0</v>
      </c>
      <c r="BJ282" s="3297">
        <f>IFERROR(VLOOKUP(B282,[3]Sheet2!A$1:C$65536,3,FALSE),0)</f>
        <v>0</v>
      </c>
    </row>
    <row r="283" spans="1:62" s="3261" customFormat="1" ht="20.25" customHeight="1">
      <c r="A283" s="3226">
        <v>281</v>
      </c>
      <c r="B283" s="3250" t="s">
        <v>4349</v>
      </c>
      <c r="C283" s="3250" t="s">
        <v>3011</v>
      </c>
      <c r="D283" s="3251" t="s">
        <v>4350</v>
      </c>
      <c r="E283" s="3229">
        <v>44003</v>
      </c>
      <c r="F283" s="3230">
        <f>70000+130000</f>
        <v>200000</v>
      </c>
      <c r="G283" s="3231">
        <v>241.8</v>
      </c>
      <c r="H283" s="3231" t="str">
        <f t="shared" si="56"/>
        <v>非普通住宅</v>
      </c>
      <c r="I283" s="3230">
        <v>9550160</v>
      </c>
      <c r="J283" s="3229">
        <v>44018</v>
      </c>
      <c r="K283" s="3284">
        <f t="shared" si="57"/>
        <v>7</v>
      </c>
      <c r="L283" s="3230">
        <v>9291505</v>
      </c>
      <c r="M283" s="3235">
        <f t="shared" si="58"/>
        <v>38426.406120760956</v>
      </c>
      <c r="N283" s="3236">
        <v>2591505</v>
      </c>
      <c r="O283" s="3244">
        <f t="shared" si="59"/>
        <v>9291505</v>
      </c>
      <c r="P283" s="3244"/>
      <c r="Q283" s="3244"/>
      <c r="R283" s="3244">
        <f t="shared" si="60"/>
        <v>2791505</v>
      </c>
      <c r="S283" s="3244">
        <f t="shared" si="61"/>
        <v>2791505</v>
      </c>
      <c r="T283" s="3236"/>
      <c r="U283" s="3236"/>
      <c r="V283" s="3236"/>
      <c r="W283" s="3236"/>
      <c r="X283" s="3244">
        <f t="shared" si="62"/>
        <v>2791505</v>
      </c>
      <c r="Y283" s="3244">
        <f t="shared" si="63"/>
        <v>6500000</v>
      </c>
      <c r="Z283" s="3285">
        <f t="shared" si="64"/>
        <v>0.30043625871158658</v>
      </c>
      <c r="AA283" s="3226" t="s">
        <v>3319</v>
      </c>
      <c r="AB283" s="3226" t="s">
        <v>4587</v>
      </c>
      <c r="AC283" s="3226" t="s">
        <v>4698</v>
      </c>
      <c r="AD283" s="3286" t="s">
        <v>4539</v>
      </c>
      <c r="AE283" s="3286" t="s">
        <v>4776</v>
      </c>
      <c r="AF283" s="3286"/>
      <c r="AG283" s="3323"/>
      <c r="AH283" s="3255">
        <v>44026</v>
      </c>
      <c r="AI283" s="3255">
        <v>44026</v>
      </c>
      <c r="AJ283" s="3255"/>
      <c r="AK283" s="3287" t="str">
        <f t="shared" si="65"/>
        <v/>
      </c>
      <c r="AL283" s="3288" t="str">
        <f t="shared" si="66"/>
        <v/>
      </c>
      <c r="AM283" s="3226" t="s">
        <v>4433</v>
      </c>
      <c r="AN283" s="3289">
        <v>6500000</v>
      </c>
      <c r="AO283" s="3300"/>
      <c r="AP283" s="3300"/>
      <c r="AQ283" s="3300"/>
      <c r="AR283" s="3292"/>
      <c r="AS283" s="3292"/>
      <c r="AT283" s="3292"/>
      <c r="AU283" s="3293"/>
      <c r="AV283" s="3293"/>
      <c r="AW283" s="3294"/>
      <c r="AX283" s="3236"/>
      <c r="AY283" s="3244"/>
      <c r="AZ283" s="3325" t="s">
        <v>3385</v>
      </c>
      <c r="BA283" s="3296" t="str">
        <f t="shared" si="67"/>
        <v>签约</v>
      </c>
      <c r="BB283" s="3226"/>
      <c r="BC283" s="3226"/>
      <c r="BD283" s="3292"/>
      <c r="BE283" s="3297" t="s">
        <v>4449</v>
      </c>
      <c r="BG283" s="3297">
        <f>IFERROR(VLOOKUP(B283,[3]Sheet2!A$1:B$65536,2,FALSE),0)</f>
        <v>0</v>
      </c>
      <c r="BI283" s="3297">
        <f>IFERROR(VLOOKUP(B283,[3]Sheet2!A$1:C$65536,2,FALSE),0)</f>
        <v>0</v>
      </c>
      <c r="BJ283" s="3297">
        <f>IFERROR(VLOOKUP(B283,[3]Sheet2!A$1:C$65536,3,FALSE),0)</f>
        <v>0</v>
      </c>
    </row>
    <row r="284" spans="1:62" s="3261" customFormat="1" ht="20.25" customHeight="1">
      <c r="A284" s="3226">
        <v>282</v>
      </c>
      <c r="B284" s="3250" t="s">
        <v>4159</v>
      </c>
      <c r="C284" s="3250" t="s">
        <v>3009</v>
      </c>
      <c r="D284" s="3251" t="s">
        <v>4160</v>
      </c>
      <c r="E284" s="3229">
        <v>44006</v>
      </c>
      <c r="F284" s="3230">
        <v>200000</v>
      </c>
      <c r="G284" s="3231">
        <v>233.56</v>
      </c>
      <c r="H284" s="3231" t="str">
        <f t="shared" si="56"/>
        <v>非普通住宅</v>
      </c>
      <c r="I284" s="3230">
        <v>5239027</v>
      </c>
      <c r="J284" s="3229">
        <v>44013</v>
      </c>
      <c r="K284" s="3284">
        <f t="shared" si="57"/>
        <v>7</v>
      </c>
      <c r="L284" s="3230">
        <v>5166837</v>
      </c>
      <c r="M284" s="3235">
        <f t="shared" si="58"/>
        <v>22122.097105668778</v>
      </c>
      <c r="N284" s="3236">
        <v>1356837</v>
      </c>
      <c r="O284" s="3244">
        <f t="shared" si="59"/>
        <v>5166837</v>
      </c>
      <c r="P284" s="3244"/>
      <c r="Q284" s="3244"/>
      <c r="R284" s="3244">
        <f t="shared" si="60"/>
        <v>1556837</v>
      </c>
      <c r="S284" s="3244">
        <f t="shared" si="61"/>
        <v>1556837</v>
      </c>
      <c r="T284" s="3236"/>
      <c r="U284" s="3236"/>
      <c r="V284" s="3236">
        <v>3610000</v>
      </c>
      <c r="W284" s="3236"/>
      <c r="X284" s="3244">
        <f t="shared" si="62"/>
        <v>5166837</v>
      </c>
      <c r="Y284" s="3244">
        <f t="shared" si="63"/>
        <v>0</v>
      </c>
      <c r="Z284" s="3285">
        <f t="shared" si="64"/>
        <v>1</v>
      </c>
      <c r="AA284" s="3226" t="s">
        <v>3319</v>
      </c>
      <c r="AB284" s="3226" t="s">
        <v>4587</v>
      </c>
      <c r="AC284" s="3226" t="s">
        <v>4698</v>
      </c>
      <c r="AD284" s="3286" t="s">
        <v>4539</v>
      </c>
      <c r="AE284" s="3286" t="s">
        <v>4427</v>
      </c>
      <c r="AF284" s="3286"/>
      <c r="AG284" s="3323"/>
      <c r="AH284" s="3255">
        <v>44013</v>
      </c>
      <c r="AI284" s="3255">
        <v>44015</v>
      </c>
      <c r="AJ284" s="3255">
        <v>44029</v>
      </c>
      <c r="AK284" s="3287">
        <f t="shared" si="65"/>
        <v>2020</v>
      </c>
      <c r="AL284" s="3288">
        <f t="shared" si="66"/>
        <v>7</v>
      </c>
      <c r="AM284" s="3226" t="s">
        <v>4477</v>
      </c>
      <c r="AN284" s="3289">
        <v>3610000</v>
      </c>
      <c r="AO284" s="3300"/>
      <c r="AP284" s="3300"/>
      <c r="AQ284" s="3300"/>
      <c r="AR284" s="3292"/>
      <c r="AS284" s="3292"/>
      <c r="AT284" s="3292"/>
      <c r="AU284" s="3293"/>
      <c r="AV284" s="3293"/>
      <c r="AW284" s="3294"/>
      <c r="AX284" s="3236"/>
      <c r="AY284" s="3244"/>
      <c r="AZ284" s="3325" t="s">
        <v>4445</v>
      </c>
      <c r="BA284" s="3296" t="str">
        <f t="shared" si="67"/>
        <v>签约</v>
      </c>
      <c r="BB284" s="3226"/>
      <c r="BC284" s="3226"/>
      <c r="BD284" s="3292"/>
      <c r="BE284" s="3297" t="s">
        <v>4696</v>
      </c>
      <c r="BG284" s="3297">
        <f>IFERROR(VLOOKUP(B284,[3]Sheet2!A$1:B$65536,2,FALSE),0)</f>
        <v>0</v>
      </c>
      <c r="BI284" s="3297">
        <f>IFERROR(VLOOKUP(B284,[3]Sheet2!A$1:C$65536,2,FALSE),0)</f>
        <v>0</v>
      </c>
      <c r="BJ284" s="3297">
        <f>IFERROR(VLOOKUP(B284,[3]Sheet2!A$1:C$65536,3,FALSE),0)</f>
        <v>0</v>
      </c>
    </row>
    <row r="285" spans="1:62" s="3261" customFormat="1" ht="20.25" customHeight="1">
      <c r="A285" s="3226">
        <v>283</v>
      </c>
      <c r="B285" s="3250" t="s">
        <v>4888</v>
      </c>
      <c r="C285" s="3250" t="s">
        <v>3009</v>
      </c>
      <c r="D285" s="3251" t="s">
        <v>4889</v>
      </c>
      <c r="E285" s="3229">
        <v>44003</v>
      </c>
      <c r="F285" s="3230">
        <v>200000</v>
      </c>
      <c r="G285" s="3231">
        <v>183.65</v>
      </c>
      <c r="H285" s="3231" t="str">
        <f t="shared" si="56"/>
        <v>非普通住宅</v>
      </c>
      <c r="I285" s="3230">
        <v>4478897</v>
      </c>
      <c r="J285" s="3229"/>
      <c r="K285" s="3284" t="str">
        <f t="shared" si="57"/>
        <v/>
      </c>
      <c r="L285" s="3230"/>
      <c r="M285" s="3235">
        <f t="shared" si="58"/>
        <v>0</v>
      </c>
      <c r="N285" s="3236"/>
      <c r="O285" s="3244">
        <f t="shared" si="59"/>
        <v>0</v>
      </c>
      <c r="P285" s="3244"/>
      <c r="Q285" s="3244"/>
      <c r="R285" s="3244">
        <f t="shared" si="60"/>
        <v>200000</v>
      </c>
      <c r="S285" s="3244">
        <f t="shared" si="61"/>
        <v>200000</v>
      </c>
      <c r="T285" s="3236"/>
      <c r="U285" s="3236"/>
      <c r="V285" s="3236"/>
      <c r="W285" s="3236"/>
      <c r="X285" s="3244">
        <f t="shared" si="62"/>
        <v>200000</v>
      </c>
      <c r="Y285" s="3244">
        <f t="shared" si="63"/>
        <v>-200000</v>
      </c>
      <c r="Z285" s="3285" t="e">
        <f t="shared" si="64"/>
        <v>#DIV/0!</v>
      </c>
      <c r="AA285" s="3226" t="s">
        <v>3318</v>
      </c>
      <c r="AB285" s="3226"/>
      <c r="AC285" s="3226"/>
      <c r="AD285" s="3286"/>
      <c r="AE285" s="3286"/>
      <c r="AF285" s="3286"/>
      <c r="AG285" s="3323"/>
      <c r="AH285" s="3255"/>
      <c r="AI285" s="3255"/>
      <c r="AJ285" s="3255"/>
      <c r="AK285" s="3287" t="str">
        <f t="shared" si="65"/>
        <v/>
      </c>
      <c r="AL285" s="3288" t="str">
        <f t="shared" si="66"/>
        <v/>
      </c>
      <c r="AM285" s="3226"/>
      <c r="AN285" s="3289"/>
      <c r="AO285" s="3300"/>
      <c r="AP285" s="3300"/>
      <c r="AQ285" s="3300"/>
      <c r="AR285" s="3292"/>
      <c r="AS285" s="3292"/>
      <c r="AT285" s="3292"/>
      <c r="AU285" s="3293"/>
      <c r="AV285" s="3293"/>
      <c r="AW285" s="3294"/>
      <c r="AX285" s="3236"/>
      <c r="AY285" s="3244"/>
      <c r="AZ285" s="3325"/>
      <c r="BA285" s="3296" t="str">
        <f t="shared" si="67"/>
        <v>认购</v>
      </c>
      <c r="BB285" s="3226"/>
      <c r="BC285" s="3226"/>
      <c r="BD285" s="3292"/>
      <c r="BE285" s="3297"/>
      <c r="BG285" s="3297">
        <f>IFERROR(VLOOKUP(B285,[3]Sheet2!A$1:B$65536,2,FALSE),0)</f>
        <v>0</v>
      </c>
      <c r="BI285" s="3297">
        <f>IFERROR(VLOOKUP(B285,[3]Sheet2!A$1:C$65536,2,FALSE),0)</f>
        <v>0</v>
      </c>
      <c r="BJ285" s="3297">
        <f>IFERROR(VLOOKUP(B285,[3]Sheet2!A$1:C$65536,3,FALSE),0)</f>
        <v>0</v>
      </c>
    </row>
    <row r="286" spans="1:62" s="3261" customFormat="1" ht="20.25" customHeight="1">
      <c r="A286" s="3226">
        <v>284</v>
      </c>
      <c r="B286" s="3250" t="s">
        <v>4161</v>
      </c>
      <c r="C286" s="3250" t="s">
        <v>3009</v>
      </c>
      <c r="D286" s="3251" t="s">
        <v>4162</v>
      </c>
      <c r="E286" s="3229">
        <v>44003</v>
      </c>
      <c r="F286" s="3230">
        <v>200000</v>
      </c>
      <c r="G286" s="3231">
        <v>183.65</v>
      </c>
      <c r="H286" s="3231" t="str">
        <f t="shared" si="56"/>
        <v>非普通住宅</v>
      </c>
      <c r="I286" s="3230">
        <v>4533088</v>
      </c>
      <c r="J286" s="3229">
        <v>44006</v>
      </c>
      <c r="K286" s="3284">
        <f t="shared" si="57"/>
        <v>6</v>
      </c>
      <c r="L286" s="3230">
        <v>4393875</v>
      </c>
      <c r="M286" s="3235">
        <f t="shared" si="58"/>
        <v>23925.265450585353</v>
      </c>
      <c r="N286" s="3236">
        <f>1123875+1570000</f>
        <v>2693875</v>
      </c>
      <c r="O286" s="3244">
        <f t="shared" si="59"/>
        <v>4393875</v>
      </c>
      <c r="P286" s="3244"/>
      <c r="Q286" s="3244"/>
      <c r="R286" s="3244">
        <f t="shared" si="60"/>
        <v>2893875</v>
      </c>
      <c r="S286" s="3244">
        <f t="shared" si="61"/>
        <v>2893875</v>
      </c>
      <c r="T286" s="3236"/>
      <c r="U286" s="3236"/>
      <c r="V286" s="3236">
        <v>1500000</v>
      </c>
      <c r="W286" s="3236"/>
      <c r="X286" s="3244">
        <f t="shared" si="62"/>
        <v>4393875</v>
      </c>
      <c r="Y286" s="3244">
        <f t="shared" si="63"/>
        <v>0</v>
      </c>
      <c r="Z286" s="3285">
        <f t="shared" si="64"/>
        <v>1</v>
      </c>
      <c r="AA286" s="3226" t="s">
        <v>3319</v>
      </c>
      <c r="AB286" s="3226" t="s">
        <v>4587</v>
      </c>
      <c r="AC286" s="3226" t="s">
        <v>4698</v>
      </c>
      <c r="AD286" s="3286" t="s">
        <v>4539</v>
      </c>
      <c r="AE286" s="3286" t="s">
        <v>4427</v>
      </c>
      <c r="AF286" s="3324"/>
      <c r="AG286" s="3323"/>
      <c r="AH286" s="3255">
        <v>44010</v>
      </c>
      <c r="AI286" s="3255">
        <v>44027</v>
      </c>
      <c r="AJ286" s="3255">
        <v>44042</v>
      </c>
      <c r="AK286" s="3287">
        <f t="shared" si="65"/>
        <v>2020</v>
      </c>
      <c r="AL286" s="3288">
        <f t="shared" si="66"/>
        <v>7</v>
      </c>
      <c r="AM286" s="3226" t="s">
        <v>4890</v>
      </c>
      <c r="AN286" s="3289">
        <v>1500000</v>
      </c>
      <c r="AO286" s="3300"/>
      <c r="AP286" s="3300"/>
      <c r="AQ286" s="3300"/>
      <c r="AR286" s="3292"/>
      <c r="AS286" s="3292"/>
      <c r="AT286" s="3292"/>
      <c r="AU286" s="3293"/>
      <c r="AV286" s="3293"/>
      <c r="AW286" s="3294"/>
      <c r="AX286" s="3236"/>
      <c r="AY286" s="3244"/>
      <c r="AZ286" s="3325" t="s">
        <v>4441</v>
      </c>
      <c r="BA286" s="3296" t="str">
        <f t="shared" si="67"/>
        <v>签约</v>
      </c>
      <c r="BB286" s="3226"/>
      <c r="BC286" s="3226"/>
      <c r="BD286" s="3292"/>
      <c r="BE286" s="3297" t="s">
        <v>4449</v>
      </c>
      <c r="BG286" s="3297">
        <f>IFERROR(VLOOKUP(B286,[3]Sheet2!A$1:B$65536,2,FALSE),0)</f>
        <v>0</v>
      </c>
      <c r="BI286" s="3297">
        <f>IFERROR(VLOOKUP(B286,[3]Sheet2!A$1:C$65536,2,FALSE),0)</f>
        <v>0</v>
      </c>
      <c r="BJ286" s="3297">
        <f>IFERROR(VLOOKUP(B286,[3]Sheet2!A$1:C$65536,3,FALSE),0)</f>
        <v>0</v>
      </c>
    </row>
    <row r="287" spans="1:62" s="3261" customFormat="1" ht="20.25" customHeight="1">
      <c r="A287" s="3226">
        <v>285</v>
      </c>
      <c r="B287" s="3250" t="s">
        <v>4163</v>
      </c>
      <c r="C287" s="3250" t="s">
        <v>3009</v>
      </c>
      <c r="D287" s="3251" t="s">
        <v>4164</v>
      </c>
      <c r="E287" s="3229">
        <v>44003</v>
      </c>
      <c r="F287" s="3230">
        <v>200000</v>
      </c>
      <c r="G287" s="3231">
        <v>214.82</v>
      </c>
      <c r="H287" s="3231" t="str">
        <f t="shared" si="56"/>
        <v>非普通住宅</v>
      </c>
      <c r="I287" s="3230">
        <v>5395173</v>
      </c>
      <c r="J287" s="3229">
        <v>44007</v>
      </c>
      <c r="K287" s="3284">
        <f t="shared" si="57"/>
        <v>6</v>
      </c>
      <c r="L287" s="3230">
        <v>5212345</v>
      </c>
      <c r="M287" s="3235">
        <f t="shared" si="58"/>
        <v>24263.778977748814</v>
      </c>
      <c r="N287" s="3236">
        <f>2502345+2510000</f>
        <v>5012345</v>
      </c>
      <c r="O287" s="3244">
        <f t="shared" si="59"/>
        <v>5212345</v>
      </c>
      <c r="P287" s="3244"/>
      <c r="Q287" s="3244"/>
      <c r="R287" s="3244">
        <f t="shared" si="60"/>
        <v>5212345</v>
      </c>
      <c r="S287" s="3244">
        <f t="shared" si="61"/>
        <v>5212345</v>
      </c>
      <c r="T287" s="3236"/>
      <c r="U287" s="3236"/>
      <c r="V287" s="3236"/>
      <c r="W287" s="3236"/>
      <c r="X287" s="3244">
        <f t="shared" si="62"/>
        <v>5212345</v>
      </c>
      <c r="Y287" s="3244">
        <f t="shared" si="63"/>
        <v>0</v>
      </c>
      <c r="Z287" s="3285">
        <f t="shared" si="64"/>
        <v>1</v>
      </c>
      <c r="AA287" s="3226" t="s">
        <v>3319</v>
      </c>
      <c r="AB287" s="3226" t="s">
        <v>4676</v>
      </c>
      <c r="AC287" s="3226"/>
      <c r="AD287" s="3286"/>
      <c r="AE287" s="3286"/>
      <c r="AF287" s="3286"/>
      <c r="AG287" s="3323"/>
      <c r="AH287" s="3255"/>
      <c r="AI287" s="3255"/>
      <c r="AJ287" s="3255"/>
      <c r="AK287" s="3287" t="str">
        <f t="shared" si="65"/>
        <v/>
      </c>
      <c r="AL287" s="3288" t="str">
        <f t="shared" si="66"/>
        <v/>
      </c>
      <c r="AM287" s="3226"/>
      <c r="AN287" s="3289"/>
      <c r="AO287" s="3300"/>
      <c r="AP287" s="3300"/>
      <c r="AQ287" s="3300"/>
      <c r="AR287" s="3292"/>
      <c r="AS287" s="3292"/>
      <c r="AT287" s="3292"/>
      <c r="AU287" s="3293"/>
      <c r="AV287" s="3293"/>
      <c r="AW287" s="3294"/>
      <c r="AX287" s="3236"/>
      <c r="AY287" s="3244"/>
      <c r="AZ287" s="3325" t="s">
        <v>4445</v>
      </c>
      <c r="BA287" s="3296" t="str">
        <f t="shared" si="67"/>
        <v>签约</v>
      </c>
      <c r="BB287" s="3226"/>
      <c r="BC287" s="3226"/>
      <c r="BD287" s="3292"/>
      <c r="BE287" s="3297" t="s">
        <v>4465</v>
      </c>
      <c r="BG287" s="3297">
        <f>IFERROR(VLOOKUP(B287,[3]Sheet2!A$1:B$65536,2,FALSE),0)</f>
        <v>0</v>
      </c>
      <c r="BI287" s="3297">
        <f>IFERROR(VLOOKUP(B287,[3]Sheet2!A$1:C$65536,2,FALSE),0)</f>
        <v>0</v>
      </c>
      <c r="BJ287" s="3297">
        <f>IFERROR(VLOOKUP(B287,[3]Sheet2!A$1:C$65536,3,FALSE),0)</f>
        <v>0</v>
      </c>
    </row>
    <row r="288" spans="1:62" s="3261" customFormat="1" ht="20.25" customHeight="1">
      <c r="A288" s="3226">
        <v>286</v>
      </c>
      <c r="B288" s="3250" t="s">
        <v>4165</v>
      </c>
      <c r="C288" s="3250" t="s">
        <v>3009</v>
      </c>
      <c r="D288" s="3251" t="s">
        <v>4166</v>
      </c>
      <c r="E288" s="3229">
        <v>44003</v>
      </c>
      <c r="F288" s="3230">
        <v>200000</v>
      </c>
      <c r="G288" s="3231">
        <v>203.19</v>
      </c>
      <c r="H288" s="3231" t="str">
        <f t="shared" si="56"/>
        <v>非普通住宅</v>
      </c>
      <c r="I288" s="3230">
        <v>3909010</v>
      </c>
      <c r="J288" s="3229">
        <v>44008</v>
      </c>
      <c r="K288" s="3284">
        <f t="shared" si="57"/>
        <v>6</v>
      </c>
      <c r="L288" s="3230">
        <v>3782216</v>
      </c>
      <c r="M288" s="3235">
        <f t="shared" si="58"/>
        <v>18614.183768886265</v>
      </c>
      <c r="N288" s="3236">
        <v>942216</v>
      </c>
      <c r="O288" s="3244">
        <f t="shared" si="59"/>
        <v>3782216</v>
      </c>
      <c r="P288" s="3244"/>
      <c r="Q288" s="3244"/>
      <c r="R288" s="3244">
        <f t="shared" si="60"/>
        <v>1142216</v>
      </c>
      <c r="S288" s="3244">
        <f t="shared" si="61"/>
        <v>1142216</v>
      </c>
      <c r="T288" s="3236"/>
      <c r="U288" s="3236"/>
      <c r="V288" s="3236">
        <v>2640000</v>
      </c>
      <c r="W288" s="3236"/>
      <c r="X288" s="3244">
        <f t="shared" si="62"/>
        <v>3782216</v>
      </c>
      <c r="Y288" s="3244">
        <f t="shared" si="63"/>
        <v>0</v>
      </c>
      <c r="Z288" s="3285">
        <f t="shared" si="64"/>
        <v>1</v>
      </c>
      <c r="AA288" s="3226" t="s">
        <v>3319</v>
      </c>
      <c r="AB288" s="3226" t="s">
        <v>4587</v>
      </c>
      <c r="AC288" s="3226" t="s">
        <v>4698</v>
      </c>
      <c r="AD288" s="3286" t="s">
        <v>4539</v>
      </c>
      <c r="AE288" s="3286" t="s">
        <v>4427</v>
      </c>
      <c r="AF288" s="3286"/>
      <c r="AG288" s="3323"/>
      <c r="AH288" s="3255">
        <v>44010</v>
      </c>
      <c r="AI288" s="3255">
        <v>44015</v>
      </c>
      <c r="AJ288" s="3255">
        <v>44022</v>
      </c>
      <c r="AK288" s="3287">
        <f t="shared" si="65"/>
        <v>2020</v>
      </c>
      <c r="AL288" s="3288">
        <f t="shared" si="66"/>
        <v>7</v>
      </c>
      <c r="AM288" s="3226" t="s">
        <v>4477</v>
      </c>
      <c r="AN288" s="3289">
        <v>2640000</v>
      </c>
      <c r="AO288" s="3300"/>
      <c r="AP288" s="3300"/>
      <c r="AQ288" s="3300"/>
      <c r="AR288" s="3292"/>
      <c r="AS288" s="3292"/>
      <c r="AT288" s="3292"/>
      <c r="AU288" s="3293"/>
      <c r="AV288" s="3293"/>
      <c r="AW288" s="3294"/>
      <c r="AX288" s="3236"/>
      <c r="AY288" s="3244"/>
      <c r="AZ288" s="3325" t="s">
        <v>4507</v>
      </c>
      <c r="BA288" s="3296" t="str">
        <f t="shared" si="67"/>
        <v>签约</v>
      </c>
      <c r="BB288" s="3226"/>
      <c r="BC288" s="3226"/>
      <c r="BD288" s="3292"/>
      <c r="BE288" s="3297" t="s">
        <v>4696</v>
      </c>
      <c r="BG288" s="3297">
        <f>IFERROR(VLOOKUP(B288,[3]Sheet2!A$1:B$65536,2,FALSE),0)</f>
        <v>0</v>
      </c>
      <c r="BI288" s="3297">
        <f>IFERROR(VLOOKUP(B288,[3]Sheet2!A$1:C$65536,2,FALSE),0)</f>
        <v>0</v>
      </c>
      <c r="BJ288" s="3297">
        <f>IFERROR(VLOOKUP(B288,[3]Sheet2!A$1:C$65536,3,FALSE),0)</f>
        <v>0</v>
      </c>
    </row>
    <row r="289" spans="1:62" s="3261" customFormat="1" ht="20.25" customHeight="1">
      <c r="A289" s="3226">
        <v>287</v>
      </c>
      <c r="B289" s="3250" t="s">
        <v>4167</v>
      </c>
      <c r="C289" s="3250" t="s">
        <v>3009</v>
      </c>
      <c r="D289" s="3251" t="s">
        <v>4168</v>
      </c>
      <c r="E289" s="3229">
        <v>44003</v>
      </c>
      <c r="F289" s="3230">
        <v>200000</v>
      </c>
      <c r="G289" s="3231">
        <v>177.77</v>
      </c>
      <c r="H289" s="3231" t="str">
        <f t="shared" si="56"/>
        <v>非普通住宅</v>
      </c>
      <c r="I289" s="3230">
        <v>3591335</v>
      </c>
      <c r="J289" s="3229">
        <v>44008</v>
      </c>
      <c r="K289" s="3284">
        <f t="shared" si="57"/>
        <v>6</v>
      </c>
      <c r="L289" s="3230">
        <v>3470862</v>
      </c>
      <c r="M289" s="3235">
        <f t="shared" si="58"/>
        <v>19524.452944816334</v>
      </c>
      <c r="N289" s="3236">
        <v>1220862</v>
      </c>
      <c r="O289" s="3244">
        <f t="shared" si="59"/>
        <v>3470862</v>
      </c>
      <c r="P289" s="3244"/>
      <c r="Q289" s="3244"/>
      <c r="R289" s="3244">
        <f t="shared" si="60"/>
        <v>1420862</v>
      </c>
      <c r="S289" s="3244">
        <f t="shared" si="61"/>
        <v>1420862</v>
      </c>
      <c r="T289" s="3236"/>
      <c r="U289" s="3236"/>
      <c r="V289" s="3236">
        <v>2050000</v>
      </c>
      <c r="W289" s="3236"/>
      <c r="X289" s="3244">
        <f t="shared" si="62"/>
        <v>3470862</v>
      </c>
      <c r="Y289" s="3244">
        <f t="shared" si="63"/>
        <v>0</v>
      </c>
      <c r="Z289" s="3285">
        <f t="shared" si="64"/>
        <v>1</v>
      </c>
      <c r="AA289" s="3226" t="s">
        <v>3319</v>
      </c>
      <c r="AB289" s="3226" t="s">
        <v>4587</v>
      </c>
      <c r="AC289" s="3226" t="s">
        <v>4698</v>
      </c>
      <c r="AD289" s="3286" t="s">
        <v>4539</v>
      </c>
      <c r="AE289" s="3286" t="s">
        <v>4427</v>
      </c>
      <c r="AF289" s="3286"/>
      <c r="AG289" s="3323"/>
      <c r="AH289" s="3255">
        <v>44010</v>
      </c>
      <c r="AI289" s="3255">
        <v>44013</v>
      </c>
      <c r="AJ289" s="3255">
        <v>44025</v>
      </c>
      <c r="AK289" s="3287">
        <f t="shared" si="65"/>
        <v>2020</v>
      </c>
      <c r="AL289" s="3288">
        <f t="shared" si="66"/>
        <v>7</v>
      </c>
      <c r="AM289" s="3226" t="s">
        <v>4792</v>
      </c>
      <c r="AN289" s="3289">
        <v>2050000</v>
      </c>
      <c r="AO289" s="3300"/>
      <c r="AP289" s="3300"/>
      <c r="AQ289" s="3300"/>
      <c r="AR289" s="3292"/>
      <c r="AS289" s="3292"/>
      <c r="AT289" s="3292"/>
      <c r="AU289" s="3293"/>
      <c r="AV289" s="3293"/>
      <c r="AW289" s="3294"/>
      <c r="AX289" s="3236"/>
      <c r="AY289" s="3244"/>
      <c r="AZ289" s="3325" t="s">
        <v>4886</v>
      </c>
      <c r="BA289" s="3296" t="str">
        <f t="shared" si="67"/>
        <v>签约</v>
      </c>
      <c r="BB289" s="3226"/>
      <c r="BC289" s="3226"/>
      <c r="BD289" s="3292"/>
      <c r="BE289" s="3297" t="s">
        <v>4465</v>
      </c>
      <c r="BG289" s="3297">
        <f>IFERROR(VLOOKUP(B289,[3]Sheet2!A$1:B$65536,2,FALSE),0)</f>
        <v>0</v>
      </c>
      <c r="BI289" s="3297">
        <f>IFERROR(VLOOKUP(B289,[3]Sheet2!A$1:C$65536,2,FALSE),0)</f>
        <v>0</v>
      </c>
      <c r="BJ289" s="3297">
        <f>IFERROR(VLOOKUP(B289,[3]Sheet2!A$1:C$65536,3,FALSE),0)</f>
        <v>0</v>
      </c>
    </row>
    <row r="290" spans="1:62" s="3261" customFormat="1" ht="20.25" customHeight="1">
      <c r="A290" s="3226">
        <v>288</v>
      </c>
      <c r="B290" s="3250" t="s">
        <v>4169</v>
      </c>
      <c r="C290" s="3250" t="s">
        <v>3009</v>
      </c>
      <c r="D290" s="3251" t="s">
        <v>4170</v>
      </c>
      <c r="E290" s="3229">
        <v>44003</v>
      </c>
      <c r="F290" s="3230">
        <v>200000</v>
      </c>
      <c r="G290" s="3231">
        <v>177.77</v>
      </c>
      <c r="H290" s="3231" t="str">
        <f t="shared" si="56"/>
        <v>非普通住宅</v>
      </c>
      <c r="I290" s="3230">
        <v>3644975</v>
      </c>
      <c r="J290" s="3229">
        <v>44014</v>
      </c>
      <c r="K290" s="3284">
        <f t="shared" si="57"/>
        <v>7</v>
      </c>
      <c r="L290" s="3230">
        <v>3503435</v>
      </c>
      <c r="M290" s="3235">
        <f t="shared" si="58"/>
        <v>19707.684086178768</v>
      </c>
      <c r="N290" s="3236">
        <v>903435</v>
      </c>
      <c r="O290" s="3244">
        <f t="shared" si="59"/>
        <v>3503435</v>
      </c>
      <c r="P290" s="3244"/>
      <c r="Q290" s="3244"/>
      <c r="R290" s="3244">
        <f t="shared" si="60"/>
        <v>1103435</v>
      </c>
      <c r="S290" s="3244">
        <f t="shared" si="61"/>
        <v>1103435</v>
      </c>
      <c r="T290" s="3236"/>
      <c r="U290" s="3236"/>
      <c r="V290" s="3236"/>
      <c r="W290" s="3236"/>
      <c r="X290" s="3244">
        <f t="shared" si="62"/>
        <v>1103435</v>
      </c>
      <c r="Y290" s="3244">
        <f t="shared" si="63"/>
        <v>2400000</v>
      </c>
      <c r="Z290" s="3285">
        <f t="shared" si="64"/>
        <v>0.31495803404373135</v>
      </c>
      <c r="AA290" s="3226" t="s">
        <v>3319</v>
      </c>
      <c r="AB290" s="3226" t="s">
        <v>4587</v>
      </c>
      <c r="AC290" s="3226" t="s">
        <v>4698</v>
      </c>
      <c r="AD290" s="3286" t="s">
        <v>4773</v>
      </c>
      <c r="AE290" s="3286" t="s">
        <v>4774</v>
      </c>
      <c r="AF290" s="3286"/>
      <c r="AG290" s="3323"/>
      <c r="AH290" s="3255"/>
      <c r="AI290" s="3255"/>
      <c r="AJ290" s="3255"/>
      <c r="AK290" s="3287" t="str">
        <f t="shared" si="65"/>
        <v/>
      </c>
      <c r="AL290" s="3288" t="str">
        <f t="shared" si="66"/>
        <v/>
      </c>
      <c r="AM290" s="3226"/>
      <c r="AN290" s="3289"/>
      <c r="AO290" s="3300"/>
      <c r="AP290" s="3300"/>
      <c r="AQ290" s="3300"/>
      <c r="AR290" s="3292"/>
      <c r="AS290" s="3292"/>
      <c r="AT290" s="3292"/>
      <c r="AU290" s="3293"/>
      <c r="AV290" s="3293"/>
      <c r="AW290" s="3294"/>
      <c r="AX290" s="3236"/>
      <c r="AY290" s="3244"/>
      <c r="AZ290" s="3325" t="s">
        <v>3385</v>
      </c>
      <c r="BA290" s="3296" t="str">
        <f t="shared" si="67"/>
        <v>签约</v>
      </c>
      <c r="BB290" s="3226"/>
      <c r="BC290" s="3226"/>
      <c r="BD290" s="3292"/>
      <c r="BE290" s="3297" t="s">
        <v>4696</v>
      </c>
      <c r="BG290" s="3297">
        <f>IFERROR(VLOOKUP(B290,[3]Sheet2!A$1:B$65536,2,FALSE),0)</f>
        <v>0</v>
      </c>
      <c r="BI290" s="3297">
        <f>IFERROR(VLOOKUP(B290,[3]Sheet2!A$1:C$65536,2,FALSE),0)</f>
        <v>0</v>
      </c>
      <c r="BJ290" s="3297">
        <f>IFERROR(VLOOKUP(B290,[3]Sheet2!A$1:C$65536,3,FALSE),0)</f>
        <v>0</v>
      </c>
    </row>
    <row r="291" spans="1:62" s="3261" customFormat="1" ht="20.25" customHeight="1">
      <c r="A291" s="3226">
        <v>289</v>
      </c>
      <c r="B291" s="3250" t="s">
        <v>4171</v>
      </c>
      <c r="C291" s="3250" t="s">
        <v>3009</v>
      </c>
      <c r="D291" s="3251" t="s">
        <v>4172</v>
      </c>
      <c r="E291" s="3229">
        <v>44003</v>
      </c>
      <c r="F291" s="3230">
        <v>200000</v>
      </c>
      <c r="G291" s="3231">
        <v>203.19</v>
      </c>
      <c r="H291" s="3231" t="str">
        <f t="shared" si="56"/>
        <v>非普通住宅</v>
      </c>
      <c r="I291" s="3230">
        <v>4049697</v>
      </c>
      <c r="J291" s="3229">
        <v>44008</v>
      </c>
      <c r="K291" s="3284">
        <f t="shared" si="57"/>
        <v>6</v>
      </c>
      <c r="L291" s="3230">
        <v>3900305</v>
      </c>
      <c r="M291" s="3235">
        <f t="shared" si="58"/>
        <v>19195.359023573994</v>
      </c>
      <c r="N291" s="3236">
        <v>3700305</v>
      </c>
      <c r="O291" s="3244">
        <f t="shared" si="59"/>
        <v>3900305</v>
      </c>
      <c r="P291" s="3244"/>
      <c r="Q291" s="3244"/>
      <c r="R291" s="3244">
        <f t="shared" si="60"/>
        <v>3900305</v>
      </c>
      <c r="S291" s="3244">
        <f t="shared" si="61"/>
        <v>3900305</v>
      </c>
      <c r="T291" s="3236"/>
      <c r="U291" s="3236"/>
      <c r="V291" s="3236"/>
      <c r="W291" s="3236"/>
      <c r="X291" s="3244">
        <f t="shared" si="62"/>
        <v>3900305</v>
      </c>
      <c r="Y291" s="3244">
        <f t="shared" si="63"/>
        <v>0</v>
      </c>
      <c r="Z291" s="3285">
        <f t="shared" si="64"/>
        <v>1</v>
      </c>
      <c r="AA291" s="3226" t="s">
        <v>3319</v>
      </c>
      <c r="AB291" s="3226" t="s">
        <v>4676</v>
      </c>
      <c r="AC291" s="3226"/>
      <c r="AD291" s="3286"/>
      <c r="AE291" s="3286"/>
      <c r="AF291" s="3286"/>
      <c r="AG291" s="3323"/>
      <c r="AH291" s="3255"/>
      <c r="AI291" s="3255"/>
      <c r="AJ291" s="3255"/>
      <c r="AK291" s="3287" t="str">
        <f t="shared" si="65"/>
        <v/>
      </c>
      <c r="AL291" s="3288" t="str">
        <f t="shared" si="66"/>
        <v/>
      </c>
      <c r="AM291" s="3226"/>
      <c r="AN291" s="3289"/>
      <c r="AO291" s="3300"/>
      <c r="AP291" s="3300"/>
      <c r="AQ291" s="3300"/>
      <c r="AR291" s="3292"/>
      <c r="AS291" s="3292"/>
      <c r="AT291" s="3292"/>
      <c r="AU291" s="3293"/>
      <c r="AV291" s="3293"/>
      <c r="AW291" s="3294"/>
      <c r="AX291" s="3236"/>
      <c r="AY291" s="3244"/>
      <c r="AZ291" s="3325" t="s">
        <v>4441</v>
      </c>
      <c r="BA291" s="3296" t="str">
        <f t="shared" si="67"/>
        <v>签约</v>
      </c>
      <c r="BB291" s="3226"/>
      <c r="BC291" s="3226"/>
      <c r="BD291" s="3292"/>
      <c r="BE291" s="3297" t="s">
        <v>4696</v>
      </c>
      <c r="BG291" s="3297">
        <f>IFERROR(VLOOKUP(B291,[3]Sheet2!A$1:B$65536,2,FALSE),0)</f>
        <v>0</v>
      </c>
      <c r="BI291" s="3297">
        <f>IFERROR(VLOOKUP(B291,[3]Sheet2!A$1:C$65536,2,FALSE),0)</f>
        <v>0</v>
      </c>
      <c r="BJ291" s="3297">
        <f>IFERROR(VLOOKUP(B291,[3]Sheet2!A$1:C$65536,3,FALSE),0)</f>
        <v>0</v>
      </c>
    </row>
    <row r="292" spans="1:62" s="3261" customFormat="1" ht="20.25" customHeight="1">
      <c r="A292" s="3226">
        <v>290</v>
      </c>
      <c r="B292" s="3250" t="s">
        <v>4173</v>
      </c>
      <c r="C292" s="3250" t="s">
        <v>3009</v>
      </c>
      <c r="D292" s="3251" t="s">
        <v>4174</v>
      </c>
      <c r="E292" s="3229">
        <v>44003</v>
      </c>
      <c r="F292" s="3230">
        <v>200000</v>
      </c>
      <c r="G292" s="3231">
        <v>216.67</v>
      </c>
      <c r="H292" s="3231" t="str">
        <f t="shared" si="56"/>
        <v>非普通住宅</v>
      </c>
      <c r="I292" s="3230">
        <v>5478397</v>
      </c>
      <c r="J292" s="3229">
        <v>44007</v>
      </c>
      <c r="K292" s="3284">
        <f t="shared" si="57"/>
        <v>6</v>
      </c>
      <c r="L292" s="3230">
        <v>5293501</v>
      </c>
      <c r="M292" s="3235">
        <f t="shared" si="58"/>
        <v>24431.167212812114</v>
      </c>
      <c r="N292" s="3236">
        <f>1393501+3700000</f>
        <v>5093501</v>
      </c>
      <c r="O292" s="3244">
        <f t="shared" si="59"/>
        <v>5293501</v>
      </c>
      <c r="P292" s="3244"/>
      <c r="Q292" s="3244"/>
      <c r="R292" s="3244">
        <f t="shared" si="60"/>
        <v>5293501</v>
      </c>
      <c r="S292" s="3244">
        <f t="shared" si="61"/>
        <v>5293501</v>
      </c>
      <c r="T292" s="3236"/>
      <c r="U292" s="3236"/>
      <c r="V292" s="3236"/>
      <c r="W292" s="3236"/>
      <c r="X292" s="3244">
        <f t="shared" si="62"/>
        <v>5293501</v>
      </c>
      <c r="Y292" s="3244">
        <f t="shared" si="63"/>
        <v>0</v>
      </c>
      <c r="Z292" s="3285">
        <f t="shared" si="64"/>
        <v>1</v>
      </c>
      <c r="AA292" s="3226" t="s">
        <v>3319</v>
      </c>
      <c r="AB292" s="3226" t="s">
        <v>4676</v>
      </c>
      <c r="AC292" s="3226"/>
      <c r="AD292" s="3286"/>
      <c r="AE292" s="3286"/>
      <c r="AF292" s="3286"/>
      <c r="AG292" s="3323"/>
      <c r="AH292" s="3255"/>
      <c r="AI292" s="3255"/>
      <c r="AJ292" s="3255"/>
      <c r="AK292" s="3287" t="str">
        <f t="shared" si="65"/>
        <v/>
      </c>
      <c r="AL292" s="3288" t="str">
        <f t="shared" si="66"/>
        <v/>
      </c>
      <c r="AM292" s="3226"/>
      <c r="AN292" s="3289"/>
      <c r="AO292" s="3300"/>
      <c r="AP292" s="3300"/>
      <c r="AQ292" s="3300"/>
      <c r="AR292" s="3292"/>
      <c r="AS292" s="3292"/>
      <c r="AT292" s="3292"/>
      <c r="AU292" s="3293"/>
      <c r="AV292" s="3293"/>
      <c r="AW292" s="3294"/>
      <c r="AX292" s="3236"/>
      <c r="AY292" s="3244"/>
      <c r="AZ292" s="3325" t="s">
        <v>4445</v>
      </c>
      <c r="BA292" s="3296" t="str">
        <f t="shared" si="67"/>
        <v>签约</v>
      </c>
      <c r="BB292" s="3226"/>
      <c r="BC292" s="3226"/>
      <c r="BD292" s="3292"/>
      <c r="BE292" s="3297" t="s">
        <v>4449</v>
      </c>
      <c r="BG292" s="3297">
        <f>IFERROR(VLOOKUP(B292,[3]Sheet2!A$1:B$65536,2,FALSE),0)</f>
        <v>0</v>
      </c>
      <c r="BI292" s="3297">
        <f>IFERROR(VLOOKUP(B292,[3]Sheet2!A$1:C$65536,2,FALSE),0)</f>
        <v>0</v>
      </c>
      <c r="BJ292" s="3297">
        <f>IFERROR(VLOOKUP(B292,[3]Sheet2!A$1:C$65536,3,FALSE),0)</f>
        <v>0</v>
      </c>
    </row>
    <row r="293" spans="1:62" s="3261" customFormat="1" ht="20.25" customHeight="1">
      <c r="A293" s="3226">
        <v>291</v>
      </c>
      <c r="B293" s="3250" t="s">
        <v>4175</v>
      </c>
      <c r="C293" s="3250" t="s">
        <v>3009</v>
      </c>
      <c r="D293" s="3251" t="s">
        <v>4176</v>
      </c>
      <c r="E293" s="3229">
        <v>44003</v>
      </c>
      <c r="F293" s="3230">
        <v>200000</v>
      </c>
      <c r="G293" s="3231">
        <v>186.34</v>
      </c>
      <c r="H293" s="3231" t="str">
        <f t="shared" si="56"/>
        <v>非普通住宅</v>
      </c>
      <c r="I293" s="3230">
        <v>4519388</v>
      </c>
      <c r="J293" s="3229">
        <v>44007</v>
      </c>
      <c r="K293" s="3284">
        <f t="shared" si="57"/>
        <v>6</v>
      </c>
      <c r="L293" s="3230">
        <v>4380447</v>
      </c>
      <c r="M293" s="3235">
        <f t="shared" si="58"/>
        <v>23507.81904046367</v>
      </c>
      <c r="N293" s="3236">
        <v>2980447</v>
      </c>
      <c r="O293" s="3244">
        <f t="shared" si="59"/>
        <v>4380447</v>
      </c>
      <c r="P293" s="3244"/>
      <c r="Q293" s="3244"/>
      <c r="R293" s="3244">
        <f t="shared" si="60"/>
        <v>3180447</v>
      </c>
      <c r="S293" s="3244">
        <f t="shared" si="61"/>
        <v>3180447</v>
      </c>
      <c r="T293" s="3236"/>
      <c r="U293" s="3236"/>
      <c r="V293" s="3236">
        <v>1200000</v>
      </c>
      <c r="W293" s="3236"/>
      <c r="X293" s="3244">
        <f t="shared" si="62"/>
        <v>4380447</v>
      </c>
      <c r="Y293" s="3244">
        <f t="shared" si="63"/>
        <v>0</v>
      </c>
      <c r="Z293" s="3285">
        <f t="shared" si="64"/>
        <v>1</v>
      </c>
      <c r="AA293" s="3226" t="s">
        <v>3319</v>
      </c>
      <c r="AB293" s="3226" t="s">
        <v>4587</v>
      </c>
      <c r="AC293" s="3226" t="s">
        <v>4698</v>
      </c>
      <c r="AD293" s="3286" t="s">
        <v>4539</v>
      </c>
      <c r="AE293" s="3286" t="s">
        <v>4427</v>
      </c>
      <c r="AF293" s="3286"/>
      <c r="AG293" s="3323"/>
      <c r="AH293" s="3255">
        <v>44010</v>
      </c>
      <c r="AI293" s="3255">
        <v>44013</v>
      </c>
      <c r="AJ293" s="3255">
        <v>44021</v>
      </c>
      <c r="AK293" s="3287">
        <f t="shared" si="65"/>
        <v>2020</v>
      </c>
      <c r="AL293" s="3288">
        <f t="shared" si="66"/>
        <v>7</v>
      </c>
      <c r="AM293" s="3226" t="s">
        <v>4792</v>
      </c>
      <c r="AN293" s="3289">
        <v>1200000</v>
      </c>
      <c r="AO293" s="3300"/>
      <c r="AP293" s="3300"/>
      <c r="AQ293" s="3300"/>
      <c r="AR293" s="3292"/>
      <c r="AS293" s="3292"/>
      <c r="AT293" s="3292"/>
      <c r="AU293" s="3293"/>
      <c r="AV293" s="3293"/>
      <c r="AW293" s="3294"/>
      <c r="AX293" s="3236"/>
      <c r="AY293" s="3244"/>
      <c r="AZ293" s="3325" t="s">
        <v>4735</v>
      </c>
      <c r="BA293" s="3296" t="str">
        <f t="shared" si="67"/>
        <v>签约</v>
      </c>
      <c r="BB293" s="3226"/>
      <c r="BC293" s="3226"/>
      <c r="BD293" s="3292"/>
      <c r="BE293" s="3297" t="s">
        <v>4449</v>
      </c>
      <c r="BG293" s="3297">
        <f>IFERROR(VLOOKUP(B293,[3]Sheet2!A$1:B$65536,2,FALSE),0)</f>
        <v>0</v>
      </c>
      <c r="BI293" s="3297">
        <f>IFERROR(VLOOKUP(B293,[3]Sheet2!A$1:C$65536,2,FALSE),0)</f>
        <v>0</v>
      </c>
      <c r="BJ293" s="3297">
        <f>IFERROR(VLOOKUP(B293,[3]Sheet2!A$1:C$65536,3,FALSE),0)</f>
        <v>0</v>
      </c>
    </row>
    <row r="294" spans="1:62" s="3261" customFormat="1" ht="20.25" customHeight="1">
      <c r="A294" s="3226">
        <v>292</v>
      </c>
      <c r="B294" s="3250" t="s">
        <v>4177</v>
      </c>
      <c r="C294" s="3250" t="s">
        <v>3009</v>
      </c>
      <c r="D294" s="3251" t="s">
        <v>4178</v>
      </c>
      <c r="E294" s="3229">
        <v>44003</v>
      </c>
      <c r="F294" s="3230">
        <v>200000</v>
      </c>
      <c r="G294" s="3231">
        <v>186.34</v>
      </c>
      <c r="H294" s="3231" t="str">
        <f t="shared" si="56"/>
        <v>非普通住宅</v>
      </c>
      <c r="I294" s="3230">
        <v>4573832</v>
      </c>
      <c r="J294" s="3229">
        <v>44007</v>
      </c>
      <c r="K294" s="3284">
        <f t="shared" si="57"/>
        <v>6</v>
      </c>
      <c r="L294" s="3230">
        <v>4433808</v>
      </c>
      <c r="M294" s="3235">
        <f t="shared" si="58"/>
        <v>23794.182676827306</v>
      </c>
      <c r="N294" s="3236">
        <v>1233808</v>
      </c>
      <c r="O294" s="3244">
        <f t="shared" si="59"/>
        <v>4433808</v>
      </c>
      <c r="P294" s="3244"/>
      <c r="Q294" s="3244"/>
      <c r="R294" s="3244">
        <f t="shared" si="60"/>
        <v>1433808</v>
      </c>
      <c r="S294" s="3244">
        <f t="shared" si="61"/>
        <v>1433808</v>
      </c>
      <c r="T294" s="3236"/>
      <c r="U294" s="3236"/>
      <c r="V294" s="3236">
        <v>3000000</v>
      </c>
      <c r="W294" s="3236"/>
      <c r="X294" s="3244">
        <f t="shared" si="62"/>
        <v>4433808</v>
      </c>
      <c r="Y294" s="3244">
        <f t="shared" si="63"/>
        <v>0</v>
      </c>
      <c r="Z294" s="3285">
        <f t="shared" si="64"/>
        <v>1</v>
      </c>
      <c r="AA294" s="3226" t="s">
        <v>3319</v>
      </c>
      <c r="AB294" s="3226" t="s">
        <v>4587</v>
      </c>
      <c r="AC294" s="3226" t="s">
        <v>4698</v>
      </c>
      <c r="AD294" s="3286" t="s">
        <v>4539</v>
      </c>
      <c r="AE294" s="3286" t="s">
        <v>4427</v>
      </c>
      <c r="AF294" s="3286"/>
      <c r="AG294" s="3323"/>
      <c r="AH294" s="3255">
        <v>44010</v>
      </c>
      <c r="AI294" s="3255">
        <v>44015</v>
      </c>
      <c r="AJ294" s="3255">
        <v>44028</v>
      </c>
      <c r="AK294" s="3287">
        <f t="shared" si="65"/>
        <v>2020</v>
      </c>
      <c r="AL294" s="3288">
        <f t="shared" si="66"/>
        <v>7</v>
      </c>
      <c r="AM294" s="3226" t="s">
        <v>4433</v>
      </c>
      <c r="AN294" s="3289">
        <v>3000000</v>
      </c>
      <c r="AO294" s="3300"/>
      <c r="AP294" s="3300"/>
      <c r="AQ294" s="3300"/>
      <c r="AR294" s="3292"/>
      <c r="AS294" s="3292"/>
      <c r="AT294" s="3292"/>
      <c r="AU294" s="3293"/>
      <c r="AV294" s="3293"/>
      <c r="AW294" s="3294"/>
      <c r="AX294" s="3236"/>
      <c r="AY294" s="3244"/>
      <c r="AZ294" s="3325" t="s">
        <v>4507</v>
      </c>
      <c r="BA294" s="3296" t="str">
        <f t="shared" si="67"/>
        <v>签约</v>
      </c>
      <c r="BB294" s="3226"/>
      <c r="BC294" s="3226"/>
      <c r="BD294" s="3292"/>
      <c r="BE294" s="3297" t="s">
        <v>4465</v>
      </c>
      <c r="BG294" s="3297">
        <f>IFERROR(VLOOKUP(B294,[3]Sheet2!A$1:B$65536,2,FALSE),0)</f>
        <v>0</v>
      </c>
      <c r="BI294" s="3297">
        <f>IFERROR(VLOOKUP(B294,[3]Sheet2!A$1:C$65536,2,FALSE),0)</f>
        <v>0</v>
      </c>
      <c r="BJ294" s="3297">
        <f>IFERROR(VLOOKUP(B294,[3]Sheet2!A$1:C$65536,3,FALSE),0)</f>
        <v>0</v>
      </c>
    </row>
    <row r="295" spans="1:62" s="3261" customFormat="1" ht="20.25" customHeight="1">
      <c r="A295" s="3226">
        <v>293</v>
      </c>
      <c r="B295" s="3250" t="s">
        <v>4179</v>
      </c>
      <c r="C295" s="3250" t="s">
        <v>3009</v>
      </c>
      <c r="D295" s="3251" t="s">
        <v>4180</v>
      </c>
      <c r="E295" s="3229">
        <v>44003</v>
      </c>
      <c r="F295" s="3230">
        <v>200000</v>
      </c>
      <c r="G295" s="3231">
        <v>216.67</v>
      </c>
      <c r="H295" s="3231" t="str">
        <f t="shared" si="56"/>
        <v>非普通住宅</v>
      </c>
      <c r="I295" s="3230">
        <v>5501859</v>
      </c>
      <c r="J295" s="3229">
        <v>44009</v>
      </c>
      <c r="K295" s="3284">
        <f t="shared" si="57"/>
        <v>6</v>
      </c>
      <c r="L295" s="3230">
        <v>5343367</v>
      </c>
      <c r="M295" s="3235">
        <f t="shared" si="58"/>
        <v>24661.314441316288</v>
      </c>
      <c r="N295" s="3236">
        <v>2143367</v>
      </c>
      <c r="O295" s="3244">
        <f t="shared" si="59"/>
        <v>5343367</v>
      </c>
      <c r="P295" s="3244"/>
      <c r="Q295" s="3244"/>
      <c r="R295" s="3244">
        <f t="shared" si="60"/>
        <v>2343367</v>
      </c>
      <c r="S295" s="3244">
        <f t="shared" si="61"/>
        <v>2343367</v>
      </c>
      <c r="T295" s="3236"/>
      <c r="U295" s="3236"/>
      <c r="V295" s="3236">
        <v>3000000</v>
      </c>
      <c r="W295" s="3236"/>
      <c r="X295" s="3244">
        <f t="shared" si="62"/>
        <v>5343367</v>
      </c>
      <c r="Y295" s="3244">
        <f t="shared" si="63"/>
        <v>0</v>
      </c>
      <c r="Z295" s="3285">
        <f t="shared" si="64"/>
        <v>1</v>
      </c>
      <c r="AA295" s="3226" t="s">
        <v>3319</v>
      </c>
      <c r="AB295" s="3226" t="s">
        <v>4587</v>
      </c>
      <c r="AC295" s="3226" t="s">
        <v>4698</v>
      </c>
      <c r="AD295" s="3286" t="s">
        <v>4539</v>
      </c>
      <c r="AE295" s="3286" t="s">
        <v>4427</v>
      </c>
      <c r="AF295" s="3286"/>
      <c r="AG295" s="3323"/>
      <c r="AH295" s="3255">
        <v>44010</v>
      </c>
      <c r="AI295" s="3255">
        <v>44015</v>
      </c>
      <c r="AJ295" s="3255">
        <v>44027</v>
      </c>
      <c r="AK295" s="3287">
        <f t="shared" si="65"/>
        <v>2020</v>
      </c>
      <c r="AL295" s="3288">
        <f t="shared" si="66"/>
        <v>7</v>
      </c>
      <c r="AM295" s="3226" t="s">
        <v>4477</v>
      </c>
      <c r="AN295" s="3289">
        <v>3000000</v>
      </c>
      <c r="AO295" s="3300"/>
      <c r="AP295" s="3300"/>
      <c r="AQ295" s="3300"/>
      <c r="AR295" s="3292"/>
      <c r="AS295" s="3292"/>
      <c r="AT295" s="3292"/>
      <c r="AU295" s="3293"/>
      <c r="AV295" s="3293"/>
      <c r="AW295" s="3294"/>
      <c r="AX295" s="3236"/>
      <c r="AY295" s="3244"/>
      <c r="AZ295" s="3325" t="s">
        <v>4735</v>
      </c>
      <c r="BA295" s="3296" t="str">
        <f t="shared" si="67"/>
        <v>签约</v>
      </c>
      <c r="BB295" s="3226"/>
      <c r="BC295" s="3226"/>
      <c r="BD295" s="3292"/>
      <c r="BE295" s="3297" t="s">
        <v>4449</v>
      </c>
      <c r="BG295" s="3297">
        <f>IFERROR(VLOOKUP(B295,[3]Sheet2!A$1:B$65536,2,FALSE),0)</f>
        <v>0</v>
      </c>
      <c r="BI295" s="3297">
        <f>IFERROR(VLOOKUP(B295,[3]Sheet2!A$1:C$65536,2,FALSE),0)</f>
        <v>0</v>
      </c>
      <c r="BJ295" s="3297">
        <f>IFERROR(VLOOKUP(B295,[3]Sheet2!A$1:C$65536,3,FALSE),0)</f>
        <v>0</v>
      </c>
    </row>
    <row r="296" spans="1:62" s="3261" customFormat="1" ht="20.25" customHeight="1">
      <c r="A296" s="3226">
        <v>294</v>
      </c>
      <c r="B296" s="3250" t="s">
        <v>4181</v>
      </c>
      <c r="C296" s="3250" t="s">
        <v>3009</v>
      </c>
      <c r="D296" s="3251" t="s">
        <v>4182</v>
      </c>
      <c r="E296" s="3229">
        <v>44003</v>
      </c>
      <c r="F296" s="3230">
        <v>200000</v>
      </c>
      <c r="G296" s="3231">
        <v>208.14</v>
      </c>
      <c r="H296" s="3231" t="str">
        <f t="shared" si="56"/>
        <v>非普通住宅</v>
      </c>
      <c r="I296" s="3230">
        <v>4066929</v>
      </c>
      <c r="J296" s="3229">
        <v>44007</v>
      </c>
      <c r="K296" s="3284">
        <f t="shared" si="57"/>
        <v>6</v>
      </c>
      <c r="L296" s="3230">
        <v>3917108</v>
      </c>
      <c r="M296" s="3235">
        <f t="shared" si="58"/>
        <v>18819.582972998945</v>
      </c>
      <c r="N296" s="3236">
        <f>977108+2740000</f>
        <v>3717108</v>
      </c>
      <c r="O296" s="3244">
        <f t="shared" si="59"/>
        <v>3917108</v>
      </c>
      <c r="P296" s="3244"/>
      <c r="Q296" s="3244"/>
      <c r="R296" s="3244">
        <f t="shared" si="60"/>
        <v>3917108</v>
      </c>
      <c r="S296" s="3244">
        <f t="shared" si="61"/>
        <v>3917108</v>
      </c>
      <c r="T296" s="3236"/>
      <c r="U296" s="3236"/>
      <c r="V296" s="3236"/>
      <c r="W296" s="3236"/>
      <c r="X296" s="3244">
        <f t="shared" si="62"/>
        <v>3917108</v>
      </c>
      <c r="Y296" s="3244">
        <f t="shared" si="63"/>
        <v>0</v>
      </c>
      <c r="Z296" s="3285">
        <f t="shared" si="64"/>
        <v>1</v>
      </c>
      <c r="AA296" s="3226" t="s">
        <v>3319</v>
      </c>
      <c r="AB296" s="3226" t="s">
        <v>4676</v>
      </c>
      <c r="AC296" s="3226"/>
      <c r="AD296" s="3286"/>
      <c r="AE296" s="3286"/>
      <c r="AF296" s="3286"/>
      <c r="AG296" s="3323"/>
      <c r="AH296" s="3255"/>
      <c r="AI296" s="3255"/>
      <c r="AJ296" s="3255"/>
      <c r="AK296" s="3287" t="str">
        <f t="shared" si="65"/>
        <v/>
      </c>
      <c r="AL296" s="3288" t="str">
        <f t="shared" si="66"/>
        <v/>
      </c>
      <c r="AM296" s="3226"/>
      <c r="AN296" s="3289"/>
      <c r="AO296" s="3300"/>
      <c r="AP296" s="3300"/>
      <c r="AQ296" s="3300"/>
      <c r="AR296" s="3292"/>
      <c r="AS296" s="3292"/>
      <c r="AT296" s="3292"/>
      <c r="AU296" s="3293"/>
      <c r="AV296" s="3293"/>
      <c r="AW296" s="3294"/>
      <c r="AX296" s="3236"/>
      <c r="AY296" s="3244"/>
      <c r="AZ296" s="3325" t="s">
        <v>4445</v>
      </c>
      <c r="BA296" s="3296" t="str">
        <f t="shared" si="67"/>
        <v>签约</v>
      </c>
      <c r="BB296" s="3226"/>
      <c r="BC296" s="3226"/>
      <c r="BD296" s="3292"/>
      <c r="BE296" s="3297" t="s">
        <v>4449</v>
      </c>
      <c r="BG296" s="3297">
        <f>IFERROR(VLOOKUP(B296,[3]Sheet2!A$1:B$65536,2,FALSE),0)</f>
        <v>0</v>
      </c>
      <c r="BI296" s="3297">
        <f>IFERROR(VLOOKUP(B296,[3]Sheet2!A$1:C$65536,2,FALSE),0)</f>
        <v>0</v>
      </c>
      <c r="BJ296" s="3297">
        <f>IFERROR(VLOOKUP(B296,[3]Sheet2!A$1:C$65536,3,FALSE),0)</f>
        <v>0</v>
      </c>
    </row>
    <row r="297" spans="1:62" s="3261" customFormat="1" ht="20.25" customHeight="1">
      <c r="A297" s="3226">
        <v>295</v>
      </c>
      <c r="B297" s="3250" t="s">
        <v>4183</v>
      </c>
      <c r="C297" s="3250" t="s">
        <v>3009</v>
      </c>
      <c r="D297" s="3251" t="s">
        <v>4184</v>
      </c>
      <c r="E297" s="3229">
        <v>44003</v>
      </c>
      <c r="F297" s="3230">
        <v>200000</v>
      </c>
      <c r="G297" s="3231">
        <v>180.37</v>
      </c>
      <c r="H297" s="3231" t="str">
        <f t="shared" si="56"/>
        <v>非普通住宅</v>
      </c>
      <c r="I297" s="3230">
        <v>3674060</v>
      </c>
      <c r="J297" s="3229">
        <v>44010</v>
      </c>
      <c r="K297" s="3284">
        <f t="shared" si="57"/>
        <v>6</v>
      </c>
      <c r="L297" s="3230">
        <v>3551941</v>
      </c>
      <c r="M297" s="3235">
        <f t="shared" si="58"/>
        <v>19692.526473360314</v>
      </c>
      <c r="N297" s="3236">
        <v>1051941</v>
      </c>
      <c r="O297" s="3244">
        <f t="shared" si="59"/>
        <v>3551941</v>
      </c>
      <c r="P297" s="3244"/>
      <c r="Q297" s="3244"/>
      <c r="R297" s="3244">
        <f t="shared" si="60"/>
        <v>1251941</v>
      </c>
      <c r="S297" s="3244">
        <f t="shared" si="61"/>
        <v>1251941</v>
      </c>
      <c r="T297" s="3236"/>
      <c r="U297" s="3236"/>
      <c r="V297" s="3236">
        <v>2300000</v>
      </c>
      <c r="W297" s="3236"/>
      <c r="X297" s="3244">
        <f t="shared" si="62"/>
        <v>3551941</v>
      </c>
      <c r="Y297" s="3244">
        <f t="shared" si="63"/>
        <v>0</v>
      </c>
      <c r="Z297" s="3285">
        <f t="shared" si="64"/>
        <v>1</v>
      </c>
      <c r="AA297" s="3226" t="s">
        <v>3319</v>
      </c>
      <c r="AB297" s="3226" t="s">
        <v>4587</v>
      </c>
      <c r="AC297" s="3226" t="s">
        <v>4698</v>
      </c>
      <c r="AD297" s="3286" t="s">
        <v>4539</v>
      </c>
      <c r="AE297" s="3286" t="s">
        <v>4427</v>
      </c>
      <c r="AF297" s="3286"/>
      <c r="AG297" s="3323"/>
      <c r="AH297" s="3255">
        <v>44010</v>
      </c>
      <c r="AI297" s="3255">
        <v>44013</v>
      </c>
      <c r="AJ297" s="3255">
        <v>44028</v>
      </c>
      <c r="AK297" s="3287">
        <f t="shared" si="65"/>
        <v>2020</v>
      </c>
      <c r="AL297" s="3288">
        <f t="shared" si="66"/>
        <v>7</v>
      </c>
      <c r="AM297" s="3226" t="s">
        <v>4433</v>
      </c>
      <c r="AN297" s="3289">
        <v>2300000</v>
      </c>
      <c r="AO297" s="3300"/>
      <c r="AP297" s="3300"/>
      <c r="AQ297" s="3300"/>
      <c r="AR297" s="3292"/>
      <c r="AS297" s="3292"/>
      <c r="AT297" s="3292"/>
      <c r="AU297" s="3293"/>
      <c r="AV297" s="3293"/>
      <c r="AW297" s="3294"/>
      <c r="AX297" s="3236"/>
      <c r="AY297" s="3244"/>
      <c r="AZ297" s="3325" t="s">
        <v>4437</v>
      </c>
      <c r="BA297" s="3296" t="str">
        <f t="shared" si="67"/>
        <v>签约</v>
      </c>
      <c r="BB297" s="3226"/>
      <c r="BC297" s="3226"/>
      <c r="BD297" s="3292"/>
      <c r="BE297" s="3297" t="s">
        <v>4449</v>
      </c>
      <c r="BG297" s="3297">
        <f>IFERROR(VLOOKUP(B297,[3]Sheet2!A$1:B$65536,2,FALSE),0)</f>
        <v>0</v>
      </c>
      <c r="BI297" s="3297">
        <f>IFERROR(VLOOKUP(B297,[3]Sheet2!A$1:C$65536,2,FALSE),0)</f>
        <v>0</v>
      </c>
      <c r="BJ297" s="3297">
        <f>IFERROR(VLOOKUP(B297,[3]Sheet2!A$1:C$65536,3,FALSE),0)</f>
        <v>0</v>
      </c>
    </row>
    <row r="298" spans="1:62" s="3261" customFormat="1" ht="20.25" customHeight="1">
      <c r="A298" s="3226">
        <v>296</v>
      </c>
      <c r="B298" s="3250" t="s">
        <v>4185</v>
      </c>
      <c r="C298" s="3250" t="s">
        <v>3009</v>
      </c>
      <c r="D298" s="3251" t="s">
        <v>4186</v>
      </c>
      <c r="E298" s="3229">
        <v>44003</v>
      </c>
      <c r="F298" s="3230">
        <v>200000</v>
      </c>
      <c r="G298" s="3231">
        <v>180.37</v>
      </c>
      <c r="H298" s="3231" t="str">
        <f t="shared" si="56"/>
        <v>非普通住宅</v>
      </c>
      <c r="I298" s="3230">
        <v>3727942</v>
      </c>
      <c r="J298" s="3229">
        <v>44009</v>
      </c>
      <c r="K298" s="3284">
        <f t="shared" si="57"/>
        <v>6</v>
      </c>
      <c r="L298" s="3230">
        <v>3604751</v>
      </c>
      <c r="M298" s="3235">
        <f t="shared" si="58"/>
        <v>19985.313522204357</v>
      </c>
      <c r="N298" s="3236">
        <v>904751</v>
      </c>
      <c r="O298" s="3244">
        <f t="shared" si="59"/>
        <v>3604751</v>
      </c>
      <c r="P298" s="3244"/>
      <c r="Q298" s="3244"/>
      <c r="R298" s="3244">
        <f t="shared" si="60"/>
        <v>1104751</v>
      </c>
      <c r="S298" s="3244">
        <f t="shared" si="61"/>
        <v>1104751</v>
      </c>
      <c r="T298" s="3236"/>
      <c r="U298" s="3236"/>
      <c r="V298" s="3236">
        <v>2500000</v>
      </c>
      <c r="W298" s="3236"/>
      <c r="X298" s="3244">
        <f t="shared" si="62"/>
        <v>3604751</v>
      </c>
      <c r="Y298" s="3244">
        <f t="shared" si="63"/>
        <v>0</v>
      </c>
      <c r="Z298" s="3285">
        <f t="shared" si="64"/>
        <v>1</v>
      </c>
      <c r="AA298" s="3226" t="s">
        <v>3319</v>
      </c>
      <c r="AB298" s="3226" t="s">
        <v>4587</v>
      </c>
      <c r="AC298" s="3226" t="s">
        <v>4698</v>
      </c>
      <c r="AD298" s="3286" t="s">
        <v>4539</v>
      </c>
      <c r="AE298" s="3286" t="s">
        <v>4427</v>
      </c>
      <c r="AF298" s="3286"/>
      <c r="AG298" s="3323"/>
      <c r="AH298" s="3255">
        <v>44029</v>
      </c>
      <c r="AI298" s="3255">
        <v>44034</v>
      </c>
      <c r="AJ298" s="3255">
        <v>44039</v>
      </c>
      <c r="AK298" s="3287">
        <f t="shared" si="65"/>
        <v>2020</v>
      </c>
      <c r="AL298" s="3288">
        <f t="shared" si="66"/>
        <v>7</v>
      </c>
      <c r="AM298" s="3226" t="s">
        <v>4440</v>
      </c>
      <c r="AN298" s="3289">
        <v>2500000</v>
      </c>
      <c r="AO298" s="3300"/>
      <c r="AP298" s="3300"/>
      <c r="AQ298" s="3300"/>
      <c r="AR298" s="3292"/>
      <c r="AS298" s="3292"/>
      <c r="AT298" s="3292"/>
      <c r="AU298" s="3293"/>
      <c r="AV298" s="3293"/>
      <c r="AW298" s="3294"/>
      <c r="AX298" s="3236"/>
      <c r="AY298" s="3244"/>
      <c r="AZ298" s="3325" t="s">
        <v>4445</v>
      </c>
      <c r="BA298" s="3296" t="str">
        <f t="shared" si="67"/>
        <v>签约</v>
      </c>
      <c r="BB298" s="3226"/>
      <c r="BC298" s="3226"/>
      <c r="BD298" s="3292"/>
      <c r="BE298" s="3297" t="s">
        <v>4449</v>
      </c>
      <c r="BG298" s="3297">
        <f>IFERROR(VLOOKUP(B298,[3]Sheet2!A$1:B$65536,2,FALSE),0)</f>
        <v>0</v>
      </c>
      <c r="BI298" s="3297">
        <f>IFERROR(VLOOKUP(B298,[3]Sheet2!A$1:C$65536,2,FALSE),0)</f>
        <v>0</v>
      </c>
      <c r="BJ298" s="3297">
        <f>IFERROR(VLOOKUP(B298,[3]Sheet2!A$1:C$65536,3,FALSE),0)</f>
        <v>0</v>
      </c>
    </row>
    <row r="299" spans="1:62" s="3261" customFormat="1" ht="20.25" customHeight="1">
      <c r="A299" s="3226">
        <v>297</v>
      </c>
      <c r="B299" s="3250" t="s">
        <v>4187</v>
      </c>
      <c r="C299" s="3250" t="s">
        <v>3009</v>
      </c>
      <c r="D299" s="3251" t="s">
        <v>4180</v>
      </c>
      <c r="E299" s="3229">
        <v>44003</v>
      </c>
      <c r="F299" s="3230">
        <v>200000</v>
      </c>
      <c r="G299" s="3231">
        <v>208.14</v>
      </c>
      <c r="H299" s="3231" t="str">
        <f t="shared" si="56"/>
        <v>非普通住宅</v>
      </c>
      <c r="I299" s="3230">
        <v>4184127</v>
      </c>
      <c r="J299" s="3229">
        <v>44009</v>
      </c>
      <c r="K299" s="3284">
        <f t="shared" si="57"/>
        <v>6</v>
      </c>
      <c r="L299" s="3230">
        <v>4031394</v>
      </c>
      <c r="M299" s="3235">
        <f t="shared" si="58"/>
        <v>19368.665321418277</v>
      </c>
      <c r="N299" s="3236">
        <v>3831394</v>
      </c>
      <c r="O299" s="3244">
        <f t="shared" si="59"/>
        <v>4031394</v>
      </c>
      <c r="P299" s="3244"/>
      <c r="Q299" s="3244"/>
      <c r="R299" s="3244">
        <f t="shared" si="60"/>
        <v>4031394</v>
      </c>
      <c r="S299" s="3244">
        <f t="shared" si="61"/>
        <v>4031394</v>
      </c>
      <c r="T299" s="3236"/>
      <c r="U299" s="3236"/>
      <c r="V299" s="3236"/>
      <c r="W299" s="3236"/>
      <c r="X299" s="3244">
        <f t="shared" si="62"/>
        <v>4031394</v>
      </c>
      <c r="Y299" s="3244">
        <f t="shared" si="63"/>
        <v>0</v>
      </c>
      <c r="Z299" s="3285">
        <f t="shared" si="64"/>
        <v>1</v>
      </c>
      <c r="AA299" s="3226" t="s">
        <v>3319</v>
      </c>
      <c r="AB299" s="3226" t="s">
        <v>4676</v>
      </c>
      <c r="AC299" s="3226"/>
      <c r="AD299" s="3286"/>
      <c r="AE299" s="3286"/>
      <c r="AF299" s="3286"/>
      <c r="AG299" s="3323"/>
      <c r="AH299" s="3255"/>
      <c r="AI299" s="3255"/>
      <c r="AJ299" s="3255"/>
      <c r="AK299" s="3287" t="str">
        <f t="shared" si="65"/>
        <v/>
      </c>
      <c r="AL299" s="3288" t="str">
        <f t="shared" si="66"/>
        <v/>
      </c>
      <c r="AM299" s="3226"/>
      <c r="AN299" s="3289"/>
      <c r="AO299" s="3300"/>
      <c r="AP299" s="3300"/>
      <c r="AQ299" s="3300"/>
      <c r="AR299" s="3292"/>
      <c r="AS299" s="3292"/>
      <c r="AT299" s="3292"/>
      <c r="AU299" s="3293"/>
      <c r="AV299" s="3293"/>
      <c r="AW299" s="3294"/>
      <c r="AX299" s="3236"/>
      <c r="AY299" s="3244"/>
      <c r="AZ299" s="3325" t="s">
        <v>4735</v>
      </c>
      <c r="BA299" s="3296" t="str">
        <f t="shared" si="67"/>
        <v>签约</v>
      </c>
      <c r="BB299" s="3226"/>
      <c r="BC299" s="3226"/>
      <c r="BD299" s="3292"/>
      <c r="BE299" s="3297" t="s">
        <v>4449</v>
      </c>
      <c r="BG299" s="3297">
        <f>IFERROR(VLOOKUP(B299,[3]Sheet2!A$1:B$65536,2,FALSE),0)</f>
        <v>0</v>
      </c>
      <c r="BI299" s="3297">
        <f>IFERROR(VLOOKUP(B299,[3]Sheet2!A$1:C$65536,2,FALSE),0)</f>
        <v>0</v>
      </c>
      <c r="BJ299" s="3297">
        <f>IFERROR(VLOOKUP(B299,[3]Sheet2!A$1:C$65536,3,FALSE),0)</f>
        <v>0</v>
      </c>
    </row>
    <row r="300" spans="1:62" s="3261" customFormat="1" ht="20.25" customHeight="1">
      <c r="A300" s="3226">
        <v>298</v>
      </c>
      <c r="B300" s="3250" t="s">
        <v>4188</v>
      </c>
      <c r="C300" s="3250" t="s">
        <v>3009</v>
      </c>
      <c r="D300" s="3251" t="s">
        <v>4189</v>
      </c>
      <c r="E300" s="3229">
        <v>44003</v>
      </c>
      <c r="F300" s="3230">
        <v>200000</v>
      </c>
      <c r="G300" s="3231">
        <v>215.77</v>
      </c>
      <c r="H300" s="3231" t="str">
        <f t="shared" si="56"/>
        <v>非普通住宅</v>
      </c>
      <c r="I300" s="3230">
        <v>5412860</v>
      </c>
      <c r="J300" s="3229">
        <v>44014</v>
      </c>
      <c r="K300" s="3284">
        <f t="shared" si="57"/>
        <v>7</v>
      </c>
      <c r="L300" s="3230">
        <v>5256139</v>
      </c>
      <c r="M300" s="3235">
        <f t="shared" si="58"/>
        <v>24359.915650924595</v>
      </c>
      <c r="N300" s="3236">
        <v>2056139</v>
      </c>
      <c r="O300" s="3244">
        <f t="shared" si="59"/>
        <v>5256139</v>
      </c>
      <c r="P300" s="3244"/>
      <c r="Q300" s="3244"/>
      <c r="R300" s="3244">
        <f t="shared" si="60"/>
        <v>2256139</v>
      </c>
      <c r="S300" s="3244">
        <f t="shared" si="61"/>
        <v>2256139</v>
      </c>
      <c r="T300" s="3236"/>
      <c r="U300" s="3236"/>
      <c r="V300" s="3236">
        <v>3000000</v>
      </c>
      <c r="W300" s="3236"/>
      <c r="X300" s="3244">
        <f t="shared" si="62"/>
        <v>5256139</v>
      </c>
      <c r="Y300" s="3244">
        <f t="shared" si="63"/>
        <v>0</v>
      </c>
      <c r="Z300" s="3285">
        <f t="shared" si="64"/>
        <v>1</v>
      </c>
      <c r="AA300" s="3226" t="s">
        <v>3319</v>
      </c>
      <c r="AB300" s="3226" t="s">
        <v>4587</v>
      </c>
      <c r="AC300" s="3226" t="s">
        <v>4698</v>
      </c>
      <c r="AD300" s="3286" t="s">
        <v>4539</v>
      </c>
      <c r="AE300" s="3286" t="s">
        <v>4427</v>
      </c>
      <c r="AF300" s="3286"/>
      <c r="AG300" s="3323"/>
      <c r="AH300" s="3255">
        <v>44014</v>
      </c>
      <c r="AI300" s="3255">
        <v>44024</v>
      </c>
      <c r="AJ300" s="3255">
        <v>44034</v>
      </c>
      <c r="AK300" s="3287">
        <f t="shared" si="65"/>
        <v>2020</v>
      </c>
      <c r="AL300" s="3288">
        <f t="shared" si="66"/>
        <v>7</v>
      </c>
      <c r="AM300" s="3226" t="s">
        <v>4890</v>
      </c>
      <c r="AN300" s="3289">
        <v>3000000</v>
      </c>
      <c r="AO300" s="3300"/>
      <c r="AP300" s="3300"/>
      <c r="AQ300" s="3300"/>
      <c r="AR300" s="3292"/>
      <c r="AS300" s="3292"/>
      <c r="AT300" s="3292"/>
      <c r="AU300" s="3293"/>
      <c r="AV300" s="3293"/>
      <c r="AW300" s="3294"/>
      <c r="AX300" s="3236"/>
      <c r="AY300" s="3244"/>
      <c r="AZ300" s="3325" t="s">
        <v>4437</v>
      </c>
      <c r="BA300" s="3296" t="str">
        <f t="shared" si="67"/>
        <v>签约</v>
      </c>
      <c r="BB300" s="3226"/>
      <c r="BC300" s="3226"/>
      <c r="BD300" s="3292"/>
      <c r="BE300" s="3297" t="s">
        <v>4696</v>
      </c>
      <c r="BG300" s="3297">
        <f>IFERROR(VLOOKUP(B300,[3]Sheet2!A$1:B$65536,2,FALSE),0)</f>
        <v>0</v>
      </c>
      <c r="BI300" s="3297">
        <f>IFERROR(VLOOKUP(B300,[3]Sheet2!A$1:C$65536,2,FALSE),0)</f>
        <v>0</v>
      </c>
      <c r="BJ300" s="3297">
        <f>IFERROR(VLOOKUP(B300,[3]Sheet2!A$1:C$65536,3,FALSE),0)</f>
        <v>0</v>
      </c>
    </row>
    <row r="301" spans="1:62" s="3261" customFormat="1" ht="20.25" customHeight="1">
      <c r="A301" s="3226">
        <v>299</v>
      </c>
      <c r="B301" s="3250" t="s">
        <v>4190</v>
      </c>
      <c r="C301" s="3250" t="s">
        <v>3009</v>
      </c>
      <c r="D301" s="3251" t="s">
        <v>4191</v>
      </c>
      <c r="E301" s="3229">
        <v>44003</v>
      </c>
      <c r="F301" s="3230">
        <v>200000</v>
      </c>
      <c r="G301" s="3231">
        <v>215.77</v>
      </c>
      <c r="H301" s="3231" t="str">
        <f t="shared" si="56"/>
        <v>非普通住宅</v>
      </c>
      <c r="I301" s="3230">
        <v>5331755</v>
      </c>
      <c r="J301" s="3229">
        <v>44010</v>
      </c>
      <c r="K301" s="3284">
        <f t="shared" si="57"/>
        <v>6</v>
      </c>
      <c r="L301" s="3230">
        <v>5176648</v>
      </c>
      <c r="M301" s="3235">
        <f t="shared" si="58"/>
        <v>23991.509477684569</v>
      </c>
      <c r="N301" s="3236">
        <f>1356648+620000</f>
        <v>1976648</v>
      </c>
      <c r="O301" s="3244">
        <f t="shared" si="59"/>
        <v>5176648</v>
      </c>
      <c r="P301" s="3244"/>
      <c r="Q301" s="3244"/>
      <c r="R301" s="3244">
        <f t="shared" si="60"/>
        <v>2176648</v>
      </c>
      <c r="S301" s="3244">
        <f t="shared" si="61"/>
        <v>2176648</v>
      </c>
      <c r="T301" s="3236"/>
      <c r="U301" s="3236"/>
      <c r="V301" s="3236"/>
      <c r="W301" s="3236"/>
      <c r="X301" s="3244">
        <f t="shared" si="62"/>
        <v>2176648</v>
      </c>
      <c r="Y301" s="3244">
        <f t="shared" si="63"/>
        <v>3000000</v>
      </c>
      <c r="Z301" s="3285">
        <f t="shared" si="64"/>
        <v>0.42047440737712899</v>
      </c>
      <c r="AA301" s="3226" t="s">
        <v>3319</v>
      </c>
      <c r="AB301" s="3226" t="s">
        <v>4587</v>
      </c>
      <c r="AC301" s="3226" t="s">
        <v>4698</v>
      </c>
      <c r="AD301" s="3286" t="s">
        <v>4539</v>
      </c>
      <c r="AE301" s="3286" t="s">
        <v>4776</v>
      </c>
      <c r="AF301" s="3286"/>
      <c r="AG301" s="3323"/>
      <c r="AH301" s="3255">
        <v>44027</v>
      </c>
      <c r="AI301" s="3255">
        <v>44027</v>
      </c>
      <c r="AJ301" s="3255"/>
      <c r="AK301" s="3287" t="str">
        <f t="shared" si="65"/>
        <v/>
      </c>
      <c r="AL301" s="3288" t="str">
        <f t="shared" si="66"/>
        <v/>
      </c>
      <c r="AM301" s="3226" t="s">
        <v>4881</v>
      </c>
      <c r="AN301" s="3289">
        <v>3000000</v>
      </c>
      <c r="AO301" s="3300"/>
      <c r="AP301" s="3300"/>
      <c r="AQ301" s="3300"/>
      <c r="AR301" s="3292"/>
      <c r="AS301" s="3292"/>
      <c r="AT301" s="3292"/>
      <c r="AU301" s="3293"/>
      <c r="AV301" s="3293"/>
      <c r="AW301" s="3294"/>
      <c r="AX301" s="3236"/>
      <c r="AY301" s="3244"/>
      <c r="AZ301" s="3325" t="s">
        <v>3385</v>
      </c>
      <c r="BA301" s="3296" t="str">
        <f t="shared" si="67"/>
        <v>签约</v>
      </c>
      <c r="BB301" s="3226"/>
      <c r="BC301" s="3226"/>
      <c r="BD301" s="3292"/>
      <c r="BE301" s="3297" t="s">
        <v>4449</v>
      </c>
      <c r="BG301" s="3297">
        <f>IFERROR(VLOOKUP(B301,[3]Sheet2!A$1:B$65536,2,FALSE),0)</f>
        <v>0</v>
      </c>
      <c r="BI301" s="3297">
        <f>IFERROR(VLOOKUP(B301,[3]Sheet2!A$1:C$65536,2,FALSE),0)</f>
        <v>0</v>
      </c>
      <c r="BJ301" s="3297">
        <f>IFERROR(VLOOKUP(B301,[3]Sheet2!A$1:C$65536,3,FALSE),0)</f>
        <v>0</v>
      </c>
    </row>
    <row r="302" spans="1:62" s="3261" customFormat="1" ht="20.25" customHeight="1">
      <c r="A302" s="3226">
        <v>300</v>
      </c>
      <c r="B302" s="3250" t="s">
        <v>4192</v>
      </c>
      <c r="C302" s="3250" t="s">
        <v>3009</v>
      </c>
      <c r="D302" s="3251" t="s">
        <v>4193</v>
      </c>
      <c r="E302" s="3229">
        <v>44003</v>
      </c>
      <c r="F302" s="3230">
        <v>200000</v>
      </c>
      <c r="G302" s="3231">
        <v>207.27</v>
      </c>
      <c r="H302" s="3231" t="str">
        <f t="shared" si="56"/>
        <v>非普通住宅</v>
      </c>
      <c r="I302" s="3230">
        <v>4206105</v>
      </c>
      <c r="J302" s="3229">
        <v>44014</v>
      </c>
      <c r="K302" s="3284">
        <f t="shared" si="57"/>
        <v>7</v>
      </c>
      <c r="L302" s="3230">
        <v>4073399</v>
      </c>
      <c r="M302" s="3235">
        <f t="shared" si="58"/>
        <v>19652.622183625223</v>
      </c>
      <c r="N302" s="3236">
        <v>1023399</v>
      </c>
      <c r="O302" s="3244">
        <f t="shared" si="59"/>
        <v>4073399</v>
      </c>
      <c r="P302" s="3244"/>
      <c r="Q302" s="3244"/>
      <c r="R302" s="3244">
        <f t="shared" si="60"/>
        <v>1223399</v>
      </c>
      <c r="S302" s="3244">
        <f t="shared" si="61"/>
        <v>1223399</v>
      </c>
      <c r="T302" s="3236"/>
      <c r="U302" s="3236"/>
      <c r="V302" s="3236">
        <v>2850000</v>
      </c>
      <c r="W302" s="3236"/>
      <c r="X302" s="3244">
        <f t="shared" si="62"/>
        <v>4073399</v>
      </c>
      <c r="Y302" s="3244">
        <f t="shared" si="63"/>
        <v>0</v>
      </c>
      <c r="Z302" s="3285">
        <f t="shared" si="64"/>
        <v>1</v>
      </c>
      <c r="AA302" s="3226" t="s">
        <v>3319</v>
      </c>
      <c r="AB302" s="3226" t="s">
        <v>4587</v>
      </c>
      <c r="AC302" s="3226" t="s">
        <v>4698</v>
      </c>
      <c r="AD302" s="3286" t="s">
        <v>4539</v>
      </c>
      <c r="AE302" s="3286" t="s">
        <v>4427</v>
      </c>
      <c r="AF302" s="3286"/>
      <c r="AG302" s="3323"/>
      <c r="AH302" s="3255">
        <v>44014</v>
      </c>
      <c r="AI302" s="3255">
        <v>44015</v>
      </c>
      <c r="AJ302" s="3255">
        <v>44034</v>
      </c>
      <c r="AK302" s="3287">
        <f t="shared" si="65"/>
        <v>2020</v>
      </c>
      <c r="AL302" s="3288">
        <f t="shared" si="66"/>
        <v>7</v>
      </c>
      <c r="AM302" s="3226" t="s">
        <v>4881</v>
      </c>
      <c r="AN302" s="3289">
        <v>2850000</v>
      </c>
      <c r="AO302" s="3300"/>
      <c r="AP302" s="3300"/>
      <c r="AQ302" s="3300"/>
      <c r="AR302" s="3292"/>
      <c r="AS302" s="3292"/>
      <c r="AT302" s="3292"/>
      <c r="AU302" s="3293"/>
      <c r="AV302" s="3293"/>
      <c r="AW302" s="3294"/>
      <c r="AX302" s="3236"/>
      <c r="AY302" s="3244"/>
      <c r="AZ302" s="3325" t="s">
        <v>4437</v>
      </c>
      <c r="BA302" s="3296" t="str">
        <f t="shared" si="67"/>
        <v>签约</v>
      </c>
      <c r="BB302" s="3226"/>
      <c r="BC302" s="3226"/>
      <c r="BD302" s="3292"/>
      <c r="BE302" s="3297" t="s">
        <v>4696</v>
      </c>
      <c r="BG302" s="3297">
        <f>IFERROR(VLOOKUP(B302,[3]Sheet2!A$1:B$65536,2,FALSE),0)</f>
        <v>0</v>
      </c>
      <c r="BI302" s="3297">
        <f>IFERROR(VLOOKUP(B302,[3]Sheet2!A$1:C$65536,2,FALSE),0)</f>
        <v>0</v>
      </c>
      <c r="BJ302" s="3297">
        <f>IFERROR(VLOOKUP(B302,[3]Sheet2!A$1:C$65536,3,FALSE),0)</f>
        <v>0</v>
      </c>
    </row>
    <row r="303" spans="1:62" s="3261" customFormat="1" ht="20.25" customHeight="1">
      <c r="A303" s="3226">
        <v>301</v>
      </c>
      <c r="B303" s="3250" t="s">
        <v>4194</v>
      </c>
      <c r="C303" s="3250" t="s">
        <v>3009</v>
      </c>
      <c r="D303" s="3251" t="s">
        <v>4195</v>
      </c>
      <c r="E303" s="3229">
        <v>44003</v>
      </c>
      <c r="F303" s="3230">
        <v>200000</v>
      </c>
      <c r="G303" s="3231">
        <v>207.27</v>
      </c>
      <c r="H303" s="3231" t="str">
        <f t="shared" si="56"/>
        <v>非普通住宅</v>
      </c>
      <c r="I303" s="3230">
        <v>4210541</v>
      </c>
      <c r="J303" s="3229">
        <v>44009</v>
      </c>
      <c r="K303" s="3284">
        <f t="shared" si="57"/>
        <v>6</v>
      </c>
      <c r="L303" s="3230">
        <v>4077746</v>
      </c>
      <c r="M303" s="3235">
        <f t="shared" si="58"/>
        <v>19673.594828002122</v>
      </c>
      <c r="N303" s="3236">
        <v>1027746</v>
      </c>
      <c r="O303" s="3244">
        <f t="shared" si="59"/>
        <v>4077746</v>
      </c>
      <c r="P303" s="3244"/>
      <c r="Q303" s="3244"/>
      <c r="R303" s="3244">
        <f t="shared" si="60"/>
        <v>1227746</v>
      </c>
      <c r="S303" s="3244">
        <f t="shared" si="61"/>
        <v>1227746</v>
      </c>
      <c r="T303" s="3236"/>
      <c r="U303" s="3236"/>
      <c r="V303" s="3236">
        <v>2850000</v>
      </c>
      <c r="W303" s="3236"/>
      <c r="X303" s="3244">
        <f t="shared" si="62"/>
        <v>4077746</v>
      </c>
      <c r="Y303" s="3244">
        <f t="shared" si="63"/>
        <v>0</v>
      </c>
      <c r="Z303" s="3285">
        <f t="shared" si="64"/>
        <v>1</v>
      </c>
      <c r="AA303" s="3226" t="s">
        <v>3319</v>
      </c>
      <c r="AB303" s="3226" t="s">
        <v>4587</v>
      </c>
      <c r="AC303" s="3226" t="s">
        <v>4698</v>
      </c>
      <c r="AD303" s="3286" t="s">
        <v>4539</v>
      </c>
      <c r="AE303" s="3286" t="s">
        <v>4427</v>
      </c>
      <c r="AF303" s="3286"/>
      <c r="AG303" s="3323"/>
      <c r="AH303" s="3255">
        <v>44009</v>
      </c>
      <c r="AI303" s="3255">
        <v>44017</v>
      </c>
      <c r="AJ303" s="3255">
        <v>44034</v>
      </c>
      <c r="AK303" s="3287">
        <f t="shared" si="65"/>
        <v>2020</v>
      </c>
      <c r="AL303" s="3288">
        <f t="shared" si="66"/>
        <v>7</v>
      </c>
      <c r="AM303" s="3226" t="s">
        <v>4701</v>
      </c>
      <c r="AN303" s="3289">
        <v>2850000</v>
      </c>
      <c r="AO303" s="3300"/>
      <c r="AP303" s="3300"/>
      <c r="AQ303" s="3300"/>
      <c r="AR303" s="3292"/>
      <c r="AS303" s="3292"/>
      <c r="AT303" s="3292"/>
      <c r="AU303" s="3293"/>
      <c r="AV303" s="3293"/>
      <c r="AW303" s="3294"/>
      <c r="AX303" s="3236"/>
      <c r="AY303" s="3244"/>
      <c r="AZ303" s="3325" t="s">
        <v>4441</v>
      </c>
      <c r="BA303" s="3296" t="str">
        <f t="shared" si="67"/>
        <v>签约</v>
      </c>
      <c r="BB303" s="3226"/>
      <c r="BC303" s="3226"/>
      <c r="BD303" s="3292"/>
      <c r="BE303" s="3297" t="s">
        <v>4449</v>
      </c>
      <c r="BG303" s="3297">
        <f>IFERROR(VLOOKUP(B303,[3]Sheet2!A$1:B$65536,2,FALSE),0)</f>
        <v>0</v>
      </c>
      <c r="BI303" s="3297">
        <f>IFERROR(VLOOKUP(B303,[3]Sheet2!A$1:C$65536,2,FALSE),0)</f>
        <v>0</v>
      </c>
      <c r="BJ303" s="3297">
        <f>IFERROR(VLOOKUP(B303,[3]Sheet2!A$1:C$65536,3,FALSE),0)</f>
        <v>0</v>
      </c>
    </row>
    <row r="304" spans="1:62" s="3261" customFormat="1" ht="20.25" customHeight="1">
      <c r="A304" s="3226">
        <v>302</v>
      </c>
      <c r="B304" s="3250" t="s">
        <v>4891</v>
      </c>
      <c r="C304" s="3250" t="s">
        <v>3011</v>
      </c>
      <c r="D304" s="3251"/>
      <c r="E304" s="3229"/>
      <c r="F304" s="3230"/>
      <c r="G304" s="3231">
        <v>246.83</v>
      </c>
      <c r="H304" s="3231" t="str">
        <f t="shared" si="56"/>
        <v>非普通住宅</v>
      </c>
      <c r="I304" s="3230">
        <v>8952385</v>
      </c>
      <c r="J304" s="3229"/>
      <c r="K304" s="3284" t="str">
        <f t="shared" si="57"/>
        <v/>
      </c>
      <c r="L304" s="3230"/>
      <c r="M304" s="3235">
        <f t="shared" si="58"/>
        <v>0</v>
      </c>
      <c r="N304" s="3236"/>
      <c r="O304" s="3244">
        <f t="shared" si="59"/>
        <v>0</v>
      </c>
      <c r="P304" s="3244"/>
      <c r="Q304" s="3244"/>
      <c r="R304" s="3244">
        <f t="shared" si="60"/>
        <v>0</v>
      </c>
      <c r="S304" s="3244">
        <f t="shared" si="61"/>
        <v>0</v>
      </c>
      <c r="T304" s="3236"/>
      <c r="U304" s="3236"/>
      <c r="V304" s="3236"/>
      <c r="W304" s="3236"/>
      <c r="X304" s="3244">
        <f t="shared" si="62"/>
        <v>0</v>
      </c>
      <c r="Y304" s="3244">
        <f t="shared" si="63"/>
        <v>0</v>
      </c>
      <c r="Z304" s="3285" t="e">
        <f t="shared" si="64"/>
        <v>#DIV/0!</v>
      </c>
      <c r="AA304" s="3226"/>
      <c r="AB304" s="3226"/>
      <c r="AC304" s="3226"/>
      <c r="AD304" s="3286"/>
      <c r="AE304" s="3286"/>
      <c r="AF304" s="3286"/>
      <c r="AG304" s="3323"/>
      <c r="AH304" s="3255"/>
      <c r="AI304" s="3255"/>
      <c r="AJ304" s="3255"/>
      <c r="AK304" s="3287" t="str">
        <f t="shared" si="65"/>
        <v/>
      </c>
      <c r="AL304" s="3288" t="str">
        <f t="shared" si="66"/>
        <v/>
      </c>
      <c r="AM304" s="3226"/>
      <c r="AN304" s="3289"/>
      <c r="AO304" s="3300"/>
      <c r="AP304" s="3300"/>
      <c r="AQ304" s="3300"/>
      <c r="AR304" s="3292"/>
      <c r="AS304" s="3292"/>
      <c r="AT304" s="3292"/>
      <c r="AU304" s="3293"/>
      <c r="AV304" s="3293"/>
      <c r="AW304" s="3294"/>
      <c r="AX304" s="3236"/>
      <c r="AY304" s="3244"/>
      <c r="AZ304" s="3325"/>
      <c r="BA304" s="3296" t="str">
        <f t="shared" si="67"/>
        <v>未售</v>
      </c>
      <c r="BB304" s="3226"/>
      <c r="BC304" s="3226"/>
      <c r="BD304" s="3292"/>
      <c r="BE304" s="3297"/>
      <c r="BG304" s="3297">
        <f>IFERROR(VLOOKUP(B304,[3]Sheet2!A$1:B$65536,2,FALSE),0)</f>
        <v>0</v>
      </c>
      <c r="BI304" s="3297">
        <f>IFERROR(VLOOKUP(B304,[3]Sheet2!A$1:C$65536,2,FALSE),0)</f>
        <v>0</v>
      </c>
      <c r="BJ304" s="3297">
        <f>IFERROR(VLOOKUP(B304,[3]Sheet2!A$1:C$65536,3,FALSE),0)</f>
        <v>0</v>
      </c>
    </row>
    <row r="305" spans="1:62" s="3261" customFormat="1" ht="20.25" customHeight="1">
      <c r="A305" s="3226">
        <v>303</v>
      </c>
      <c r="B305" s="3250" t="s">
        <v>4196</v>
      </c>
      <c r="C305" s="3250" t="s">
        <v>3009</v>
      </c>
      <c r="D305" s="3251" t="s">
        <v>4197</v>
      </c>
      <c r="E305" s="3229">
        <v>44003</v>
      </c>
      <c r="F305" s="3230">
        <v>200000</v>
      </c>
      <c r="G305" s="3231">
        <v>234.54</v>
      </c>
      <c r="H305" s="3231" t="str">
        <f t="shared" si="56"/>
        <v>非普通住宅</v>
      </c>
      <c r="I305" s="3230">
        <v>5271524</v>
      </c>
      <c r="J305" s="3229">
        <v>44010</v>
      </c>
      <c r="K305" s="3284">
        <f t="shared" si="57"/>
        <v>6</v>
      </c>
      <c r="L305" s="3230">
        <v>5091769</v>
      </c>
      <c r="M305" s="3235">
        <f t="shared" si="58"/>
        <v>21709.597510019612</v>
      </c>
      <c r="N305" s="3236">
        <v>4891769</v>
      </c>
      <c r="O305" s="3244">
        <f t="shared" si="59"/>
        <v>5091769</v>
      </c>
      <c r="P305" s="3244"/>
      <c r="Q305" s="3244"/>
      <c r="R305" s="3244">
        <f t="shared" si="60"/>
        <v>5091769</v>
      </c>
      <c r="S305" s="3244">
        <f t="shared" si="61"/>
        <v>5091769</v>
      </c>
      <c r="T305" s="3236"/>
      <c r="U305" s="3236"/>
      <c r="V305" s="3236"/>
      <c r="W305" s="3236"/>
      <c r="X305" s="3244">
        <f t="shared" si="62"/>
        <v>5091769</v>
      </c>
      <c r="Y305" s="3244">
        <f t="shared" si="63"/>
        <v>0</v>
      </c>
      <c r="Z305" s="3285">
        <f t="shared" si="64"/>
        <v>1</v>
      </c>
      <c r="AA305" s="3226" t="s">
        <v>3319</v>
      </c>
      <c r="AB305" s="3226" t="s">
        <v>4676</v>
      </c>
      <c r="AC305" s="3226"/>
      <c r="AD305" s="3286"/>
      <c r="AE305" s="3286"/>
      <c r="AF305" s="3286"/>
      <c r="AG305" s="3323"/>
      <c r="AH305" s="3255"/>
      <c r="AI305" s="3255"/>
      <c r="AJ305" s="3255"/>
      <c r="AK305" s="3287" t="str">
        <f t="shared" si="65"/>
        <v/>
      </c>
      <c r="AL305" s="3288" t="str">
        <f t="shared" si="66"/>
        <v/>
      </c>
      <c r="AM305" s="3226"/>
      <c r="AN305" s="3289"/>
      <c r="AO305" s="3300"/>
      <c r="AP305" s="3300"/>
      <c r="AQ305" s="3300"/>
      <c r="AR305" s="3292"/>
      <c r="AS305" s="3292"/>
      <c r="AT305" s="3292"/>
      <c r="AU305" s="3293"/>
      <c r="AV305" s="3293"/>
      <c r="AW305" s="3294"/>
      <c r="AX305" s="3236"/>
      <c r="AY305" s="3244"/>
      <c r="AZ305" s="3325" t="s">
        <v>4441</v>
      </c>
      <c r="BA305" s="3296" t="str">
        <f t="shared" si="67"/>
        <v>签约</v>
      </c>
      <c r="BB305" s="3226"/>
      <c r="BC305" s="3226"/>
      <c r="BD305" s="3292"/>
      <c r="BE305" s="3297" t="s">
        <v>4449</v>
      </c>
      <c r="BG305" s="3297">
        <f>IFERROR(VLOOKUP(B305,[3]Sheet2!A$1:B$65536,2,FALSE),0)</f>
        <v>0</v>
      </c>
      <c r="BI305" s="3297">
        <f>IFERROR(VLOOKUP(B305,[3]Sheet2!A$1:C$65536,2,FALSE),0)</f>
        <v>0</v>
      </c>
      <c r="BJ305" s="3297">
        <f>IFERROR(VLOOKUP(B305,[3]Sheet2!A$1:C$65536,3,FALSE),0)</f>
        <v>0</v>
      </c>
    </row>
    <row r="306" spans="1:62" s="3261" customFormat="1" ht="20.25" customHeight="1">
      <c r="A306" s="3226">
        <v>304</v>
      </c>
      <c r="B306" s="3250" t="s">
        <v>4198</v>
      </c>
      <c r="C306" s="3250" t="s">
        <v>3009</v>
      </c>
      <c r="D306" s="3251" t="s">
        <v>4199</v>
      </c>
      <c r="E306" s="3229">
        <v>44003</v>
      </c>
      <c r="F306" s="3230">
        <v>200000</v>
      </c>
      <c r="G306" s="3231">
        <v>184.64</v>
      </c>
      <c r="H306" s="3231" t="str">
        <f t="shared" si="56"/>
        <v>非普通住宅</v>
      </c>
      <c r="I306" s="3230">
        <v>4302770</v>
      </c>
      <c r="J306" s="3229">
        <v>44006</v>
      </c>
      <c r="K306" s="3284">
        <f t="shared" si="57"/>
        <v>6</v>
      </c>
      <c r="L306" s="3230">
        <v>4168140</v>
      </c>
      <c r="M306" s="3235">
        <f t="shared" si="58"/>
        <v>22574.415077989604</v>
      </c>
      <c r="N306" s="3236">
        <v>1058140</v>
      </c>
      <c r="O306" s="3244">
        <f t="shared" si="59"/>
        <v>4168140</v>
      </c>
      <c r="P306" s="3244"/>
      <c r="Q306" s="3244"/>
      <c r="R306" s="3244">
        <f t="shared" si="60"/>
        <v>1258140</v>
      </c>
      <c r="S306" s="3244">
        <f t="shared" si="61"/>
        <v>1258140</v>
      </c>
      <c r="T306" s="3236"/>
      <c r="U306" s="3236"/>
      <c r="V306" s="3236">
        <v>2910000</v>
      </c>
      <c r="W306" s="3236"/>
      <c r="X306" s="3244">
        <f t="shared" si="62"/>
        <v>4168140</v>
      </c>
      <c r="Y306" s="3244">
        <f t="shared" si="63"/>
        <v>0</v>
      </c>
      <c r="Z306" s="3285">
        <f t="shared" si="64"/>
        <v>1</v>
      </c>
      <c r="AA306" s="3226" t="s">
        <v>3319</v>
      </c>
      <c r="AB306" s="3226" t="s">
        <v>4587</v>
      </c>
      <c r="AC306" s="3226" t="s">
        <v>4698</v>
      </c>
      <c r="AD306" s="3286" t="s">
        <v>4539</v>
      </c>
      <c r="AE306" s="3286" t="s">
        <v>4427</v>
      </c>
      <c r="AF306" s="3286"/>
      <c r="AG306" s="3323"/>
      <c r="AH306" s="3255">
        <v>44010</v>
      </c>
      <c r="AI306" s="3255">
        <v>44013</v>
      </c>
      <c r="AJ306" s="3255">
        <v>44021</v>
      </c>
      <c r="AK306" s="3287">
        <f t="shared" si="65"/>
        <v>2020</v>
      </c>
      <c r="AL306" s="3288">
        <f t="shared" si="66"/>
        <v>7</v>
      </c>
      <c r="AM306" s="3226" t="s">
        <v>4792</v>
      </c>
      <c r="AN306" s="3289">
        <v>2910000</v>
      </c>
      <c r="AO306" s="3300"/>
      <c r="AP306" s="3300"/>
      <c r="AQ306" s="3300"/>
      <c r="AR306" s="3292"/>
      <c r="AS306" s="3292"/>
      <c r="AT306" s="3292"/>
      <c r="AU306" s="3293"/>
      <c r="AV306" s="3293"/>
      <c r="AW306" s="3294"/>
      <c r="AX306" s="3236"/>
      <c r="AY306" s="3244"/>
      <c r="AZ306" s="3325" t="s">
        <v>4735</v>
      </c>
      <c r="BA306" s="3296" t="str">
        <f t="shared" si="67"/>
        <v>签约</v>
      </c>
      <c r="BB306" s="3226"/>
      <c r="BC306" s="3226"/>
      <c r="BD306" s="3292"/>
      <c r="BE306" s="3297" t="s">
        <v>4449</v>
      </c>
      <c r="BG306" s="3297">
        <f>IFERROR(VLOOKUP(B306,[3]Sheet2!A$1:B$65536,2,FALSE),0)</f>
        <v>0</v>
      </c>
      <c r="BI306" s="3297">
        <f>IFERROR(VLOOKUP(B306,[3]Sheet2!A$1:C$65536,2,FALSE),0)</f>
        <v>0</v>
      </c>
      <c r="BJ306" s="3297">
        <f>IFERROR(VLOOKUP(B306,[3]Sheet2!A$1:C$65536,3,FALSE),0)</f>
        <v>0</v>
      </c>
    </row>
    <row r="307" spans="1:62" s="3261" customFormat="1" ht="20.25" customHeight="1">
      <c r="A307" s="3226">
        <v>305</v>
      </c>
      <c r="B307" s="3250" t="s">
        <v>4200</v>
      </c>
      <c r="C307" s="3250" t="s">
        <v>3009</v>
      </c>
      <c r="D307" s="3251" t="s">
        <v>4201</v>
      </c>
      <c r="E307" s="3229">
        <v>44003</v>
      </c>
      <c r="F307" s="3230">
        <v>200000</v>
      </c>
      <c r="G307" s="3231">
        <v>184.64</v>
      </c>
      <c r="H307" s="3231" t="str">
        <f t="shared" si="56"/>
        <v>非普通住宅</v>
      </c>
      <c r="I307" s="3230">
        <v>4335315</v>
      </c>
      <c r="J307" s="3229">
        <v>44007</v>
      </c>
      <c r="K307" s="3284">
        <f t="shared" si="57"/>
        <v>6</v>
      </c>
      <c r="L307" s="3230">
        <v>4200037</v>
      </c>
      <c r="M307" s="3235">
        <f t="shared" si="58"/>
        <v>22747.1674610052</v>
      </c>
      <c r="N307" s="3236">
        <f>1060037+300000</f>
        <v>1360037</v>
      </c>
      <c r="O307" s="3244">
        <f t="shared" si="59"/>
        <v>4200037</v>
      </c>
      <c r="P307" s="3244"/>
      <c r="Q307" s="3244"/>
      <c r="R307" s="3244">
        <f t="shared" si="60"/>
        <v>1560037</v>
      </c>
      <c r="S307" s="3244">
        <f t="shared" si="61"/>
        <v>1560037</v>
      </c>
      <c r="T307" s="3236"/>
      <c r="U307" s="3236"/>
      <c r="V307" s="3236"/>
      <c r="W307" s="3236"/>
      <c r="X307" s="3244">
        <f t="shared" si="62"/>
        <v>1560037</v>
      </c>
      <c r="Y307" s="3244">
        <f t="shared" si="63"/>
        <v>2640000</v>
      </c>
      <c r="Z307" s="3285">
        <f t="shared" si="64"/>
        <v>0.37143410879475586</v>
      </c>
      <c r="AA307" s="3226" t="s">
        <v>3319</v>
      </c>
      <c r="AB307" s="3226" t="s">
        <v>4587</v>
      </c>
      <c r="AC307" s="3226" t="s">
        <v>4698</v>
      </c>
      <c r="AD307" s="3286" t="s">
        <v>4539</v>
      </c>
      <c r="AE307" s="3286" t="s">
        <v>4776</v>
      </c>
      <c r="AF307" s="3286"/>
      <c r="AG307" s="3323"/>
      <c r="AH307" s="3255">
        <v>44010</v>
      </c>
      <c r="AI307" s="3255">
        <v>44015</v>
      </c>
      <c r="AJ307" s="3255"/>
      <c r="AK307" s="3287" t="str">
        <f t="shared" si="65"/>
        <v/>
      </c>
      <c r="AL307" s="3288" t="str">
        <f t="shared" si="66"/>
        <v/>
      </c>
      <c r="AM307" s="3226" t="s">
        <v>4890</v>
      </c>
      <c r="AN307" s="3289">
        <v>2940000</v>
      </c>
      <c r="AO307" s="3300"/>
      <c r="AP307" s="3300"/>
      <c r="AQ307" s="3300"/>
      <c r="AR307" s="3292"/>
      <c r="AS307" s="3292"/>
      <c r="AT307" s="3292"/>
      <c r="AU307" s="3293"/>
      <c r="AV307" s="3293"/>
      <c r="AW307" s="3294"/>
      <c r="AX307" s="3236"/>
      <c r="AY307" s="3244"/>
      <c r="AZ307" s="3325" t="s">
        <v>4441</v>
      </c>
      <c r="BA307" s="3296" t="str">
        <f t="shared" si="67"/>
        <v>签约</v>
      </c>
      <c r="BB307" s="3226"/>
      <c r="BC307" s="3226"/>
      <c r="BD307" s="3292"/>
      <c r="BE307" s="3297" t="s">
        <v>4449</v>
      </c>
      <c r="BG307" s="3297">
        <f>IFERROR(VLOOKUP(B307,[3]Sheet2!A$1:B$65536,2,FALSE),0)</f>
        <v>0</v>
      </c>
      <c r="BI307" s="3297">
        <f>IFERROR(VLOOKUP(B307,[3]Sheet2!A$1:C$65536,2,FALSE),0)</f>
        <v>0</v>
      </c>
      <c r="BJ307" s="3297">
        <f>IFERROR(VLOOKUP(B307,[3]Sheet2!A$1:C$65536,3,FALSE),0)</f>
        <v>0</v>
      </c>
    </row>
    <row r="308" spans="1:62" s="3261" customFormat="1" ht="20.25" customHeight="1">
      <c r="A308" s="3226">
        <v>306</v>
      </c>
      <c r="B308" s="3250" t="s">
        <v>4202</v>
      </c>
      <c r="C308" s="3250" t="s">
        <v>3009</v>
      </c>
      <c r="D308" s="3251" t="s">
        <v>4203</v>
      </c>
      <c r="E308" s="3229">
        <v>44003</v>
      </c>
      <c r="F308" s="3230">
        <v>200000</v>
      </c>
      <c r="G308" s="3231">
        <v>184.64</v>
      </c>
      <c r="H308" s="3231" t="str">
        <f t="shared" si="56"/>
        <v>非普通住宅</v>
      </c>
      <c r="I308" s="3230">
        <v>4365686</v>
      </c>
      <c r="J308" s="3229">
        <v>44010</v>
      </c>
      <c r="K308" s="3284">
        <f t="shared" si="57"/>
        <v>6</v>
      </c>
      <c r="L308" s="3230">
        <v>4229804</v>
      </c>
      <c r="M308" s="3235">
        <f t="shared" si="58"/>
        <v>22908.38388214905</v>
      </c>
      <c r="N308" s="3236">
        <v>1069804</v>
      </c>
      <c r="O308" s="3244">
        <f t="shared" si="59"/>
        <v>4229804</v>
      </c>
      <c r="P308" s="3244"/>
      <c r="Q308" s="3244"/>
      <c r="R308" s="3244">
        <f t="shared" si="60"/>
        <v>1269804</v>
      </c>
      <c r="S308" s="3244">
        <f t="shared" si="61"/>
        <v>1269804</v>
      </c>
      <c r="T308" s="3236"/>
      <c r="U308" s="3236"/>
      <c r="V308" s="3236"/>
      <c r="W308" s="3236"/>
      <c r="X308" s="3244">
        <f t="shared" si="62"/>
        <v>1269804</v>
      </c>
      <c r="Y308" s="3244">
        <f t="shared" si="63"/>
        <v>2960000</v>
      </c>
      <c r="Z308" s="3285">
        <f t="shared" si="64"/>
        <v>0.30020398108281138</v>
      </c>
      <c r="AA308" s="3226" t="s">
        <v>3319</v>
      </c>
      <c r="AB308" s="3226" t="s">
        <v>4587</v>
      </c>
      <c r="AC308" s="3226" t="s">
        <v>4698</v>
      </c>
      <c r="AD308" s="3286" t="s">
        <v>4773</v>
      </c>
      <c r="AE308" s="3286" t="s">
        <v>4877</v>
      </c>
      <c r="AF308" s="3286"/>
      <c r="AG308" s="3323"/>
      <c r="AH308" s="3255">
        <v>44010</v>
      </c>
      <c r="AI308" s="3255"/>
      <c r="AJ308" s="3255"/>
      <c r="AK308" s="3287" t="str">
        <f t="shared" si="65"/>
        <v/>
      </c>
      <c r="AL308" s="3288" t="str">
        <f t="shared" si="66"/>
        <v/>
      </c>
      <c r="AM308" s="3226" t="s">
        <v>4777</v>
      </c>
      <c r="AN308" s="3289">
        <v>2960000</v>
      </c>
      <c r="AO308" s="3300"/>
      <c r="AP308" s="3300"/>
      <c r="AQ308" s="3300"/>
      <c r="AR308" s="3292"/>
      <c r="AS308" s="3292"/>
      <c r="AT308" s="3292"/>
      <c r="AU308" s="3293"/>
      <c r="AV308" s="3293"/>
      <c r="AW308" s="3294"/>
      <c r="AX308" s="3236"/>
      <c r="AY308" s="3244"/>
      <c r="AZ308" s="3325" t="s">
        <v>4441</v>
      </c>
      <c r="BA308" s="3296" t="str">
        <f t="shared" si="67"/>
        <v>签约</v>
      </c>
      <c r="BB308" s="3226"/>
      <c r="BC308" s="3226"/>
      <c r="BD308" s="3292"/>
      <c r="BE308" s="3297" t="s">
        <v>4696</v>
      </c>
      <c r="BG308" s="3297">
        <f>IFERROR(VLOOKUP(B308,[3]Sheet2!A$1:B$65536,2,FALSE),0)</f>
        <v>0</v>
      </c>
      <c r="BI308" s="3297">
        <f>IFERROR(VLOOKUP(B308,[3]Sheet2!A$1:C$65536,2,FALSE),0)</f>
        <v>0</v>
      </c>
      <c r="BJ308" s="3297">
        <f>IFERROR(VLOOKUP(B308,[3]Sheet2!A$1:C$65536,3,FALSE),0)</f>
        <v>0</v>
      </c>
    </row>
    <row r="309" spans="1:62" s="3261" customFormat="1" ht="20.25" customHeight="1">
      <c r="A309" s="3226">
        <v>307</v>
      </c>
      <c r="B309" s="3250" t="s">
        <v>4204</v>
      </c>
      <c r="C309" s="3250" t="s">
        <v>3009</v>
      </c>
      <c r="D309" s="3251" t="s">
        <v>4205</v>
      </c>
      <c r="E309" s="3229">
        <v>44003</v>
      </c>
      <c r="F309" s="3230">
        <v>200000</v>
      </c>
      <c r="G309" s="3231">
        <v>184.64</v>
      </c>
      <c r="H309" s="3231" t="str">
        <f t="shared" si="56"/>
        <v>非普通住宅</v>
      </c>
      <c r="I309" s="3230">
        <v>4398230</v>
      </c>
      <c r="J309" s="3229">
        <v>44007</v>
      </c>
      <c r="K309" s="3284">
        <f t="shared" si="57"/>
        <v>6</v>
      </c>
      <c r="L309" s="3230">
        <v>4261700</v>
      </c>
      <c r="M309" s="3235">
        <f t="shared" si="58"/>
        <v>23081.130849220106</v>
      </c>
      <c r="N309" s="3236">
        <f>731700+350000</f>
        <v>1081700</v>
      </c>
      <c r="O309" s="3244">
        <f t="shared" si="59"/>
        <v>4261700</v>
      </c>
      <c r="P309" s="3244"/>
      <c r="Q309" s="3244"/>
      <c r="R309" s="3244">
        <f t="shared" si="60"/>
        <v>1281700</v>
      </c>
      <c r="S309" s="3244">
        <f t="shared" si="61"/>
        <v>1281700</v>
      </c>
      <c r="T309" s="3236"/>
      <c r="U309" s="3236"/>
      <c r="V309" s="3236">
        <v>2980000</v>
      </c>
      <c r="W309" s="3236"/>
      <c r="X309" s="3244">
        <f t="shared" si="62"/>
        <v>4261700</v>
      </c>
      <c r="Y309" s="3244">
        <f t="shared" si="63"/>
        <v>0</v>
      </c>
      <c r="Z309" s="3285">
        <f t="shared" si="64"/>
        <v>1</v>
      </c>
      <c r="AA309" s="3226" t="s">
        <v>3319</v>
      </c>
      <c r="AB309" s="3226" t="s">
        <v>4587</v>
      </c>
      <c r="AC309" s="3226" t="s">
        <v>4698</v>
      </c>
      <c r="AD309" s="3286" t="s">
        <v>4539</v>
      </c>
      <c r="AE309" s="3286" t="s">
        <v>4427</v>
      </c>
      <c r="AF309" s="3286"/>
      <c r="AG309" s="3323"/>
      <c r="AH309" s="3255">
        <v>44033</v>
      </c>
      <c r="AI309" s="3255">
        <v>44033</v>
      </c>
      <c r="AJ309" s="3255">
        <v>44043</v>
      </c>
      <c r="AK309" s="3287">
        <f t="shared" si="65"/>
        <v>2020</v>
      </c>
      <c r="AL309" s="3288">
        <f t="shared" si="66"/>
        <v>7</v>
      </c>
      <c r="AM309" s="3226" t="s">
        <v>4433</v>
      </c>
      <c r="AN309" s="3289">
        <v>2980000</v>
      </c>
      <c r="AO309" s="3300"/>
      <c r="AP309" s="3300"/>
      <c r="AQ309" s="3300"/>
      <c r="AR309" s="3292"/>
      <c r="AS309" s="3292"/>
      <c r="AT309" s="3292"/>
      <c r="AU309" s="3293"/>
      <c r="AV309" s="3293"/>
      <c r="AW309" s="3294"/>
      <c r="AX309" s="3236"/>
      <c r="AY309" s="3244"/>
      <c r="AZ309" s="3325" t="s">
        <v>4429</v>
      </c>
      <c r="BA309" s="3296" t="str">
        <f t="shared" si="67"/>
        <v>签约</v>
      </c>
      <c r="BB309" s="3226"/>
      <c r="BC309" s="3226"/>
      <c r="BD309" s="3292"/>
      <c r="BE309" s="3297" t="s">
        <v>4449</v>
      </c>
      <c r="BG309" s="3297">
        <f>IFERROR(VLOOKUP(B309,[3]Sheet2!A$1:B$65536,2,FALSE),0)</f>
        <v>0</v>
      </c>
      <c r="BI309" s="3297">
        <f>IFERROR(VLOOKUP(B309,[3]Sheet2!A$1:C$65536,2,FALSE),0)</f>
        <v>0</v>
      </c>
      <c r="BJ309" s="3297">
        <f>IFERROR(VLOOKUP(B309,[3]Sheet2!A$1:C$65536,3,FALSE),0)</f>
        <v>0</v>
      </c>
    </row>
    <row r="310" spans="1:62" s="3261" customFormat="1" ht="20.25" customHeight="1">
      <c r="A310" s="3226">
        <v>308</v>
      </c>
      <c r="B310" s="3250" t="s">
        <v>4206</v>
      </c>
      <c r="C310" s="3250" t="s">
        <v>3009</v>
      </c>
      <c r="D310" s="3251" t="s">
        <v>4207</v>
      </c>
      <c r="E310" s="3229">
        <v>44005</v>
      </c>
      <c r="F310" s="3230">
        <v>200000</v>
      </c>
      <c r="G310" s="3231">
        <v>214.69</v>
      </c>
      <c r="H310" s="3231" t="str">
        <f t="shared" si="56"/>
        <v>非普通住宅</v>
      </c>
      <c r="I310" s="3230">
        <v>4953299</v>
      </c>
      <c r="J310" s="3229">
        <v>44010</v>
      </c>
      <c r="K310" s="3284">
        <f t="shared" si="57"/>
        <v>6</v>
      </c>
      <c r="L310" s="3230">
        <v>4835126</v>
      </c>
      <c r="M310" s="3235">
        <f t="shared" si="58"/>
        <v>22521.430900367974</v>
      </c>
      <c r="N310" s="3236">
        <v>1255126</v>
      </c>
      <c r="O310" s="3244">
        <f t="shared" si="59"/>
        <v>4835126</v>
      </c>
      <c r="P310" s="3244"/>
      <c r="Q310" s="3244"/>
      <c r="R310" s="3244">
        <f t="shared" si="60"/>
        <v>1455126</v>
      </c>
      <c r="S310" s="3244">
        <f t="shared" si="61"/>
        <v>1455126</v>
      </c>
      <c r="T310" s="3236"/>
      <c r="U310" s="3236"/>
      <c r="V310" s="3236">
        <v>3380000</v>
      </c>
      <c r="W310" s="3236"/>
      <c r="X310" s="3244">
        <f t="shared" si="62"/>
        <v>4835126</v>
      </c>
      <c r="Y310" s="3244">
        <f t="shared" si="63"/>
        <v>0</v>
      </c>
      <c r="Z310" s="3285">
        <f t="shared" si="64"/>
        <v>1</v>
      </c>
      <c r="AA310" s="3226" t="s">
        <v>3319</v>
      </c>
      <c r="AB310" s="3226" t="s">
        <v>4587</v>
      </c>
      <c r="AC310" s="3226" t="s">
        <v>4698</v>
      </c>
      <c r="AD310" s="3286" t="s">
        <v>4539</v>
      </c>
      <c r="AE310" s="3286" t="s">
        <v>4427</v>
      </c>
      <c r="AF310" s="3286"/>
      <c r="AG310" s="3323"/>
      <c r="AH310" s="3255">
        <v>44010</v>
      </c>
      <c r="AI310" s="3255">
        <v>44015</v>
      </c>
      <c r="AJ310" s="3255">
        <v>44022</v>
      </c>
      <c r="AK310" s="3287">
        <f t="shared" si="65"/>
        <v>2020</v>
      </c>
      <c r="AL310" s="3288">
        <f t="shared" si="66"/>
        <v>7</v>
      </c>
      <c r="AM310" s="3226" t="s">
        <v>4433</v>
      </c>
      <c r="AN310" s="3289">
        <v>3380000</v>
      </c>
      <c r="AO310" s="3300"/>
      <c r="AP310" s="3300"/>
      <c r="AQ310" s="3300"/>
      <c r="AR310" s="3292"/>
      <c r="AS310" s="3292"/>
      <c r="AT310" s="3292"/>
      <c r="AU310" s="3293"/>
      <c r="AV310" s="3293"/>
      <c r="AW310" s="3294"/>
      <c r="AX310" s="3236"/>
      <c r="AY310" s="3244"/>
      <c r="AZ310" s="3325" t="s">
        <v>4441</v>
      </c>
      <c r="BA310" s="3296" t="str">
        <f t="shared" si="67"/>
        <v>签约</v>
      </c>
      <c r="BB310" s="3226"/>
      <c r="BC310" s="3226"/>
      <c r="BD310" s="3292"/>
      <c r="BE310" s="3297" t="s">
        <v>4465</v>
      </c>
      <c r="BG310" s="3297">
        <f>IFERROR(VLOOKUP(B310,[3]Sheet2!A$1:B$65536,2,FALSE),0)</f>
        <v>0</v>
      </c>
      <c r="BI310" s="3297">
        <f>IFERROR(VLOOKUP(B310,[3]Sheet2!A$1:C$65536,2,FALSE),0)</f>
        <v>0</v>
      </c>
      <c r="BJ310" s="3297">
        <f>IFERROR(VLOOKUP(B310,[3]Sheet2!A$1:C$65536,3,FALSE),0)</f>
        <v>0</v>
      </c>
    </row>
    <row r="311" spans="1:62" s="3261" customFormat="1" ht="20.25" customHeight="1">
      <c r="A311" s="3226">
        <v>309</v>
      </c>
      <c r="B311" s="3250" t="s">
        <v>4208</v>
      </c>
      <c r="C311" s="3250" t="s">
        <v>3009</v>
      </c>
      <c r="D311" s="3251" t="s">
        <v>4209</v>
      </c>
      <c r="E311" s="3229">
        <v>44003</v>
      </c>
      <c r="F311" s="3230">
        <v>200000</v>
      </c>
      <c r="G311" s="3231">
        <v>206.23</v>
      </c>
      <c r="H311" s="3231" t="str">
        <f t="shared" si="56"/>
        <v>非普通住宅</v>
      </c>
      <c r="I311" s="3230">
        <v>3772328</v>
      </c>
      <c r="J311" s="3229">
        <v>44007</v>
      </c>
      <c r="K311" s="3284">
        <f t="shared" si="57"/>
        <v>6</v>
      </c>
      <c r="L311" s="3230">
        <v>3648254</v>
      </c>
      <c r="M311" s="3235">
        <f t="shared" si="58"/>
        <v>17690.219657663773</v>
      </c>
      <c r="N311" s="3236">
        <v>1158254</v>
      </c>
      <c r="O311" s="3244">
        <f t="shared" si="59"/>
        <v>3648254</v>
      </c>
      <c r="P311" s="3244"/>
      <c r="Q311" s="3244"/>
      <c r="R311" s="3244">
        <f t="shared" si="60"/>
        <v>1358254</v>
      </c>
      <c r="S311" s="3244">
        <f t="shared" si="61"/>
        <v>1358254</v>
      </c>
      <c r="T311" s="3236"/>
      <c r="U311" s="3236"/>
      <c r="V311" s="3236">
        <v>2290000</v>
      </c>
      <c r="W311" s="3236"/>
      <c r="X311" s="3244">
        <f t="shared" si="62"/>
        <v>3648254</v>
      </c>
      <c r="Y311" s="3244">
        <f t="shared" si="63"/>
        <v>0</v>
      </c>
      <c r="Z311" s="3285">
        <f t="shared" si="64"/>
        <v>1</v>
      </c>
      <c r="AA311" s="3226" t="s">
        <v>3319</v>
      </c>
      <c r="AB311" s="3226" t="s">
        <v>4587</v>
      </c>
      <c r="AC311" s="3226" t="s">
        <v>4698</v>
      </c>
      <c r="AD311" s="3286" t="s">
        <v>4539</v>
      </c>
      <c r="AE311" s="3286" t="s">
        <v>4427</v>
      </c>
      <c r="AF311" s="3286"/>
      <c r="AG311" s="3323"/>
      <c r="AH311" s="3255">
        <v>44010</v>
      </c>
      <c r="AI311" s="3255">
        <v>44013</v>
      </c>
      <c r="AJ311" s="3255">
        <v>44027</v>
      </c>
      <c r="AK311" s="3287">
        <f t="shared" si="65"/>
        <v>2020</v>
      </c>
      <c r="AL311" s="3288">
        <f t="shared" si="66"/>
        <v>7</v>
      </c>
      <c r="AM311" s="3226" t="s">
        <v>4634</v>
      </c>
      <c r="AN311" s="3289">
        <v>2290000</v>
      </c>
      <c r="AO311" s="3300"/>
      <c r="AP311" s="3300"/>
      <c r="AQ311" s="3300"/>
      <c r="AR311" s="3292"/>
      <c r="AS311" s="3292"/>
      <c r="AT311" s="3292"/>
      <c r="AU311" s="3293"/>
      <c r="AV311" s="3293"/>
      <c r="AW311" s="3294"/>
      <c r="AX311" s="3236"/>
      <c r="AY311" s="3244"/>
      <c r="AZ311" s="3325" t="s">
        <v>4441</v>
      </c>
      <c r="BA311" s="3296" t="str">
        <f t="shared" si="67"/>
        <v>签约</v>
      </c>
      <c r="BB311" s="3226"/>
      <c r="BC311" s="3226"/>
      <c r="BD311" s="3292"/>
      <c r="BE311" s="3297" t="s">
        <v>4449</v>
      </c>
      <c r="BG311" s="3297">
        <f>IFERROR(VLOOKUP(B311,[3]Sheet2!A$1:B$65536,2,FALSE),0)</f>
        <v>0</v>
      </c>
      <c r="BI311" s="3297">
        <f>IFERROR(VLOOKUP(B311,[3]Sheet2!A$1:C$65536,2,FALSE),0)</f>
        <v>0</v>
      </c>
      <c r="BJ311" s="3297">
        <f>IFERROR(VLOOKUP(B311,[3]Sheet2!A$1:C$65536,3,FALSE),0)</f>
        <v>0</v>
      </c>
    </row>
    <row r="312" spans="1:62" s="3261" customFormat="1" ht="20.25" customHeight="1">
      <c r="A312" s="3226">
        <v>310</v>
      </c>
      <c r="B312" s="3250" t="s">
        <v>4210</v>
      </c>
      <c r="C312" s="3250" t="s">
        <v>3009</v>
      </c>
      <c r="D312" s="3251" t="s">
        <v>4211</v>
      </c>
      <c r="E312" s="3229">
        <v>44003</v>
      </c>
      <c r="F312" s="3230">
        <v>200000</v>
      </c>
      <c r="G312" s="3231">
        <v>178.73</v>
      </c>
      <c r="H312" s="3231" t="str">
        <f t="shared" si="56"/>
        <v>非普通住宅</v>
      </c>
      <c r="I312" s="3230">
        <v>3383229</v>
      </c>
      <c r="J312" s="3229">
        <v>44006</v>
      </c>
      <c r="K312" s="3284">
        <f t="shared" si="57"/>
        <v>6</v>
      </c>
      <c r="L312" s="3230">
        <v>3266898</v>
      </c>
      <c r="M312" s="3235">
        <f t="shared" si="58"/>
        <v>18278.397582946345</v>
      </c>
      <c r="N312" s="3236">
        <v>786898</v>
      </c>
      <c r="O312" s="3244">
        <f t="shared" si="59"/>
        <v>3266898</v>
      </c>
      <c r="P312" s="3244"/>
      <c r="Q312" s="3244"/>
      <c r="R312" s="3244">
        <f t="shared" si="60"/>
        <v>986898</v>
      </c>
      <c r="S312" s="3244">
        <f t="shared" si="61"/>
        <v>986898</v>
      </c>
      <c r="T312" s="3236"/>
      <c r="U312" s="3236"/>
      <c r="V312" s="3236">
        <v>2280000</v>
      </c>
      <c r="W312" s="3236"/>
      <c r="X312" s="3244">
        <f t="shared" si="62"/>
        <v>3266898</v>
      </c>
      <c r="Y312" s="3244">
        <f t="shared" si="63"/>
        <v>0</v>
      </c>
      <c r="Z312" s="3285">
        <f t="shared" si="64"/>
        <v>1</v>
      </c>
      <c r="AA312" s="3226" t="s">
        <v>3319</v>
      </c>
      <c r="AB312" s="3226" t="s">
        <v>4587</v>
      </c>
      <c r="AC312" s="3226" t="s">
        <v>4698</v>
      </c>
      <c r="AD312" s="3286" t="s">
        <v>4539</v>
      </c>
      <c r="AE312" s="3286" t="s">
        <v>4427</v>
      </c>
      <c r="AF312" s="3286"/>
      <c r="AG312" s="3323"/>
      <c r="AH312" s="3255">
        <v>44010</v>
      </c>
      <c r="AI312" s="3255">
        <v>44015</v>
      </c>
      <c r="AJ312" s="3255">
        <v>44034</v>
      </c>
      <c r="AK312" s="3287">
        <f t="shared" si="65"/>
        <v>2020</v>
      </c>
      <c r="AL312" s="3288">
        <f t="shared" si="66"/>
        <v>7</v>
      </c>
      <c r="AM312" s="3226" t="s">
        <v>4433</v>
      </c>
      <c r="AN312" s="3289">
        <v>2280000</v>
      </c>
      <c r="AO312" s="3300"/>
      <c r="AP312" s="3300"/>
      <c r="AQ312" s="3300"/>
      <c r="AR312" s="3292"/>
      <c r="AS312" s="3292"/>
      <c r="AT312" s="3292"/>
      <c r="AU312" s="3293"/>
      <c r="AV312" s="3293"/>
      <c r="AW312" s="3294"/>
      <c r="AX312" s="3236"/>
      <c r="AY312" s="3244"/>
      <c r="AZ312" s="3325" t="s">
        <v>4429</v>
      </c>
      <c r="BA312" s="3296" t="str">
        <f t="shared" si="67"/>
        <v>签约</v>
      </c>
      <c r="BB312" s="3226"/>
      <c r="BC312" s="3226"/>
      <c r="BD312" s="3292"/>
      <c r="BE312" s="3297" t="s">
        <v>4449</v>
      </c>
      <c r="BG312" s="3297">
        <f>IFERROR(VLOOKUP(B312,[3]Sheet2!A$1:B$65536,2,FALSE),0)</f>
        <v>0</v>
      </c>
      <c r="BI312" s="3297">
        <f>IFERROR(VLOOKUP(B312,[3]Sheet2!A$1:C$65536,2,FALSE),0)</f>
        <v>0</v>
      </c>
      <c r="BJ312" s="3297">
        <f>IFERROR(VLOOKUP(B312,[3]Sheet2!A$1:C$65536,3,FALSE),0)</f>
        <v>0</v>
      </c>
    </row>
    <row r="313" spans="1:62" s="3261" customFormat="1" ht="20.25" customHeight="1">
      <c r="A313" s="3226">
        <v>311</v>
      </c>
      <c r="B313" s="3250" t="s">
        <v>4212</v>
      </c>
      <c r="C313" s="3250" t="s">
        <v>3009</v>
      </c>
      <c r="D313" s="3251" t="s">
        <v>4213</v>
      </c>
      <c r="E313" s="3229">
        <v>44003</v>
      </c>
      <c r="F313" s="3230">
        <v>200000</v>
      </c>
      <c r="G313" s="3231">
        <v>178.73</v>
      </c>
      <c r="H313" s="3231" t="str">
        <f t="shared" si="56"/>
        <v>非普通住宅</v>
      </c>
      <c r="I313" s="3230">
        <v>3415220</v>
      </c>
      <c r="J313" s="3229">
        <v>44007</v>
      </c>
      <c r="K313" s="3284">
        <f t="shared" si="57"/>
        <v>6</v>
      </c>
      <c r="L313" s="3230">
        <v>3298252</v>
      </c>
      <c r="M313" s="3235">
        <f t="shared" si="58"/>
        <v>18453.824204106753</v>
      </c>
      <c r="N313" s="3236">
        <v>1098252</v>
      </c>
      <c r="O313" s="3244">
        <f t="shared" si="59"/>
        <v>3298252</v>
      </c>
      <c r="P313" s="3244"/>
      <c r="Q313" s="3244"/>
      <c r="R313" s="3244">
        <f t="shared" si="60"/>
        <v>1298252</v>
      </c>
      <c r="S313" s="3244">
        <f t="shared" si="61"/>
        <v>1298252</v>
      </c>
      <c r="T313" s="3236"/>
      <c r="U313" s="3236"/>
      <c r="V313" s="3236">
        <v>2000000</v>
      </c>
      <c r="W313" s="3236"/>
      <c r="X313" s="3244">
        <f t="shared" si="62"/>
        <v>3298252</v>
      </c>
      <c r="Y313" s="3244">
        <f t="shared" si="63"/>
        <v>0</v>
      </c>
      <c r="Z313" s="3285">
        <f t="shared" si="64"/>
        <v>1</v>
      </c>
      <c r="AA313" s="3226" t="s">
        <v>3319</v>
      </c>
      <c r="AB313" s="3226" t="s">
        <v>4587</v>
      </c>
      <c r="AC313" s="3226" t="s">
        <v>4698</v>
      </c>
      <c r="AD313" s="3286" t="s">
        <v>4539</v>
      </c>
      <c r="AE313" s="3286" t="s">
        <v>4427</v>
      </c>
      <c r="AF313" s="3286"/>
      <c r="AG313" s="3323"/>
      <c r="AH313" s="3255">
        <v>44010</v>
      </c>
      <c r="AI313" s="3255">
        <v>44032</v>
      </c>
      <c r="AJ313" s="3255">
        <v>44036</v>
      </c>
      <c r="AK313" s="3287">
        <f t="shared" si="65"/>
        <v>2020</v>
      </c>
      <c r="AL313" s="3288">
        <f t="shared" si="66"/>
        <v>7</v>
      </c>
      <c r="AM313" s="3226" t="s">
        <v>4701</v>
      </c>
      <c r="AN313" s="3289">
        <v>2000000</v>
      </c>
      <c r="AO313" s="3300"/>
      <c r="AP313" s="3300"/>
      <c r="AQ313" s="3300"/>
      <c r="AR313" s="3292"/>
      <c r="AS313" s="3292"/>
      <c r="AT313" s="3292"/>
      <c r="AU313" s="3293"/>
      <c r="AV313" s="3293"/>
      <c r="AW313" s="3294"/>
      <c r="AX313" s="3236"/>
      <c r="AY313" s="3244"/>
      <c r="AZ313" s="3325" t="s">
        <v>4892</v>
      </c>
      <c r="BA313" s="3296" t="str">
        <f t="shared" si="67"/>
        <v>签约</v>
      </c>
      <c r="BB313" s="3226"/>
      <c r="BC313" s="3226"/>
      <c r="BD313" s="3292"/>
      <c r="BE313" s="3297" t="s">
        <v>4465</v>
      </c>
      <c r="BG313" s="3297">
        <f>IFERROR(VLOOKUP(B313,[3]Sheet2!A$1:B$65536,2,FALSE),0)</f>
        <v>0</v>
      </c>
      <c r="BI313" s="3297">
        <f>IFERROR(VLOOKUP(B313,[3]Sheet2!A$1:C$65536,2,FALSE),0)</f>
        <v>0</v>
      </c>
      <c r="BJ313" s="3297">
        <f>IFERROR(VLOOKUP(B313,[3]Sheet2!A$1:C$65536,3,FALSE),0)</f>
        <v>0</v>
      </c>
    </row>
    <row r="314" spans="1:62" s="3261" customFormat="1" ht="20.25" customHeight="1">
      <c r="A314" s="3226">
        <v>312</v>
      </c>
      <c r="B314" s="3250" t="s">
        <v>4214</v>
      </c>
      <c r="C314" s="3250" t="s">
        <v>3009</v>
      </c>
      <c r="D314" s="3251" t="s">
        <v>4215</v>
      </c>
      <c r="E314" s="3229">
        <v>44003</v>
      </c>
      <c r="F314" s="3230">
        <v>200000</v>
      </c>
      <c r="G314" s="3231">
        <v>178.73</v>
      </c>
      <c r="H314" s="3231" t="str">
        <f t="shared" si="56"/>
        <v>非普通住宅</v>
      </c>
      <c r="I314" s="3230">
        <v>3447210</v>
      </c>
      <c r="J314" s="3229">
        <v>44007</v>
      </c>
      <c r="K314" s="3284">
        <f t="shared" si="57"/>
        <v>6</v>
      </c>
      <c r="L314" s="3230">
        <v>3329606</v>
      </c>
      <c r="M314" s="3235">
        <f t="shared" si="58"/>
        <v>18629.250825267165</v>
      </c>
      <c r="N314" s="3236">
        <v>909606</v>
      </c>
      <c r="O314" s="3244">
        <f t="shared" si="59"/>
        <v>3329606</v>
      </c>
      <c r="P314" s="3244"/>
      <c r="Q314" s="3244"/>
      <c r="R314" s="3244">
        <f t="shared" si="60"/>
        <v>1109606</v>
      </c>
      <c r="S314" s="3244">
        <f t="shared" si="61"/>
        <v>1109606</v>
      </c>
      <c r="T314" s="3236"/>
      <c r="U314" s="3236"/>
      <c r="V314" s="3236">
        <v>2220000</v>
      </c>
      <c r="W314" s="3236"/>
      <c r="X314" s="3244">
        <f t="shared" si="62"/>
        <v>3329606</v>
      </c>
      <c r="Y314" s="3244">
        <f t="shared" si="63"/>
        <v>0</v>
      </c>
      <c r="Z314" s="3285">
        <f t="shared" si="64"/>
        <v>1</v>
      </c>
      <c r="AA314" s="3226" t="s">
        <v>3319</v>
      </c>
      <c r="AB314" s="3226" t="s">
        <v>4587</v>
      </c>
      <c r="AC314" s="3226" t="s">
        <v>4698</v>
      </c>
      <c r="AD314" s="3286" t="s">
        <v>4539</v>
      </c>
      <c r="AE314" s="3286" t="s">
        <v>4427</v>
      </c>
      <c r="AF314" s="3286"/>
      <c r="AG314" s="3323"/>
      <c r="AH314" s="3255">
        <v>44010</v>
      </c>
      <c r="AI314" s="3255">
        <v>44013</v>
      </c>
      <c r="AJ314" s="3255">
        <v>44021</v>
      </c>
      <c r="AK314" s="3287">
        <f t="shared" si="65"/>
        <v>2020</v>
      </c>
      <c r="AL314" s="3288">
        <f t="shared" si="66"/>
        <v>7</v>
      </c>
      <c r="AM314" s="3226" t="s">
        <v>4701</v>
      </c>
      <c r="AN314" s="3289">
        <v>2220000</v>
      </c>
      <c r="AO314" s="3300"/>
      <c r="AP314" s="3300"/>
      <c r="AQ314" s="3300"/>
      <c r="AR314" s="3292"/>
      <c r="AS314" s="3292"/>
      <c r="AT314" s="3292"/>
      <c r="AU314" s="3293"/>
      <c r="AV314" s="3293"/>
      <c r="AW314" s="3294"/>
      <c r="AX314" s="3236"/>
      <c r="AY314" s="3244"/>
      <c r="AZ314" s="3325" t="s">
        <v>4885</v>
      </c>
      <c r="BA314" s="3296" t="str">
        <f t="shared" si="67"/>
        <v>签约</v>
      </c>
      <c r="BB314" s="3226"/>
      <c r="BC314" s="3226"/>
      <c r="BD314" s="3292"/>
      <c r="BE314" s="3297" t="s">
        <v>4465</v>
      </c>
      <c r="BG314" s="3297">
        <f>IFERROR(VLOOKUP(B314,[3]Sheet2!A$1:B$65536,2,FALSE),0)</f>
        <v>0</v>
      </c>
      <c r="BI314" s="3297">
        <f>IFERROR(VLOOKUP(B314,[3]Sheet2!A$1:C$65536,2,FALSE),0)</f>
        <v>0</v>
      </c>
      <c r="BJ314" s="3297">
        <f>IFERROR(VLOOKUP(B314,[3]Sheet2!A$1:C$65536,3,FALSE),0)</f>
        <v>0</v>
      </c>
    </row>
    <row r="315" spans="1:62" s="3261" customFormat="1" ht="20.25" customHeight="1">
      <c r="A315" s="3226">
        <v>313</v>
      </c>
      <c r="B315" s="3250" t="s">
        <v>4216</v>
      </c>
      <c r="C315" s="3250" t="s">
        <v>3009</v>
      </c>
      <c r="D315" s="3251" t="s">
        <v>4217</v>
      </c>
      <c r="E315" s="3229">
        <v>44003</v>
      </c>
      <c r="F315" s="3230">
        <v>200000</v>
      </c>
      <c r="G315" s="3231">
        <v>178.73</v>
      </c>
      <c r="H315" s="3231" t="str">
        <f t="shared" si="56"/>
        <v>非普通住宅</v>
      </c>
      <c r="I315" s="3230">
        <v>3479200</v>
      </c>
      <c r="J315" s="3229">
        <v>44010</v>
      </c>
      <c r="K315" s="3284">
        <f t="shared" si="57"/>
        <v>6</v>
      </c>
      <c r="L315" s="3230">
        <v>3360959</v>
      </c>
      <c r="M315" s="3235">
        <f t="shared" si="58"/>
        <v>18804.67185139596</v>
      </c>
      <c r="N315" s="3236">
        <v>810959</v>
      </c>
      <c r="O315" s="3244">
        <f t="shared" si="59"/>
        <v>3360959</v>
      </c>
      <c r="P315" s="3244"/>
      <c r="Q315" s="3244"/>
      <c r="R315" s="3244">
        <f t="shared" si="60"/>
        <v>1010959</v>
      </c>
      <c r="S315" s="3244">
        <f t="shared" si="61"/>
        <v>1010959</v>
      </c>
      <c r="T315" s="3236"/>
      <c r="U315" s="3236"/>
      <c r="V315" s="3236">
        <v>2350000</v>
      </c>
      <c r="W315" s="3236"/>
      <c r="X315" s="3244">
        <f t="shared" si="62"/>
        <v>3360959</v>
      </c>
      <c r="Y315" s="3244">
        <f t="shared" si="63"/>
        <v>0</v>
      </c>
      <c r="Z315" s="3285">
        <f t="shared" si="64"/>
        <v>1</v>
      </c>
      <c r="AA315" s="3226" t="s">
        <v>3319</v>
      </c>
      <c r="AB315" s="3226" t="s">
        <v>4587</v>
      </c>
      <c r="AC315" s="3226" t="s">
        <v>4698</v>
      </c>
      <c r="AD315" s="3286" t="s">
        <v>4539</v>
      </c>
      <c r="AE315" s="3286" t="s">
        <v>4427</v>
      </c>
      <c r="AF315" s="3286"/>
      <c r="AG315" s="3323"/>
      <c r="AH315" s="3255">
        <v>44026</v>
      </c>
      <c r="AI315" s="3255">
        <v>44026</v>
      </c>
      <c r="AJ315" s="3255">
        <v>44047</v>
      </c>
      <c r="AK315" s="3287">
        <f t="shared" si="65"/>
        <v>2020</v>
      </c>
      <c r="AL315" s="3288">
        <f t="shared" si="66"/>
        <v>8</v>
      </c>
      <c r="AM315" s="3226" t="s">
        <v>4433</v>
      </c>
      <c r="AN315" s="3289">
        <v>2350000</v>
      </c>
      <c r="AO315" s="3300"/>
      <c r="AP315" s="3300"/>
      <c r="AQ315" s="3300"/>
      <c r="AR315" s="3292"/>
      <c r="AS315" s="3292"/>
      <c r="AT315" s="3292"/>
      <c r="AU315" s="3293"/>
      <c r="AV315" s="3293"/>
      <c r="AW315" s="3294"/>
      <c r="AX315" s="3236"/>
      <c r="AY315" s="3244"/>
      <c r="AZ315" s="3325" t="s">
        <v>4507</v>
      </c>
      <c r="BA315" s="3296" t="str">
        <f t="shared" si="67"/>
        <v>签约</v>
      </c>
      <c r="BB315" s="3226"/>
      <c r="BC315" s="3226"/>
      <c r="BD315" s="3292"/>
      <c r="BE315" s="3297" t="s">
        <v>4696</v>
      </c>
      <c r="BG315" s="3297">
        <f>IFERROR(VLOOKUP(B315,[3]Sheet2!A$1:B$65536,2,FALSE),0)</f>
        <v>0</v>
      </c>
      <c r="BI315" s="3297">
        <f>IFERROR(VLOOKUP(B315,[3]Sheet2!A$1:C$65536,2,FALSE),0)</f>
        <v>0</v>
      </c>
      <c r="BJ315" s="3297">
        <f>IFERROR(VLOOKUP(B315,[3]Sheet2!A$1:C$65536,3,FALSE),0)</f>
        <v>0</v>
      </c>
    </row>
    <row r="316" spans="1:62" s="3261" customFormat="1" ht="20.25" customHeight="1">
      <c r="A316" s="3226">
        <v>314</v>
      </c>
      <c r="B316" s="3250" t="s">
        <v>4218</v>
      </c>
      <c r="C316" s="3250" t="s">
        <v>3009</v>
      </c>
      <c r="D316" s="3251" t="s">
        <v>4219</v>
      </c>
      <c r="E316" s="3229">
        <v>44003</v>
      </c>
      <c r="F316" s="3230">
        <v>200000</v>
      </c>
      <c r="G316" s="3231">
        <v>206.23</v>
      </c>
      <c r="H316" s="3231" t="str">
        <f t="shared" si="56"/>
        <v>非普通住宅</v>
      </c>
      <c r="I316" s="3230">
        <v>3846574</v>
      </c>
      <c r="J316" s="3229">
        <v>44007</v>
      </c>
      <c r="K316" s="3284">
        <f t="shared" si="57"/>
        <v>6</v>
      </c>
      <c r="L316" s="3230">
        <v>3721022</v>
      </c>
      <c r="M316" s="3235">
        <f t="shared" si="58"/>
        <v>18043.06841875576</v>
      </c>
      <c r="N316" s="3236">
        <v>921022</v>
      </c>
      <c r="O316" s="3244">
        <f t="shared" si="59"/>
        <v>3721022</v>
      </c>
      <c r="P316" s="3244"/>
      <c r="Q316" s="3244"/>
      <c r="R316" s="3244">
        <f t="shared" si="60"/>
        <v>1121022</v>
      </c>
      <c r="S316" s="3244">
        <f t="shared" si="61"/>
        <v>1121022</v>
      </c>
      <c r="T316" s="3236"/>
      <c r="U316" s="3236"/>
      <c r="V316" s="3236">
        <v>2600000</v>
      </c>
      <c r="W316" s="3236"/>
      <c r="X316" s="3244">
        <f t="shared" si="62"/>
        <v>3721022</v>
      </c>
      <c r="Y316" s="3244">
        <f t="shared" si="63"/>
        <v>0</v>
      </c>
      <c r="Z316" s="3285">
        <f t="shared" si="64"/>
        <v>1</v>
      </c>
      <c r="AA316" s="3226" t="s">
        <v>3319</v>
      </c>
      <c r="AB316" s="3226" t="s">
        <v>4587</v>
      </c>
      <c r="AC316" s="3226" t="s">
        <v>4698</v>
      </c>
      <c r="AD316" s="3286" t="s">
        <v>4539</v>
      </c>
      <c r="AE316" s="3286" t="s">
        <v>4427</v>
      </c>
      <c r="AF316" s="3286"/>
      <c r="AG316" s="3323"/>
      <c r="AH316" s="3255">
        <v>44010</v>
      </c>
      <c r="AI316" s="3255">
        <v>44013</v>
      </c>
      <c r="AJ316" s="3255">
        <v>44021</v>
      </c>
      <c r="AK316" s="3287">
        <f t="shared" si="65"/>
        <v>2020</v>
      </c>
      <c r="AL316" s="3288">
        <f t="shared" si="66"/>
        <v>7</v>
      </c>
      <c r="AM316" s="3226" t="s">
        <v>4792</v>
      </c>
      <c r="AN316" s="3289">
        <v>2600000</v>
      </c>
      <c r="AO316" s="3300"/>
      <c r="AP316" s="3300"/>
      <c r="AQ316" s="3300"/>
      <c r="AR316" s="3292"/>
      <c r="AS316" s="3292"/>
      <c r="AT316" s="3292"/>
      <c r="AU316" s="3293"/>
      <c r="AV316" s="3293"/>
      <c r="AW316" s="3294"/>
      <c r="AX316" s="3236"/>
      <c r="AY316" s="3244"/>
      <c r="AZ316" s="3325" t="s">
        <v>4441</v>
      </c>
      <c r="BA316" s="3296" t="str">
        <f t="shared" si="67"/>
        <v>签约</v>
      </c>
      <c r="BB316" s="3226"/>
      <c r="BC316" s="3226"/>
      <c r="BD316" s="3292"/>
      <c r="BE316" s="3297" t="s">
        <v>4449</v>
      </c>
      <c r="BG316" s="3297">
        <f>IFERROR(VLOOKUP(B316,[3]Sheet2!A$1:B$65536,2,FALSE),0)</f>
        <v>0</v>
      </c>
      <c r="BI316" s="3297">
        <f>IFERROR(VLOOKUP(B316,[3]Sheet2!A$1:C$65536,2,FALSE),0)</f>
        <v>0</v>
      </c>
      <c r="BJ316" s="3297">
        <f>IFERROR(VLOOKUP(B316,[3]Sheet2!A$1:C$65536,3,FALSE),0)</f>
        <v>0</v>
      </c>
    </row>
    <row r="317" spans="1:62" s="3261" customFormat="1" ht="20.25" customHeight="1">
      <c r="A317" s="3226">
        <v>315</v>
      </c>
      <c r="B317" s="3250" t="s">
        <v>4220</v>
      </c>
      <c r="C317" s="3250" t="s">
        <v>3009</v>
      </c>
      <c r="D317" s="3251" t="s">
        <v>4221</v>
      </c>
      <c r="E317" s="3229">
        <v>44003</v>
      </c>
      <c r="F317" s="3230">
        <v>200000</v>
      </c>
      <c r="G317" s="3231">
        <v>216.67</v>
      </c>
      <c r="H317" s="3231" t="str">
        <f t="shared" si="56"/>
        <v>非普通住宅</v>
      </c>
      <c r="I317" s="3230">
        <v>4875124</v>
      </c>
      <c r="J317" s="3229">
        <v>44010</v>
      </c>
      <c r="K317" s="3284">
        <f t="shared" si="57"/>
        <v>6</v>
      </c>
      <c r="L317" s="3230">
        <v>4729104</v>
      </c>
      <c r="M317" s="3235">
        <f t="shared" si="58"/>
        <v>21826.298056952972</v>
      </c>
      <c r="N317" s="3236">
        <f>1219104+10000</f>
        <v>1229104</v>
      </c>
      <c r="O317" s="3244">
        <f t="shared" si="59"/>
        <v>4729104</v>
      </c>
      <c r="P317" s="3244"/>
      <c r="Q317" s="3244"/>
      <c r="R317" s="3244">
        <f t="shared" si="60"/>
        <v>1429104</v>
      </c>
      <c r="S317" s="3244">
        <f t="shared" si="61"/>
        <v>1429104</v>
      </c>
      <c r="T317" s="3236"/>
      <c r="U317" s="3236"/>
      <c r="V317" s="3236">
        <v>3300000</v>
      </c>
      <c r="W317" s="3236"/>
      <c r="X317" s="3244">
        <f t="shared" si="62"/>
        <v>4729104</v>
      </c>
      <c r="Y317" s="3244">
        <f t="shared" si="63"/>
        <v>0</v>
      </c>
      <c r="Z317" s="3285">
        <f t="shared" si="64"/>
        <v>1</v>
      </c>
      <c r="AA317" s="3226" t="s">
        <v>3319</v>
      </c>
      <c r="AB317" s="3226" t="s">
        <v>4587</v>
      </c>
      <c r="AC317" s="3226" t="s">
        <v>4698</v>
      </c>
      <c r="AD317" s="3286" t="s">
        <v>4539</v>
      </c>
      <c r="AE317" s="3286" t="s">
        <v>4427</v>
      </c>
      <c r="AF317" s="3286"/>
      <c r="AG317" s="3323"/>
      <c r="AH317" s="3255">
        <v>44010</v>
      </c>
      <c r="AI317" s="3255">
        <v>44015</v>
      </c>
      <c r="AJ317" s="3255">
        <v>44021</v>
      </c>
      <c r="AK317" s="3287">
        <f t="shared" si="65"/>
        <v>2020</v>
      </c>
      <c r="AL317" s="3288">
        <f t="shared" si="66"/>
        <v>7</v>
      </c>
      <c r="AM317" s="3226" t="s">
        <v>4777</v>
      </c>
      <c r="AN317" s="3289">
        <v>3300000</v>
      </c>
      <c r="AO317" s="3300"/>
      <c r="AP317" s="3300"/>
      <c r="AQ317" s="3300"/>
      <c r="AR317" s="3292"/>
      <c r="AS317" s="3292"/>
      <c r="AT317" s="3292"/>
      <c r="AU317" s="3293"/>
      <c r="AV317" s="3293"/>
      <c r="AW317" s="3294"/>
      <c r="AX317" s="3236"/>
      <c r="AY317" s="3244"/>
      <c r="AZ317" s="3325" t="s">
        <v>4882</v>
      </c>
      <c r="BA317" s="3296" t="str">
        <f t="shared" si="67"/>
        <v>签约</v>
      </c>
      <c r="BB317" s="3226"/>
      <c r="BC317" s="3226"/>
      <c r="BD317" s="3292"/>
      <c r="BE317" s="3297" t="s">
        <v>4449</v>
      </c>
      <c r="BG317" s="3297">
        <f>IFERROR(VLOOKUP(B317,[3]Sheet2!A$1:B$65536,2,FALSE),0)</f>
        <v>0</v>
      </c>
      <c r="BI317" s="3297">
        <f>IFERROR(VLOOKUP(B317,[3]Sheet2!A$1:C$65536,2,FALSE),0)</f>
        <v>0</v>
      </c>
      <c r="BJ317" s="3297">
        <f>IFERROR(VLOOKUP(B317,[3]Sheet2!A$1:C$65536,3,FALSE),0)</f>
        <v>0</v>
      </c>
    </row>
    <row r="318" spans="1:62" s="3261" customFormat="1" ht="20.25" customHeight="1">
      <c r="A318" s="3226">
        <v>316</v>
      </c>
      <c r="B318" s="3250" t="s">
        <v>4222</v>
      </c>
      <c r="C318" s="3250" t="s">
        <v>3009</v>
      </c>
      <c r="D318" s="3251" t="s">
        <v>4223</v>
      </c>
      <c r="E318" s="3229">
        <v>44003</v>
      </c>
      <c r="F318" s="3230">
        <v>200000</v>
      </c>
      <c r="G318" s="3231">
        <v>186.34</v>
      </c>
      <c r="H318" s="3231" t="str">
        <f t="shared" si="56"/>
        <v>非普通住宅</v>
      </c>
      <c r="I318" s="3230">
        <v>4345843</v>
      </c>
      <c r="J318" s="3229">
        <v>44007</v>
      </c>
      <c r="K318" s="3284">
        <f t="shared" si="57"/>
        <v>6</v>
      </c>
      <c r="L318" s="3230">
        <v>4210356</v>
      </c>
      <c r="M318" s="3235">
        <f t="shared" si="58"/>
        <v>22595.019856176881</v>
      </c>
      <c r="N318" s="3236">
        <v>1070356</v>
      </c>
      <c r="O318" s="3244">
        <f t="shared" si="59"/>
        <v>4210356</v>
      </c>
      <c r="P318" s="3244"/>
      <c r="Q318" s="3244"/>
      <c r="R318" s="3244">
        <f t="shared" si="60"/>
        <v>1270356</v>
      </c>
      <c r="S318" s="3244">
        <f t="shared" si="61"/>
        <v>1270356</v>
      </c>
      <c r="T318" s="3236"/>
      <c r="U318" s="3236"/>
      <c r="V318" s="3236">
        <v>2940000</v>
      </c>
      <c r="W318" s="3236"/>
      <c r="X318" s="3244">
        <f t="shared" si="62"/>
        <v>4210356</v>
      </c>
      <c r="Y318" s="3244">
        <f t="shared" si="63"/>
        <v>0</v>
      </c>
      <c r="Z318" s="3285">
        <f t="shared" si="64"/>
        <v>1</v>
      </c>
      <c r="AA318" s="3226" t="s">
        <v>3319</v>
      </c>
      <c r="AB318" s="3226" t="s">
        <v>4587</v>
      </c>
      <c r="AC318" s="3226" t="s">
        <v>4698</v>
      </c>
      <c r="AD318" s="3286" t="s">
        <v>4539</v>
      </c>
      <c r="AE318" s="3286" t="s">
        <v>4427</v>
      </c>
      <c r="AF318" s="3286"/>
      <c r="AG318" s="3323"/>
      <c r="AH318" s="3255">
        <v>44010</v>
      </c>
      <c r="AI318" s="3255">
        <v>44013</v>
      </c>
      <c r="AJ318" s="3255">
        <v>44021</v>
      </c>
      <c r="AK318" s="3287">
        <f t="shared" si="65"/>
        <v>2020</v>
      </c>
      <c r="AL318" s="3288">
        <f t="shared" si="66"/>
        <v>7</v>
      </c>
      <c r="AM318" s="3226" t="s">
        <v>4701</v>
      </c>
      <c r="AN318" s="3289">
        <v>2940000</v>
      </c>
      <c r="AO318" s="3300"/>
      <c r="AP318" s="3300"/>
      <c r="AQ318" s="3300"/>
      <c r="AR318" s="3292"/>
      <c r="AS318" s="3292"/>
      <c r="AT318" s="3292"/>
      <c r="AU318" s="3293"/>
      <c r="AV318" s="3293"/>
      <c r="AW318" s="3294"/>
      <c r="AX318" s="3236"/>
      <c r="AY318" s="3244"/>
      <c r="AZ318" s="3325" t="s">
        <v>4441</v>
      </c>
      <c r="BA318" s="3296" t="str">
        <f t="shared" si="67"/>
        <v>签约</v>
      </c>
      <c r="BB318" s="3226"/>
      <c r="BC318" s="3226"/>
      <c r="BD318" s="3292"/>
      <c r="BE318" s="3297" t="s">
        <v>4696</v>
      </c>
      <c r="BG318" s="3297">
        <f>IFERROR(VLOOKUP(B318,[3]Sheet2!A$1:B$65536,2,FALSE),0)</f>
        <v>0</v>
      </c>
      <c r="BI318" s="3297">
        <f>IFERROR(VLOOKUP(B318,[3]Sheet2!A$1:C$65536,2,FALSE),0)</f>
        <v>0</v>
      </c>
      <c r="BJ318" s="3297">
        <f>IFERROR(VLOOKUP(B318,[3]Sheet2!A$1:C$65536,3,FALSE),0)</f>
        <v>0</v>
      </c>
    </row>
    <row r="319" spans="1:62" s="3261" customFormat="1" ht="20.25" customHeight="1">
      <c r="A319" s="3226">
        <v>317</v>
      </c>
      <c r="B319" s="3250" t="s">
        <v>4224</v>
      </c>
      <c r="C319" s="3250" t="s">
        <v>3009</v>
      </c>
      <c r="D319" s="3251" t="s">
        <v>4225</v>
      </c>
      <c r="E319" s="3229">
        <v>44003</v>
      </c>
      <c r="F319" s="3230">
        <v>200000</v>
      </c>
      <c r="G319" s="3231">
        <v>186.34</v>
      </c>
      <c r="H319" s="3231" t="str">
        <f t="shared" si="56"/>
        <v>非普通住宅</v>
      </c>
      <c r="I319" s="3230">
        <v>4400288</v>
      </c>
      <c r="J319" s="3229">
        <v>44010</v>
      </c>
      <c r="K319" s="3284">
        <f t="shared" si="57"/>
        <v>6</v>
      </c>
      <c r="L319" s="3230">
        <v>4242183</v>
      </c>
      <c r="M319" s="3235">
        <f t="shared" si="58"/>
        <v>22765.820543093268</v>
      </c>
      <c r="N319" s="3236">
        <f>1082183+1960000+1000000</f>
        <v>4042183</v>
      </c>
      <c r="O319" s="3244">
        <f t="shared" si="59"/>
        <v>4242183</v>
      </c>
      <c r="P319" s="3244"/>
      <c r="Q319" s="3244"/>
      <c r="R319" s="3244">
        <f t="shared" si="60"/>
        <v>4242183</v>
      </c>
      <c r="S319" s="3244">
        <f t="shared" si="61"/>
        <v>4242183</v>
      </c>
      <c r="T319" s="3236"/>
      <c r="U319" s="3236"/>
      <c r="V319" s="3236"/>
      <c r="W319" s="3236"/>
      <c r="X319" s="3244">
        <f t="shared" si="62"/>
        <v>4242183</v>
      </c>
      <c r="Y319" s="3244">
        <f t="shared" si="63"/>
        <v>0</v>
      </c>
      <c r="Z319" s="3285">
        <f t="shared" si="64"/>
        <v>1</v>
      </c>
      <c r="AA319" s="3226" t="s">
        <v>3319</v>
      </c>
      <c r="AB319" s="3226" t="s">
        <v>4676</v>
      </c>
      <c r="AC319" s="3226"/>
      <c r="AD319" s="3286"/>
      <c r="AE319" s="3286"/>
      <c r="AF319" s="3286"/>
      <c r="AG319" s="3323"/>
      <c r="AH319" s="3255"/>
      <c r="AI319" s="3255"/>
      <c r="AJ319" s="3255"/>
      <c r="AK319" s="3287" t="str">
        <f t="shared" si="65"/>
        <v/>
      </c>
      <c r="AL319" s="3288" t="str">
        <f t="shared" si="66"/>
        <v/>
      </c>
      <c r="AM319" s="3226"/>
      <c r="AN319" s="3289"/>
      <c r="AO319" s="3300"/>
      <c r="AP319" s="3300"/>
      <c r="AQ319" s="3300"/>
      <c r="AR319" s="3292"/>
      <c r="AS319" s="3292"/>
      <c r="AT319" s="3292"/>
      <c r="AU319" s="3293"/>
      <c r="AV319" s="3293"/>
      <c r="AW319" s="3294"/>
      <c r="AX319" s="3236"/>
      <c r="AY319" s="3244"/>
      <c r="AZ319" s="3325" t="s">
        <v>3385</v>
      </c>
      <c r="BA319" s="3296" t="str">
        <f t="shared" si="67"/>
        <v>签约</v>
      </c>
      <c r="BB319" s="3226"/>
      <c r="BC319" s="3226"/>
      <c r="BD319" s="3292"/>
      <c r="BE319" s="3297" t="s">
        <v>4449</v>
      </c>
      <c r="BG319" s="3297">
        <f>IFERROR(VLOOKUP(B319,[3]Sheet2!A$1:B$65536,2,FALSE),0)</f>
        <v>0</v>
      </c>
      <c r="BI319" s="3297">
        <f>IFERROR(VLOOKUP(B319,[3]Sheet2!A$1:C$65536,2,FALSE),0)</f>
        <v>0</v>
      </c>
      <c r="BJ319" s="3297">
        <f>IFERROR(VLOOKUP(B319,[3]Sheet2!A$1:C$65536,3,FALSE),0)</f>
        <v>0</v>
      </c>
    </row>
    <row r="320" spans="1:62" s="3261" customFormat="1" ht="20.25" customHeight="1">
      <c r="A320" s="3226">
        <v>318</v>
      </c>
      <c r="B320" s="3250" t="s">
        <v>4226</v>
      </c>
      <c r="C320" s="3250" t="s">
        <v>3009</v>
      </c>
      <c r="D320" s="3251" t="s">
        <v>4227</v>
      </c>
      <c r="E320" s="3229">
        <v>44003</v>
      </c>
      <c r="F320" s="3230">
        <v>200000</v>
      </c>
      <c r="G320" s="3231">
        <v>216.67</v>
      </c>
      <c r="H320" s="3231" t="str">
        <f t="shared" si="56"/>
        <v>非普通住宅</v>
      </c>
      <c r="I320" s="3230">
        <v>5116307</v>
      </c>
      <c r="J320" s="3229">
        <v>44007</v>
      </c>
      <c r="K320" s="3284">
        <f t="shared" si="57"/>
        <v>6</v>
      </c>
      <c r="L320" s="3230">
        <v>4965487</v>
      </c>
      <c r="M320" s="3235">
        <f t="shared" si="58"/>
        <v>22917.279734157939</v>
      </c>
      <c r="N320" s="3236">
        <f>1295487+2470000</f>
        <v>3765487</v>
      </c>
      <c r="O320" s="3244">
        <f t="shared" si="59"/>
        <v>4965487</v>
      </c>
      <c r="P320" s="3244"/>
      <c r="Q320" s="3244"/>
      <c r="R320" s="3244">
        <f t="shared" si="60"/>
        <v>3965487</v>
      </c>
      <c r="S320" s="3244">
        <f t="shared" si="61"/>
        <v>3965487</v>
      </c>
      <c r="T320" s="3236"/>
      <c r="U320" s="3236"/>
      <c r="V320" s="3236">
        <v>1000000</v>
      </c>
      <c r="W320" s="3236"/>
      <c r="X320" s="3244">
        <f t="shared" si="62"/>
        <v>4965487</v>
      </c>
      <c r="Y320" s="3244">
        <f t="shared" si="63"/>
        <v>0</v>
      </c>
      <c r="Z320" s="3285">
        <f t="shared" si="64"/>
        <v>1</v>
      </c>
      <c r="AA320" s="3226" t="s">
        <v>3319</v>
      </c>
      <c r="AB320" s="3226" t="s">
        <v>4587</v>
      </c>
      <c r="AC320" s="3226" t="s">
        <v>4698</v>
      </c>
      <c r="AD320" s="3286" t="s">
        <v>4539</v>
      </c>
      <c r="AE320" s="3286" t="s">
        <v>4427</v>
      </c>
      <c r="AF320" s="3286"/>
      <c r="AG320" s="3323"/>
      <c r="AH320" s="3255">
        <v>44010</v>
      </c>
      <c r="AI320" s="3255">
        <v>44015</v>
      </c>
      <c r="AJ320" s="3255">
        <v>44021</v>
      </c>
      <c r="AK320" s="3287">
        <f t="shared" si="65"/>
        <v>2020</v>
      </c>
      <c r="AL320" s="3288">
        <f t="shared" si="66"/>
        <v>7</v>
      </c>
      <c r="AM320" s="3226" t="s">
        <v>4792</v>
      </c>
      <c r="AN320" s="3289">
        <v>1000000</v>
      </c>
      <c r="AO320" s="3300"/>
      <c r="AP320" s="3300"/>
      <c r="AQ320" s="3300"/>
      <c r="AR320" s="3292"/>
      <c r="AS320" s="3292"/>
      <c r="AT320" s="3292"/>
      <c r="AU320" s="3293"/>
      <c r="AV320" s="3293"/>
      <c r="AW320" s="3294"/>
      <c r="AX320" s="3236"/>
      <c r="AY320" s="3244"/>
      <c r="AZ320" s="3325" t="s">
        <v>4507</v>
      </c>
      <c r="BA320" s="3296" t="str">
        <f t="shared" si="67"/>
        <v>签约</v>
      </c>
      <c r="BB320" s="3226"/>
      <c r="BC320" s="3226"/>
      <c r="BD320" s="3292"/>
      <c r="BE320" s="3297" t="s">
        <v>4465</v>
      </c>
      <c r="BG320" s="3297">
        <f>IFERROR(VLOOKUP(B320,[3]Sheet2!A$1:B$65536,2,FALSE),0)</f>
        <v>0</v>
      </c>
      <c r="BI320" s="3297">
        <f>IFERROR(VLOOKUP(B320,[3]Sheet2!A$1:C$65536,2,FALSE),0)</f>
        <v>0</v>
      </c>
      <c r="BJ320" s="3297">
        <f>IFERROR(VLOOKUP(B320,[3]Sheet2!A$1:C$65536,3,FALSE),0)</f>
        <v>0</v>
      </c>
    </row>
    <row r="321" spans="1:62" s="3261" customFormat="1" ht="20.25" customHeight="1">
      <c r="A321" s="3226">
        <v>319</v>
      </c>
      <c r="B321" s="3250" t="s">
        <v>4228</v>
      </c>
      <c r="C321" s="3250" t="s">
        <v>3009</v>
      </c>
      <c r="D321" s="3251" t="s">
        <v>4229</v>
      </c>
      <c r="E321" s="3229">
        <v>44004</v>
      </c>
      <c r="F321" s="3230">
        <v>200000</v>
      </c>
      <c r="G321" s="3231">
        <v>208.14</v>
      </c>
      <c r="H321" s="3231" t="str">
        <f t="shared" si="56"/>
        <v>非普通住宅</v>
      </c>
      <c r="I321" s="3230">
        <v>3877612</v>
      </c>
      <c r="J321" s="3229">
        <v>44022</v>
      </c>
      <c r="K321" s="3284">
        <f t="shared" si="57"/>
        <v>7</v>
      </c>
      <c r="L321" s="3230">
        <v>3731443</v>
      </c>
      <c r="M321" s="3235">
        <f t="shared" si="58"/>
        <v>17927.563178629771</v>
      </c>
      <c r="N321" s="3236">
        <v>1000000</v>
      </c>
      <c r="O321" s="3244">
        <f t="shared" si="59"/>
        <v>3731443</v>
      </c>
      <c r="P321" s="3244"/>
      <c r="Q321" s="3244"/>
      <c r="R321" s="3244">
        <f t="shared" si="60"/>
        <v>1200000</v>
      </c>
      <c r="S321" s="3244">
        <f t="shared" si="61"/>
        <v>1200000</v>
      </c>
      <c r="T321" s="3236"/>
      <c r="U321" s="3236"/>
      <c r="V321" s="3236"/>
      <c r="W321" s="3236"/>
      <c r="X321" s="3244">
        <f t="shared" si="62"/>
        <v>1200000</v>
      </c>
      <c r="Y321" s="3244">
        <f t="shared" si="63"/>
        <v>2531443</v>
      </c>
      <c r="Z321" s="3285">
        <f t="shared" si="64"/>
        <v>0.32159140579127166</v>
      </c>
      <c r="AA321" s="3226" t="s">
        <v>3319</v>
      </c>
      <c r="AB321" s="3226" t="s">
        <v>4587</v>
      </c>
      <c r="AC321" s="3226" t="s">
        <v>4698</v>
      </c>
      <c r="AD321" s="3286" t="s">
        <v>4773</v>
      </c>
      <c r="AE321" s="3286" t="s">
        <v>4774</v>
      </c>
      <c r="AF321" s="3286"/>
      <c r="AG321" s="3323"/>
      <c r="AH321" s="3255"/>
      <c r="AI321" s="3255"/>
      <c r="AJ321" s="3255"/>
      <c r="AK321" s="3287" t="str">
        <f t="shared" si="65"/>
        <v/>
      </c>
      <c r="AL321" s="3288" t="str">
        <f t="shared" si="66"/>
        <v/>
      </c>
      <c r="AM321" s="3226"/>
      <c r="AN321" s="3289"/>
      <c r="AO321" s="3300"/>
      <c r="AP321" s="3300"/>
      <c r="AQ321" s="3300"/>
      <c r="AR321" s="3292"/>
      <c r="AS321" s="3292"/>
      <c r="AT321" s="3292"/>
      <c r="AU321" s="3293"/>
      <c r="AV321" s="3293"/>
      <c r="AW321" s="3294"/>
      <c r="AX321" s="3236"/>
      <c r="AY321" s="3244"/>
      <c r="AZ321" s="3325" t="s">
        <v>4445</v>
      </c>
      <c r="BA321" s="3296" t="str">
        <f t="shared" si="67"/>
        <v>签约</v>
      </c>
      <c r="BB321" s="3226"/>
      <c r="BC321" s="3226"/>
      <c r="BD321" s="3292"/>
      <c r="BE321" s="3297" t="s">
        <v>4696</v>
      </c>
      <c r="BG321" s="3297">
        <f>IFERROR(VLOOKUP(B321,[3]Sheet2!A$1:B$65536,2,FALSE),0)</f>
        <v>0</v>
      </c>
      <c r="BI321" s="3297">
        <f>IFERROR(VLOOKUP(B321,[3]Sheet2!A$1:C$65536,2,FALSE),0)</f>
        <v>0</v>
      </c>
      <c r="BJ321" s="3297">
        <f>IFERROR(VLOOKUP(B321,[3]Sheet2!A$1:C$65536,3,FALSE),0)</f>
        <v>0</v>
      </c>
    </row>
    <row r="322" spans="1:62" s="3261" customFormat="1" ht="20.25" customHeight="1">
      <c r="A322" s="3226">
        <v>320</v>
      </c>
      <c r="B322" s="3250" t="s">
        <v>4893</v>
      </c>
      <c r="C322" s="3250" t="s">
        <v>3009</v>
      </c>
      <c r="D322" s="3251"/>
      <c r="E322" s="3229"/>
      <c r="F322" s="3230"/>
      <c r="G322" s="3231">
        <v>180.37</v>
      </c>
      <c r="H322" s="3231" t="str">
        <f t="shared" si="56"/>
        <v>非普通住宅</v>
      </c>
      <c r="I322" s="3230">
        <v>3481242</v>
      </c>
      <c r="J322" s="3229"/>
      <c r="K322" s="3284" t="str">
        <f t="shared" si="57"/>
        <v/>
      </c>
      <c r="L322" s="3230"/>
      <c r="M322" s="3235">
        <f t="shared" si="58"/>
        <v>0</v>
      </c>
      <c r="N322" s="3236"/>
      <c r="O322" s="3244">
        <f t="shared" si="59"/>
        <v>0</v>
      </c>
      <c r="P322" s="3244"/>
      <c r="Q322" s="3244"/>
      <c r="R322" s="3244">
        <f t="shared" si="60"/>
        <v>0</v>
      </c>
      <c r="S322" s="3244">
        <f t="shared" si="61"/>
        <v>0</v>
      </c>
      <c r="T322" s="3236"/>
      <c r="U322" s="3236"/>
      <c r="V322" s="3236"/>
      <c r="W322" s="3236"/>
      <c r="X322" s="3244">
        <f t="shared" si="62"/>
        <v>0</v>
      </c>
      <c r="Y322" s="3244">
        <f t="shared" si="63"/>
        <v>0</v>
      </c>
      <c r="Z322" s="3285" t="e">
        <f t="shared" si="64"/>
        <v>#DIV/0!</v>
      </c>
      <c r="AA322" s="3226"/>
      <c r="AB322" s="3226"/>
      <c r="AC322" s="3226"/>
      <c r="AD322" s="3286"/>
      <c r="AE322" s="3286"/>
      <c r="AF322" s="3286"/>
      <c r="AG322" s="3323"/>
      <c r="AH322" s="3255"/>
      <c r="AI322" s="3255"/>
      <c r="AJ322" s="3255"/>
      <c r="AK322" s="3287" t="str">
        <f t="shared" si="65"/>
        <v/>
      </c>
      <c r="AL322" s="3288" t="str">
        <f t="shared" si="66"/>
        <v/>
      </c>
      <c r="AM322" s="3226"/>
      <c r="AN322" s="3289"/>
      <c r="AO322" s="3300"/>
      <c r="AP322" s="3300"/>
      <c r="AQ322" s="3300"/>
      <c r="AR322" s="3292"/>
      <c r="AS322" s="3292"/>
      <c r="AT322" s="3292"/>
      <c r="AU322" s="3293"/>
      <c r="AV322" s="3293"/>
      <c r="AW322" s="3294"/>
      <c r="AX322" s="3236"/>
      <c r="AY322" s="3244"/>
      <c r="AZ322" s="3325"/>
      <c r="BA322" s="3296" t="str">
        <f t="shared" si="67"/>
        <v>未售</v>
      </c>
      <c r="BB322" s="3226"/>
      <c r="BC322" s="3226"/>
      <c r="BD322" s="3292"/>
      <c r="BE322" s="3297"/>
      <c r="BG322" s="3297">
        <f>IFERROR(VLOOKUP(B322,[3]Sheet2!A$1:B$65536,2,FALSE),0)</f>
        <v>0</v>
      </c>
      <c r="BI322" s="3297">
        <f>IFERROR(VLOOKUP(B322,[3]Sheet2!A$1:C$65536,2,FALSE),0)</f>
        <v>0</v>
      </c>
      <c r="BJ322" s="3297">
        <f>IFERROR(VLOOKUP(B322,[3]Sheet2!A$1:C$65536,3,FALSE),0)</f>
        <v>0</v>
      </c>
    </row>
    <row r="323" spans="1:62" s="3261" customFormat="1" ht="20.25" customHeight="1">
      <c r="A323" s="3226">
        <v>321</v>
      </c>
      <c r="B323" s="3250" t="s">
        <v>4230</v>
      </c>
      <c r="C323" s="3250" t="s">
        <v>3009</v>
      </c>
      <c r="D323" s="3251" t="s">
        <v>4231</v>
      </c>
      <c r="E323" s="3229">
        <v>44003</v>
      </c>
      <c r="F323" s="3230">
        <v>200000</v>
      </c>
      <c r="G323" s="3231">
        <v>180.37</v>
      </c>
      <c r="H323" s="3231" t="str">
        <f t="shared" si="56"/>
        <v>非普通住宅</v>
      </c>
      <c r="I323" s="3230">
        <v>3535126</v>
      </c>
      <c r="J323" s="3229">
        <v>44010</v>
      </c>
      <c r="K323" s="3284">
        <f t="shared" si="57"/>
        <v>6</v>
      </c>
      <c r="L323" s="3230">
        <v>3415772</v>
      </c>
      <c r="M323" s="3235">
        <f t="shared" si="58"/>
        <v>18937.583855408328</v>
      </c>
      <c r="N323" s="3236">
        <v>1215772</v>
      </c>
      <c r="O323" s="3244">
        <f t="shared" si="59"/>
        <v>3415772</v>
      </c>
      <c r="P323" s="3244"/>
      <c r="Q323" s="3244"/>
      <c r="R323" s="3244">
        <f t="shared" si="60"/>
        <v>1415772</v>
      </c>
      <c r="S323" s="3244">
        <f t="shared" si="61"/>
        <v>1415772</v>
      </c>
      <c r="T323" s="3236"/>
      <c r="U323" s="3236"/>
      <c r="V323" s="3236">
        <v>2000000</v>
      </c>
      <c r="W323" s="3236"/>
      <c r="X323" s="3244">
        <f t="shared" si="62"/>
        <v>3415772</v>
      </c>
      <c r="Y323" s="3244">
        <f t="shared" si="63"/>
        <v>0</v>
      </c>
      <c r="Z323" s="3285">
        <f t="shared" si="64"/>
        <v>1</v>
      </c>
      <c r="AA323" s="3226" t="s">
        <v>3319</v>
      </c>
      <c r="AB323" s="3226" t="s">
        <v>4587</v>
      </c>
      <c r="AC323" s="3226" t="s">
        <v>4698</v>
      </c>
      <c r="AD323" s="3286" t="s">
        <v>4539</v>
      </c>
      <c r="AE323" s="3286" t="s">
        <v>4427</v>
      </c>
      <c r="AF323" s="3286"/>
      <c r="AG323" s="3323"/>
      <c r="AH323" s="3255">
        <v>44026</v>
      </c>
      <c r="AI323" s="3255">
        <v>44026</v>
      </c>
      <c r="AJ323" s="3255">
        <v>44035</v>
      </c>
      <c r="AK323" s="3287">
        <f t="shared" si="65"/>
        <v>2020</v>
      </c>
      <c r="AL323" s="3288">
        <f t="shared" si="66"/>
        <v>7</v>
      </c>
      <c r="AM323" s="3226" t="s">
        <v>4881</v>
      </c>
      <c r="AN323" s="3289">
        <v>2000000</v>
      </c>
      <c r="AO323" s="3300"/>
      <c r="AP323" s="3300"/>
      <c r="AQ323" s="3300"/>
      <c r="AR323" s="3292"/>
      <c r="AS323" s="3292"/>
      <c r="AT323" s="3292"/>
      <c r="AU323" s="3293"/>
      <c r="AV323" s="3293"/>
      <c r="AW323" s="3294"/>
      <c r="AX323" s="3236"/>
      <c r="AY323" s="3244"/>
      <c r="AZ323" s="3325" t="s">
        <v>3385</v>
      </c>
      <c r="BA323" s="3296" t="str">
        <f t="shared" si="67"/>
        <v>签约</v>
      </c>
      <c r="BB323" s="3226"/>
      <c r="BC323" s="3226"/>
      <c r="BD323" s="3292"/>
      <c r="BE323" s="3297" t="s">
        <v>4449</v>
      </c>
      <c r="BG323" s="3297">
        <f>IFERROR(VLOOKUP(B323,[3]Sheet2!A$1:B$65536,2,FALSE),0)</f>
        <v>0</v>
      </c>
      <c r="BI323" s="3297">
        <f>IFERROR(VLOOKUP(B323,[3]Sheet2!A$1:C$65536,2,FALSE),0)</f>
        <v>0</v>
      </c>
      <c r="BJ323" s="3297">
        <f>IFERROR(VLOOKUP(B323,[3]Sheet2!A$1:C$65536,3,FALSE),0)</f>
        <v>0</v>
      </c>
    </row>
    <row r="324" spans="1:62" s="3261" customFormat="1" ht="20.25" customHeight="1">
      <c r="A324" s="3226">
        <v>322</v>
      </c>
      <c r="B324" s="3250" t="s">
        <v>4232</v>
      </c>
      <c r="C324" s="3250" t="s">
        <v>3009</v>
      </c>
      <c r="D324" s="3251" t="s">
        <v>4233</v>
      </c>
      <c r="E324" s="3229">
        <v>44003</v>
      </c>
      <c r="F324" s="3230">
        <v>200000</v>
      </c>
      <c r="G324" s="3231">
        <v>208.14</v>
      </c>
      <c r="H324" s="3231" t="str">
        <f t="shared" ref="H324:H387" si="68">IF(G324&lt;144,"普通住宅","非普通住宅")</f>
        <v>非普通住宅</v>
      </c>
      <c r="I324" s="3230">
        <v>3969996</v>
      </c>
      <c r="J324" s="3229">
        <v>44023</v>
      </c>
      <c r="K324" s="3284">
        <f t="shared" ref="K324:K387" si="69">IF(ISBLANK(J324),"",MONTH(J324))</f>
        <v>7</v>
      </c>
      <c r="L324" s="3230">
        <v>3841988</v>
      </c>
      <c r="M324" s="3235">
        <f t="shared" ref="M324:M387" si="70">L324/G324</f>
        <v>18458.672047660231</v>
      </c>
      <c r="N324" s="3236">
        <f>500000+461988+100000</f>
        <v>1061988</v>
      </c>
      <c r="O324" s="3244">
        <f t="shared" ref="O324:O336" si="71">L324-P324-Q324</f>
        <v>3841988</v>
      </c>
      <c r="P324" s="3244"/>
      <c r="Q324" s="3244"/>
      <c r="R324" s="3244">
        <f t="shared" ref="R324:R387" si="72">F324+N324</f>
        <v>1261988</v>
      </c>
      <c r="S324" s="3244">
        <f t="shared" ref="S324:S336" si="73">R324-T324-U324</f>
        <v>1261988</v>
      </c>
      <c r="T324" s="3236"/>
      <c r="U324" s="3236"/>
      <c r="V324" s="3236">
        <v>2580000</v>
      </c>
      <c r="W324" s="3236"/>
      <c r="X324" s="3244">
        <f t="shared" ref="X324:X387" si="74">R324+V324+W324</f>
        <v>3841988</v>
      </c>
      <c r="Y324" s="3244">
        <f t="shared" ref="Y324:Y387" si="75">L324-X324</f>
        <v>0</v>
      </c>
      <c r="Z324" s="3285">
        <f t="shared" ref="Z324:Z387" si="76">X324/L324</f>
        <v>1</v>
      </c>
      <c r="AA324" s="3226" t="s">
        <v>3319</v>
      </c>
      <c r="AB324" s="3226" t="s">
        <v>4587</v>
      </c>
      <c r="AC324" s="3226" t="s">
        <v>4698</v>
      </c>
      <c r="AD324" s="3286" t="s">
        <v>4539</v>
      </c>
      <c r="AE324" s="3286" t="s">
        <v>4427</v>
      </c>
      <c r="AF324" s="3286"/>
      <c r="AG324" s="3323"/>
      <c r="AH324" s="3255">
        <v>44028</v>
      </c>
      <c r="AI324" s="3255">
        <v>44034</v>
      </c>
      <c r="AJ324" s="3255">
        <v>44047</v>
      </c>
      <c r="AK324" s="3287">
        <f t="shared" ref="AK324:AK387" si="77">IF(ISBLANK(AJ324),"",YEAR(AJ324))</f>
        <v>2020</v>
      </c>
      <c r="AL324" s="3288">
        <f t="shared" ref="AL324:AL387" si="78">IF(ISBLANK(AJ324),"",MONTH(AJ324))</f>
        <v>8</v>
      </c>
      <c r="AM324" s="3226" t="s">
        <v>4890</v>
      </c>
      <c r="AN324" s="3289">
        <v>258000</v>
      </c>
      <c r="AO324" s="3300"/>
      <c r="AP324" s="3300"/>
      <c r="AQ324" s="3300"/>
      <c r="AR324" s="3292"/>
      <c r="AS324" s="3292"/>
      <c r="AT324" s="3292"/>
      <c r="AU324" s="3293"/>
      <c r="AV324" s="3293"/>
      <c r="AW324" s="3294"/>
      <c r="AX324" s="3236"/>
      <c r="AY324" s="3244"/>
      <c r="AZ324" s="3325" t="s">
        <v>3385</v>
      </c>
      <c r="BA324" s="3296" t="str">
        <f t="shared" ref="BA324:BA387" si="79">IF(E324=0,"未售",IF(J324&gt;0,"签约","认购"))</f>
        <v>签约</v>
      </c>
      <c r="BB324" s="3226"/>
      <c r="BC324" s="3226"/>
      <c r="BD324" s="3292"/>
      <c r="BE324" s="3297" t="s">
        <v>4449</v>
      </c>
      <c r="BG324" s="3297">
        <f>IFERROR(VLOOKUP(B324,[3]Sheet2!A$1:B$65536,2,FALSE),0)</f>
        <v>0</v>
      </c>
      <c r="BI324" s="3297">
        <f>IFERROR(VLOOKUP(B324,[3]Sheet2!A$1:C$65536,2,FALSE),0)</f>
        <v>0</v>
      </c>
      <c r="BJ324" s="3297">
        <f>IFERROR(VLOOKUP(B324,[3]Sheet2!A$1:C$65536,3,FALSE),0)</f>
        <v>0</v>
      </c>
    </row>
    <row r="325" spans="1:62" s="3261" customFormat="1" ht="20.25" customHeight="1">
      <c r="A325" s="3226">
        <v>323</v>
      </c>
      <c r="B325" s="3250" t="s">
        <v>4234</v>
      </c>
      <c r="C325" s="3250" t="s">
        <v>3009</v>
      </c>
      <c r="D325" s="3251" t="s">
        <v>4235</v>
      </c>
      <c r="E325" s="3229">
        <v>44003</v>
      </c>
      <c r="F325" s="3230">
        <v>200000</v>
      </c>
      <c r="G325" s="3231">
        <v>216.67</v>
      </c>
      <c r="H325" s="3231" t="str">
        <f t="shared" si="68"/>
        <v>非普通住宅</v>
      </c>
      <c r="I325" s="3230">
        <v>5188724</v>
      </c>
      <c r="J325" s="3229">
        <v>44010</v>
      </c>
      <c r="K325" s="3284">
        <f t="shared" si="69"/>
        <v>6</v>
      </c>
      <c r="L325" s="3230">
        <v>5011027</v>
      </c>
      <c r="M325" s="3235">
        <f t="shared" si="70"/>
        <v>23127.461115982831</v>
      </c>
      <c r="N325" s="3236">
        <f>1304027+3507000</f>
        <v>4811027</v>
      </c>
      <c r="O325" s="3244">
        <f t="shared" si="71"/>
        <v>5011027</v>
      </c>
      <c r="P325" s="3244"/>
      <c r="Q325" s="3244"/>
      <c r="R325" s="3244">
        <f t="shared" si="72"/>
        <v>5011027</v>
      </c>
      <c r="S325" s="3244">
        <f t="shared" si="73"/>
        <v>5011027</v>
      </c>
      <c r="T325" s="3236"/>
      <c r="U325" s="3236"/>
      <c r="V325" s="3236"/>
      <c r="W325" s="3236"/>
      <c r="X325" s="3244">
        <f t="shared" si="74"/>
        <v>5011027</v>
      </c>
      <c r="Y325" s="3244">
        <f t="shared" si="75"/>
        <v>0</v>
      </c>
      <c r="Z325" s="3285">
        <f t="shared" si="76"/>
        <v>1</v>
      </c>
      <c r="AA325" s="3226" t="s">
        <v>3319</v>
      </c>
      <c r="AB325" s="3226" t="s">
        <v>4676</v>
      </c>
      <c r="AC325" s="3226"/>
      <c r="AD325" s="3286"/>
      <c r="AE325" s="3286"/>
      <c r="AF325" s="3286"/>
      <c r="AG325" s="3323"/>
      <c r="AH325" s="3255"/>
      <c r="AI325" s="3255"/>
      <c r="AJ325" s="3255"/>
      <c r="AK325" s="3287" t="str">
        <f t="shared" si="77"/>
        <v/>
      </c>
      <c r="AL325" s="3288" t="str">
        <f t="shared" si="78"/>
        <v/>
      </c>
      <c r="AM325" s="3226"/>
      <c r="AN325" s="3289"/>
      <c r="AO325" s="3300"/>
      <c r="AP325" s="3300"/>
      <c r="AQ325" s="3300"/>
      <c r="AR325" s="3292"/>
      <c r="AS325" s="3292"/>
      <c r="AT325" s="3292"/>
      <c r="AU325" s="3293"/>
      <c r="AV325" s="3293"/>
      <c r="AW325" s="3294"/>
      <c r="AX325" s="3236"/>
      <c r="AY325" s="3244"/>
      <c r="AZ325" s="3325" t="s">
        <v>4448</v>
      </c>
      <c r="BA325" s="3296" t="str">
        <f t="shared" si="79"/>
        <v>签约</v>
      </c>
      <c r="BB325" s="3226"/>
      <c r="BC325" s="3226"/>
      <c r="BD325" s="3292"/>
      <c r="BE325" s="3297" t="s">
        <v>4465</v>
      </c>
      <c r="BG325" s="3297">
        <f>IFERROR(VLOOKUP(B325,[3]Sheet2!A$1:B$65536,2,FALSE),0)</f>
        <v>0</v>
      </c>
      <c r="BI325" s="3297">
        <f>IFERROR(VLOOKUP(B325,[3]Sheet2!A$1:C$65536,2,FALSE),0)</f>
        <v>0</v>
      </c>
      <c r="BJ325" s="3297">
        <f>IFERROR(VLOOKUP(B325,[3]Sheet2!A$1:C$65536,3,FALSE),0)</f>
        <v>0</v>
      </c>
    </row>
    <row r="326" spans="1:62" s="3261" customFormat="1" ht="20.25" customHeight="1">
      <c r="A326" s="3226">
        <v>324</v>
      </c>
      <c r="B326" s="3250" t="s">
        <v>4236</v>
      </c>
      <c r="C326" s="3250" t="s">
        <v>3009</v>
      </c>
      <c r="D326" s="3251" t="s">
        <v>3644</v>
      </c>
      <c r="E326" s="3229">
        <v>44003</v>
      </c>
      <c r="F326" s="3230">
        <v>200000</v>
      </c>
      <c r="G326" s="3231">
        <v>186.34</v>
      </c>
      <c r="H326" s="3231" t="str">
        <f t="shared" si="68"/>
        <v>非普通住宅</v>
      </c>
      <c r="I326" s="3230">
        <v>4389562</v>
      </c>
      <c r="J326" s="3229">
        <v>44007</v>
      </c>
      <c r="K326" s="3284">
        <f t="shared" si="69"/>
        <v>6</v>
      </c>
      <c r="L326" s="3230">
        <v>4231724</v>
      </c>
      <c r="M326" s="3235">
        <f t="shared" si="70"/>
        <v>22709.691960931628</v>
      </c>
      <c r="N326" s="3236">
        <v>4031724</v>
      </c>
      <c r="O326" s="3244">
        <f t="shared" si="71"/>
        <v>4231724</v>
      </c>
      <c r="P326" s="3244"/>
      <c r="Q326" s="3244"/>
      <c r="R326" s="3244">
        <f t="shared" si="72"/>
        <v>4231724</v>
      </c>
      <c r="S326" s="3244">
        <f t="shared" si="73"/>
        <v>4231724</v>
      </c>
      <c r="T326" s="3236"/>
      <c r="U326" s="3236"/>
      <c r="V326" s="3236"/>
      <c r="W326" s="3236"/>
      <c r="X326" s="3244">
        <f t="shared" si="74"/>
        <v>4231724</v>
      </c>
      <c r="Y326" s="3244">
        <f t="shared" si="75"/>
        <v>0</v>
      </c>
      <c r="Z326" s="3285">
        <f t="shared" si="76"/>
        <v>1</v>
      </c>
      <c r="AA326" s="3226" t="s">
        <v>3319</v>
      </c>
      <c r="AB326" s="3226" t="s">
        <v>4676</v>
      </c>
      <c r="AC326" s="3226"/>
      <c r="AD326" s="3286"/>
      <c r="AE326" s="3286"/>
      <c r="AF326" s="3286"/>
      <c r="AG326" s="3323"/>
      <c r="AH326" s="3255"/>
      <c r="AI326" s="3255"/>
      <c r="AJ326" s="3255"/>
      <c r="AK326" s="3287" t="str">
        <f t="shared" si="77"/>
        <v/>
      </c>
      <c r="AL326" s="3288" t="str">
        <f t="shared" si="78"/>
        <v/>
      </c>
      <c r="AM326" s="3226"/>
      <c r="AN326" s="3289"/>
      <c r="AO326" s="3300"/>
      <c r="AP326" s="3300"/>
      <c r="AQ326" s="3300"/>
      <c r="AR326" s="3292"/>
      <c r="AS326" s="3292"/>
      <c r="AT326" s="3292"/>
      <c r="AU326" s="3293"/>
      <c r="AV326" s="3293"/>
      <c r="AW326" s="3294"/>
      <c r="AX326" s="3236"/>
      <c r="AY326" s="3244"/>
      <c r="AZ326" s="3325" t="s">
        <v>4441</v>
      </c>
      <c r="BA326" s="3296" t="str">
        <f t="shared" si="79"/>
        <v>签约</v>
      </c>
      <c r="BB326" s="3226"/>
      <c r="BC326" s="3226"/>
      <c r="BD326" s="3292"/>
      <c r="BE326" s="3297" t="s">
        <v>4696</v>
      </c>
      <c r="BG326" s="3297">
        <f>IFERROR(VLOOKUP(B326,[3]Sheet2!A$1:B$65536,2,FALSE),0)</f>
        <v>0</v>
      </c>
      <c r="BI326" s="3297">
        <f>IFERROR(VLOOKUP(B326,[3]Sheet2!A$1:C$65536,2,FALSE),0)</f>
        <v>0</v>
      </c>
      <c r="BJ326" s="3297">
        <f>IFERROR(VLOOKUP(B326,[3]Sheet2!A$1:C$65536,3,FALSE),0)</f>
        <v>0</v>
      </c>
    </row>
    <row r="327" spans="1:62" s="3261" customFormat="1" ht="20.25" customHeight="1">
      <c r="A327" s="3226">
        <v>325</v>
      </c>
      <c r="B327" s="3250" t="s">
        <v>4237</v>
      </c>
      <c r="C327" s="3250" t="s">
        <v>3009</v>
      </c>
      <c r="D327" s="3251" t="s">
        <v>4238</v>
      </c>
      <c r="E327" s="3229">
        <v>44003</v>
      </c>
      <c r="F327" s="3230">
        <v>200000</v>
      </c>
      <c r="G327" s="3231">
        <v>186.34</v>
      </c>
      <c r="H327" s="3231" t="str">
        <f t="shared" si="68"/>
        <v>非普通住宅</v>
      </c>
      <c r="I327" s="3230">
        <v>4444005</v>
      </c>
      <c r="J327" s="3229">
        <v>44008</v>
      </c>
      <c r="K327" s="3284">
        <f t="shared" si="69"/>
        <v>6</v>
      </c>
      <c r="L327" s="3230">
        <v>4306564</v>
      </c>
      <c r="M327" s="3235">
        <f t="shared" si="70"/>
        <v>23111.323387356446</v>
      </c>
      <c r="N327" s="3236">
        <v>1956564</v>
      </c>
      <c r="O327" s="3244">
        <f t="shared" si="71"/>
        <v>4306564</v>
      </c>
      <c r="P327" s="3244"/>
      <c r="Q327" s="3244"/>
      <c r="R327" s="3244">
        <f t="shared" si="72"/>
        <v>2156564</v>
      </c>
      <c r="S327" s="3244">
        <f t="shared" si="73"/>
        <v>2156564</v>
      </c>
      <c r="T327" s="3236"/>
      <c r="U327" s="3236"/>
      <c r="V327" s="3236">
        <v>2150000</v>
      </c>
      <c r="W327" s="3236"/>
      <c r="X327" s="3244">
        <f t="shared" si="74"/>
        <v>4306564</v>
      </c>
      <c r="Y327" s="3244">
        <f t="shared" si="75"/>
        <v>0</v>
      </c>
      <c r="Z327" s="3285">
        <f t="shared" si="76"/>
        <v>1</v>
      </c>
      <c r="AA327" s="3226" t="s">
        <v>3319</v>
      </c>
      <c r="AB327" s="3226" t="s">
        <v>4587</v>
      </c>
      <c r="AC327" s="3226" t="s">
        <v>4698</v>
      </c>
      <c r="AD327" s="3286" t="s">
        <v>4539</v>
      </c>
      <c r="AE327" s="3286" t="s">
        <v>4427</v>
      </c>
      <c r="AF327" s="3286"/>
      <c r="AG327" s="3323"/>
      <c r="AH327" s="3255">
        <v>44010</v>
      </c>
      <c r="AI327" s="3255">
        <v>44015</v>
      </c>
      <c r="AJ327" s="3255">
        <v>44021</v>
      </c>
      <c r="AK327" s="3287">
        <f t="shared" si="77"/>
        <v>2020</v>
      </c>
      <c r="AL327" s="3288">
        <f t="shared" si="78"/>
        <v>7</v>
      </c>
      <c r="AM327" s="3226" t="s">
        <v>4777</v>
      </c>
      <c r="AN327" s="3289">
        <v>2150000</v>
      </c>
      <c r="AO327" s="3300"/>
      <c r="AP327" s="3300"/>
      <c r="AQ327" s="3300"/>
      <c r="AR327" s="3292"/>
      <c r="AS327" s="3292"/>
      <c r="AT327" s="3292"/>
      <c r="AU327" s="3293"/>
      <c r="AV327" s="3293"/>
      <c r="AW327" s="3294"/>
      <c r="AX327" s="3236"/>
      <c r="AY327" s="3244"/>
      <c r="AZ327" s="3325" t="s">
        <v>4441</v>
      </c>
      <c r="BA327" s="3296" t="str">
        <f t="shared" si="79"/>
        <v>签约</v>
      </c>
      <c r="BB327" s="3226"/>
      <c r="BC327" s="3226"/>
      <c r="BD327" s="3292"/>
      <c r="BE327" s="3297" t="s">
        <v>4449</v>
      </c>
      <c r="BG327" s="3297">
        <f>IFERROR(VLOOKUP(B327,[3]Sheet2!A$1:B$65536,2,FALSE),0)</f>
        <v>0</v>
      </c>
      <c r="BI327" s="3297">
        <f>IFERROR(VLOOKUP(B327,[3]Sheet2!A$1:C$65536,2,FALSE),0)</f>
        <v>0</v>
      </c>
      <c r="BJ327" s="3297">
        <f>IFERROR(VLOOKUP(B327,[3]Sheet2!A$1:C$65536,3,FALSE),0)</f>
        <v>0</v>
      </c>
    </row>
    <row r="328" spans="1:62" s="3261" customFormat="1" ht="20.25" customHeight="1">
      <c r="A328" s="3226">
        <v>326</v>
      </c>
      <c r="B328" s="3250" t="s">
        <v>4239</v>
      </c>
      <c r="C328" s="3250" t="s">
        <v>3009</v>
      </c>
      <c r="D328" s="3251" t="s">
        <v>4240</v>
      </c>
      <c r="E328" s="3229">
        <v>44003</v>
      </c>
      <c r="F328" s="3230">
        <v>200000</v>
      </c>
      <c r="G328" s="3231">
        <v>216.67</v>
      </c>
      <c r="H328" s="3231" t="str">
        <f t="shared" si="68"/>
        <v>非普通住宅</v>
      </c>
      <c r="I328" s="3230">
        <v>5302278</v>
      </c>
      <c r="J328" s="3229">
        <v>44009</v>
      </c>
      <c r="K328" s="3284">
        <f t="shared" si="69"/>
        <v>6</v>
      </c>
      <c r="L328" s="3230">
        <v>5147758</v>
      </c>
      <c r="M328" s="3235">
        <f t="shared" si="70"/>
        <v>23758.517561268291</v>
      </c>
      <c r="N328" s="3236">
        <f>2547758+1100000+500000</f>
        <v>4147758</v>
      </c>
      <c r="O328" s="3244">
        <f t="shared" si="71"/>
        <v>5147758</v>
      </c>
      <c r="P328" s="3244"/>
      <c r="Q328" s="3244"/>
      <c r="R328" s="3244">
        <f t="shared" si="72"/>
        <v>4347758</v>
      </c>
      <c r="S328" s="3244">
        <f t="shared" si="73"/>
        <v>4347758</v>
      </c>
      <c r="T328" s="3236"/>
      <c r="U328" s="3236"/>
      <c r="V328" s="3236">
        <v>800000</v>
      </c>
      <c r="W328" s="3236"/>
      <c r="X328" s="3244">
        <f t="shared" si="74"/>
        <v>5147758</v>
      </c>
      <c r="Y328" s="3244">
        <f t="shared" si="75"/>
        <v>0</v>
      </c>
      <c r="Z328" s="3285">
        <f t="shared" si="76"/>
        <v>1</v>
      </c>
      <c r="AA328" s="3226" t="s">
        <v>3319</v>
      </c>
      <c r="AB328" s="3226" t="s">
        <v>4587</v>
      </c>
      <c r="AC328" s="3226" t="s">
        <v>4698</v>
      </c>
      <c r="AD328" s="3286" t="s">
        <v>4539</v>
      </c>
      <c r="AE328" s="3286" t="s">
        <v>4427</v>
      </c>
      <c r="AF328" s="3324"/>
      <c r="AG328" s="3323"/>
      <c r="AH328" s="3255">
        <v>44009</v>
      </c>
      <c r="AI328" s="3255">
        <v>44032</v>
      </c>
      <c r="AJ328" s="3255">
        <v>44046</v>
      </c>
      <c r="AK328" s="3287">
        <f t="shared" si="77"/>
        <v>2020</v>
      </c>
      <c r="AL328" s="3288">
        <f t="shared" si="78"/>
        <v>8</v>
      </c>
      <c r="AM328" s="3226" t="s">
        <v>4792</v>
      </c>
      <c r="AN328" s="3289">
        <v>800000</v>
      </c>
      <c r="AO328" s="3300"/>
      <c r="AP328" s="3300"/>
      <c r="AQ328" s="3300"/>
      <c r="AR328" s="3292"/>
      <c r="AS328" s="3292"/>
      <c r="AT328" s="3292"/>
      <c r="AU328" s="3293"/>
      <c r="AV328" s="3293"/>
      <c r="AW328" s="3294"/>
      <c r="AX328" s="3236"/>
      <c r="AY328" s="3244"/>
      <c r="AZ328" s="3325" t="s">
        <v>3385</v>
      </c>
      <c r="BA328" s="3296" t="str">
        <f t="shared" si="79"/>
        <v>签约</v>
      </c>
      <c r="BB328" s="3226"/>
      <c r="BC328" s="3226"/>
      <c r="BD328" s="3292"/>
      <c r="BE328" s="3297" t="s">
        <v>4449</v>
      </c>
      <c r="BG328" s="3297">
        <f>IFERROR(VLOOKUP(B328,[3]Sheet2!A$1:B$65536,2,FALSE),0)</f>
        <v>0</v>
      </c>
      <c r="BI328" s="3297">
        <f>IFERROR(VLOOKUP(B328,[3]Sheet2!A$1:C$65536,2,FALSE),0)</f>
        <v>0</v>
      </c>
      <c r="BJ328" s="3297">
        <f>IFERROR(VLOOKUP(B328,[3]Sheet2!A$1:C$65536,3,FALSE),0)</f>
        <v>0</v>
      </c>
    </row>
    <row r="329" spans="1:62" s="3261" customFormat="1" ht="20.25" customHeight="1">
      <c r="A329" s="3226">
        <v>327</v>
      </c>
      <c r="B329" s="3250" t="s">
        <v>4241</v>
      </c>
      <c r="C329" s="3250" t="s">
        <v>3009</v>
      </c>
      <c r="D329" s="3251" t="s">
        <v>4242</v>
      </c>
      <c r="E329" s="3229">
        <v>44010</v>
      </c>
      <c r="F329" s="3230">
        <v>200000</v>
      </c>
      <c r="G329" s="3231">
        <v>208.14</v>
      </c>
      <c r="H329" s="3231" t="str">
        <f t="shared" si="68"/>
        <v>非普通住宅</v>
      </c>
      <c r="I329" s="3230">
        <v>3960229</v>
      </c>
      <c r="J329" s="3229">
        <v>44010</v>
      </c>
      <c r="K329" s="3284">
        <f t="shared" si="69"/>
        <v>6</v>
      </c>
      <c r="L329" s="3230">
        <v>3832415</v>
      </c>
      <c r="M329" s="3235">
        <f t="shared" si="70"/>
        <v>18412.678966080523</v>
      </c>
      <c r="N329" s="3236">
        <v>952415</v>
      </c>
      <c r="O329" s="3244">
        <f t="shared" si="71"/>
        <v>3832415</v>
      </c>
      <c r="P329" s="3244"/>
      <c r="Q329" s="3244"/>
      <c r="R329" s="3244">
        <f t="shared" si="72"/>
        <v>1152415</v>
      </c>
      <c r="S329" s="3244">
        <f t="shared" si="73"/>
        <v>1152415</v>
      </c>
      <c r="T329" s="3236"/>
      <c r="U329" s="3236"/>
      <c r="V329" s="3236">
        <v>2680000</v>
      </c>
      <c r="W329" s="3236"/>
      <c r="X329" s="3244">
        <f t="shared" si="74"/>
        <v>3832415</v>
      </c>
      <c r="Y329" s="3244">
        <f t="shared" si="75"/>
        <v>0</v>
      </c>
      <c r="Z329" s="3285">
        <f t="shared" si="76"/>
        <v>1</v>
      </c>
      <c r="AA329" s="3226" t="s">
        <v>3319</v>
      </c>
      <c r="AB329" s="3226" t="s">
        <v>4587</v>
      </c>
      <c r="AC329" s="3226" t="s">
        <v>4698</v>
      </c>
      <c r="AD329" s="3286" t="s">
        <v>4539</v>
      </c>
      <c r="AE329" s="3286" t="s">
        <v>4427</v>
      </c>
      <c r="AF329" s="3286"/>
      <c r="AG329" s="3323"/>
      <c r="AH329" s="3255">
        <v>44010</v>
      </c>
      <c r="AI329" s="3255">
        <v>44013</v>
      </c>
      <c r="AJ329" s="3255">
        <v>44021</v>
      </c>
      <c r="AK329" s="3287">
        <f t="shared" si="77"/>
        <v>2020</v>
      </c>
      <c r="AL329" s="3288">
        <f t="shared" si="78"/>
        <v>7</v>
      </c>
      <c r="AM329" s="3226" t="s">
        <v>4792</v>
      </c>
      <c r="AN329" s="3289">
        <v>2680000</v>
      </c>
      <c r="AO329" s="3300"/>
      <c r="AP329" s="3300"/>
      <c r="AQ329" s="3300"/>
      <c r="AR329" s="3292"/>
      <c r="AS329" s="3292"/>
      <c r="AT329" s="3292"/>
      <c r="AU329" s="3293"/>
      <c r="AV329" s="3293"/>
      <c r="AW329" s="3294"/>
      <c r="AX329" s="3236"/>
      <c r="AY329" s="3244"/>
      <c r="AZ329" s="3325" t="s">
        <v>4885</v>
      </c>
      <c r="BA329" s="3296" t="str">
        <f t="shared" si="79"/>
        <v>签约</v>
      </c>
      <c r="BB329" s="3226"/>
      <c r="BC329" s="3226"/>
      <c r="BD329" s="3292"/>
      <c r="BE329" s="3297" t="s">
        <v>4696</v>
      </c>
      <c r="BG329" s="3297">
        <f>IFERROR(VLOOKUP(B329,[3]Sheet2!A$1:B$65536,2,FALSE),0)</f>
        <v>0</v>
      </c>
      <c r="BI329" s="3297">
        <f>IFERROR(VLOOKUP(B329,[3]Sheet2!A$1:C$65536,2,FALSE),0)</f>
        <v>0</v>
      </c>
      <c r="BJ329" s="3297">
        <f>IFERROR(VLOOKUP(B329,[3]Sheet2!A$1:C$65536,3,FALSE),0)</f>
        <v>0</v>
      </c>
    </row>
    <row r="330" spans="1:62" s="3261" customFormat="1" ht="20.25" customHeight="1">
      <c r="A330" s="3226">
        <v>328</v>
      </c>
      <c r="B330" s="3250" t="s">
        <v>4243</v>
      </c>
      <c r="C330" s="3250" t="s">
        <v>3009</v>
      </c>
      <c r="D330" s="3251" t="s">
        <v>4244</v>
      </c>
      <c r="E330" s="3229">
        <v>44003</v>
      </c>
      <c r="F330" s="3230">
        <v>200000</v>
      </c>
      <c r="G330" s="3231">
        <v>180.37</v>
      </c>
      <c r="H330" s="3231" t="str">
        <f t="shared" si="68"/>
        <v>非普通住宅</v>
      </c>
      <c r="I330" s="3230">
        <v>3523560</v>
      </c>
      <c r="J330" s="3229">
        <v>44005</v>
      </c>
      <c r="K330" s="3284">
        <f t="shared" si="69"/>
        <v>6</v>
      </c>
      <c r="L330" s="3230">
        <v>3404436</v>
      </c>
      <c r="M330" s="3235">
        <f t="shared" si="70"/>
        <v>18874.735266396852</v>
      </c>
      <c r="N330" s="3236">
        <v>1004436</v>
      </c>
      <c r="O330" s="3244">
        <f t="shared" si="71"/>
        <v>3404436</v>
      </c>
      <c r="P330" s="3244"/>
      <c r="Q330" s="3244"/>
      <c r="R330" s="3244">
        <f t="shared" si="72"/>
        <v>1204436</v>
      </c>
      <c r="S330" s="3244">
        <f t="shared" si="73"/>
        <v>1204436</v>
      </c>
      <c r="T330" s="3236"/>
      <c r="U330" s="3236"/>
      <c r="V330" s="3236">
        <v>2200000</v>
      </c>
      <c r="W330" s="3236"/>
      <c r="X330" s="3244">
        <f t="shared" si="74"/>
        <v>3404436</v>
      </c>
      <c r="Y330" s="3244">
        <f t="shared" si="75"/>
        <v>0</v>
      </c>
      <c r="Z330" s="3285">
        <f t="shared" si="76"/>
        <v>1</v>
      </c>
      <c r="AA330" s="3226" t="s">
        <v>3319</v>
      </c>
      <c r="AB330" s="3226" t="s">
        <v>4587</v>
      </c>
      <c r="AC330" s="3226" t="s">
        <v>4698</v>
      </c>
      <c r="AD330" s="3286" t="s">
        <v>4539</v>
      </c>
      <c r="AE330" s="3286" t="s">
        <v>4427</v>
      </c>
      <c r="AF330" s="3286"/>
      <c r="AG330" s="3323"/>
      <c r="AH330" s="3255">
        <v>44010</v>
      </c>
      <c r="AI330" s="3255">
        <v>44013</v>
      </c>
      <c r="AJ330" s="3255">
        <v>44021</v>
      </c>
      <c r="AK330" s="3287">
        <f t="shared" si="77"/>
        <v>2020</v>
      </c>
      <c r="AL330" s="3288">
        <f t="shared" si="78"/>
        <v>7</v>
      </c>
      <c r="AM330" s="3226" t="s">
        <v>4792</v>
      </c>
      <c r="AN330" s="3289">
        <v>2200000</v>
      </c>
      <c r="AO330" s="3300"/>
      <c r="AP330" s="3300"/>
      <c r="AQ330" s="3300"/>
      <c r="AR330" s="3292"/>
      <c r="AS330" s="3292"/>
      <c r="AT330" s="3292"/>
      <c r="AU330" s="3293"/>
      <c r="AV330" s="3293"/>
      <c r="AW330" s="3294"/>
      <c r="AX330" s="3236"/>
      <c r="AY330" s="3244"/>
      <c r="AZ330" s="3325" t="s">
        <v>3385</v>
      </c>
      <c r="BA330" s="3296" t="str">
        <f t="shared" si="79"/>
        <v>签约</v>
      </c>
      <c r="BB330" s="3226"/>
      <c r="BC330" s="3226"/>
      <c r="BD330" s="3292"/>
      <c r="BE330" s="3297" t="s">
        <v>4449</v>
      </c>
      <c r="BG330" s="3297">
        <f>IFERROR(VLOOKUP(B330,[3]Sheet2!A$1:B$65536,2,FALSE),0)</f>
        <v>0</v>
      </c>
      <c r="BI330" s="3297">
        <f>IFERROR(VLOOKUP(B330,[3]Sheet2!A$1:C$65536,2,FALSE),0)</f>
        <v>0</v>
      </c>
      <c r="BJ330" s="3297">
        <f>IFERROR(VLOOKUP(B330,[3]Sheet2!A$1:C$65536,3,FALSE),0)</f>
        <v>0</v>
      </c>
    </row>
    <row r="331" spans="1:62" s="3261" customFormat="1" ht="20.25" customHeight="1">
      <c r="A331" s="3226">
        <v>329</v>
      </c>
      <c r="B331" s="3250" t="s">
        <v>4245</v>
      </c>
      <c r="C331" s="3250" t="s">
        <v>3009</v>
      </c>
      <c r="D331" s="3251" t="s">
        <v>4246</v>
      </c>
      <c r="E331" s="3229">
        <v>44003</v>
      </c>
      <c r="F331" s="3230">
        <v>200000</v>
      </c>
      <c r="G331" s="3231">
        <v>180.37</v>
      </c>
      <c r="H331" s="3231" t="str">
        <f t="shared" si="68"/>
        <v>非普通住宅</v>
      </c>
      <c r="I331" s="3230">
        <v>3577443</v>
      </c>
      <c r="J331" s="3229">
        <v>44010</v>
      </c>
      <c r="K331" s="3284">
        <f t="shared" si="69"/>
        <v>6</v>
      </c>
      <c r="L331" s="3230">
        <v>3457247</v>
      </c>
      <c r="M331" s="3235">
        <f t="shared" si="70"/>
        <v>19167.527859400121</v>
      </c>
      <c r="N331" s="3236">
        <v>837247</v>
      </c>
      <c r="O331" s="3244">
        <f t="shared" si="71"/>
        <v>3457247</v>
      </c>
      <c r="P331" s="3244"/>
      <c r="Q331" s="3244"/>
      <c r="R331" s="3244">
        <f t="shared" si="72"/>
        <v>1037247</v>
      </c>
      <c r="S331" s="3244">
        <f t="shared" si="73"/>
        <v>1037247</v>
      </c>
      <c r="T331" s="3236"/>
      <c r="U331" s="3236"/>
      <c r="V331" s="3236">
        <v>2420000</v>
      </c>
      <c r="W331" s="3236"/>
      <c r="X331" s="3244">
        <f t="shared" si="74"/>
        <v>3457247</v>
      </c>
      <c r="Y331" s="3244">
        <f t="shared" si="75"/>
        <v>0</v>
      </c>
      <c r="Z331" s="3285">
        <f t="shared" si="76"/>
        <v>1</v>
      </c>
      <c r="AA331" s="3226" t="s">
        <v>3319</v>
      </c>
      <c r="AB331" s="3226" t="s">
        <v>4587</v>
      </c>
      <c r="AC331" s="3226" t="s">
        <v>4698</v>
      </c>
      <c r="AD331" s="3286" t="s">
        <v>4539</v>
      </c>
      <c r="AE331" s="3286" t="s">
        <v>4427</v>
      </c>
      <c r="AF331" s="3286"/>
      <c r="AG331" s="3323"/>
      <c r="AH331" s="3255">
        <v>44020</v>
      </c>
      <c r="AI331" s="3255">
        <v>44020</v>
      </c>
      <c r="AJ331" s="3255">
        <v>44035</v>
      </c>
      <c r="AK331" s="3287">
        <f t="shared" si="77"/>
        <v>2020</v>
      </c>
      <c r="AL331" s="3288">
        <f t="shared" si="78"/>
        <v>7</v>
      </c>
      <c r="AM331" s="3226" t="s">
        <v>4634</v>
      </c>
      <c r="AN331" s="3289">
        <v>2420000</v>
      </c>
      <c r="AO331" s="3300"/>
      <c r="AP331" s="3300"/>
      <c r="AQ331" s="3300"/>
      <c r="AR331" s="3292"/>
      <c r="AS331" s="3292"/>
      <c r="AT331" s="3292"/>
      <c r="AU331" s="3293"/>
      <c r="AV331" s="3293"/>
      <c r="AW331" s="3294"/>
      <c r="AX331" s="3236"/>
      <c r="AY331" s="3244"/>
      <c r="AZ331" s="3325" t="s">
        <v>4507</v>
      </c>
      <c r="BA331" s="3296" t="str">
        <f t="shared" si="79"/>
        <v>签约</v>
      </c>
      <c r="BB331" s="3226"/>
      <c r="BC331" s="3226"/>
      <c r="BD331" s="3292"/>
      <c r="BE331" s="3297" t="s">
        <v>4465</v>
      </c>
      <c r="BG331" s="3297">
        <f>IFERROR(VLOOKUP(B331,[3]Sheet2!A$1:B$65536,2,FALSE),0)</f>
        <v>0</v>
      </c>
      <c r="BI331" s="3297">
        <f>IFERROR(VLOOKUP(B331,[3]Sheet2!A$1:C$65536,2,FALSE),0)</f>
        <v>0</v>
      </c>
      <c r="BJ331" s="3297">
        <f>IFERROR(VLOOKUP(B331,[3]Sheet2!A$1:C$65536,3,FALSE),0)</f>
        <v>0</v>
      </c>
    </row>
    <row r="332" spans="1:62" s="3261" customFormat="1" ht="20.25" customHeight="1">
      <c r="A332" s="3226">
        <v>330</v>
      </c>
      <c r="B332" s="3250" t="s">
        <v>4247</v>
      </c>
      <c r="C332" s="3250" t="s">
        <v>3009</v>
      </c>
      <c r="D332" s="3251" t="s">
        <v>4248</v>
      </c>
      <c r="E332" s="3229">
        <v>44005</v>
      </c>
      <c r="F332" s="3230">
        <v>200000</v>
      </c>
      <c r="G332" s="3231">
        <v>208.14</v>
      </c>
      <c r="H332" s="3231" t="str">
        <f t="shared" si="68"/>
        <v>非普通住宅</v>
      </c>
      <c r="I332" s="3230">
        <v>4018828</v>
      </c>
      <c r="J332" s="3229">
        <v>44011</v>
      </c>
      <c r="K332" s="3284">
        <f t="shared" si="69"/>
        <v>6</v>
      </c>
      <c r="L332" s="3230">
        <v>3889848</v>
      </c>
      <c r="M332" s="3235">
        <f t="shared" si="70"/>
        <v>18688.613433266073</v>
      </c>
      <c r="N332" s="3236">
        <v>969848</v>
      </c>
      <c r="O332" s="3244">
        <f t="shared" si="71"/>
        <v>3889848</v>
      </c>
      <c r="P332" s="3244"/>
      <c r="Q332" s="3244"/>
      <c r="R332" s="3244">
        <f t="shared" si="72"/>
        <v>1169848</v>
      </c>
      <c r="S332" s="3244">
        <f t="shared" si="73"/>
        <v>1169848</v>
      </c>
      <c r="T332" s="3236"/>
      <c r="U332" s="3236"/>
      <c r="V332" s="3236">
        <v>2720000</v>
      </c>
      <c r="W332" s="3236"/>
      <c r="X332" s="3244">
        <f t="shared" si="74"/>
        <v>3889848</v>
      </c>
      <c r="Y332" s="3244">
        <f t="shared" si="75"/>
        <v>0</v>
      </c>
      <c r="Z332" s="3285">
        <f t="shared" si="76"/>
        <v>1</v>
      </c>
      <c r="AA332" s="3226" t="s">
        <v>3319</v>
      </c>
      <c r="AB332" s="3226" t="s">
        <v>4587</v>
      </c>
      <c r="AC332" s="3226" t="s">
        <v>4698</v>
      </c>
      <c r="AD332" s="3286" t="s">
        <v>4539</v>
      </c>
      <c r="AE332" s="3286" t="s">
        <v>4427</v>
      </c>
      <c r="AF332" s="3286"/>
      <c r="AG332" s="3323"/>
      <c r="AH332" s="3255">
        <v>44011</v>
      </c>
      <c r="AI332" s="3255">
        <v>44015</v>
      </c>
      <c r="AJ332" s="3255">
        <v>44022</v>
      </c>
      <c r="AK332" s="3287">
        <f t="shared" si="77"/>
        <v>2020</v>
      </c>
      <c r="AL332" s="3288">
        <f t="shared" si="78"/>
        <v>7</v>
      </c>
      <c r="AM332" s="3226" t="s">
        <v>4792</v>
      </c>
      <c r="AN332" s="3289">
        <v>2720000</v>
      </c>
      <c r="AO332" s="3300"/>
      <c r="AP332" s="3300"/>
      <c r="AQ332" s="3300"/>
      <c r="AR332" s="3292"/>
      <c r="AS332" s="3292"/>
      <c r="AT332" s="3292"/>
      <c r="AU332" s="3293"/>
      <c r="AV332" s="3293"/>
      <c r="AW332" s="3294"/>
      <c r="AX332" s="3236"/>
      <c r="AY332" s="3244"/>
      <c r="AZ332" s="3325" t="s">
        <v>4885</v>
      </c>
      <c r="BA332" s="3296" t="str">
        <f t="shared" si="79"/>
        <v>签约</v>
      </c>
      <c r="BB332" s="3226"/>
      <c r="BC332" s="3226"/>
      <c r="BD332" s="3292"/>
      <c r="BE332" s="3297" t="s">
        <v>4465</v>
      </c>
      <c r="BG332" s="3297">
        <f>IFERROR(VLOOKUP(B332,[3]Sheet2!A$1:B$65536,2,FALSE),0)</f>
        <v>0</v>
      </c>
      <c r="BI332" s="3297">
        <f>IFERROR(VLOOKUP(B332,[3]Sheet2!A$1:C$65536,2,FALSE),0)</f>
        <v>0</v>
      </c>
      <c r="BJ332" s="3297">
        <f>IFERROR(VLOOKUP(B332,[3]Sheet2!A$1:C$65536,3,FALSE),0)</f>
        <v>0</v>
      </c>
    </row>
    <row r="333" spans="1:62" s="3261" customFormat="1" ht="20.25" customHeight="1">
      <c r="A333" s="3226">
        <v>331</v>
      </c>
      <c r="B333" s="3250" t="s">
        <v>4249</v>
      </c>
      <c r="C333" s="3250" t="s">
        <v>3009</v>
      </c>
      <c r="D333" s="3251" t="s">
        <v>4250</v>
      </c>
      <c r="E333" s="3229">
        <v>44003</v>
      </c>
      <c r="F333" s="3230">
        <v>200000</v>
      </c>
      <c r="G333" s="3231">
        <v>215.77</v>
      </c>
      <c r="H333" s="3231" t="str">
        <f t="shared" si="68"/>
        <v>非普通住宅</v>
      </c>
      <c r="I333" s="3230">
        <v>5610890</v>
      </c>
      <c r="J333" s="3229">
        <v>44010</v>
      </c>
      <c r="K333" s="3284">
        <f t="shared" si="69"/>
        <v>6</v>
      </c>
      <c r="L333" s="3230">
        <v>5450228</v>
      </c>
      <c r="M333" s="3235">
        <f t="shared" si="70"/>
        <v>25259.433656207999</v>
      </c>
      <c r="N333" s="3236">
        <v>1650228</v>
      </c>
      <c r="O333" s="3244">
        <f t="shared" si="71"/>
        <v>5450228</v>
      </c>
      <c r="P333" s="3244"/>
      <c r="Q333" s="3244"/>
      <c r="R333" s="3244">
        <f t="shared" si="72"/>
        <v>1850228</v>
      </c>
      <c r="S333" s="3244">
        <f t="shared" si="73"/>
        <v>1850228</v>
      </c>
      <c r="T333" s="3236"/>
      <c r="U333" s="3236"/>
      <c r="V333" s="3236">
        <v>3600000</v>
      </c>
      <c r="W333" s="3236"/>
      <c r="X333" s="3244">
        <f t="shared" si="74"/>
        <v>5450228</v>
      </c>
      <c r="Y333" s="3244">
        <f t="shared" si="75"/>
        <v>0</v>
      </c>
      <c r="Z333" s="3285">
        <f t="shared" si="76"/>
        <v>1</v>
      </c>
      <c r="AA333" s="3226" t="s">
        <v>3319</v>
      </c>
      <c r="AB333" s="3226" t="s">
        <v>4587</v>
      </c>
      <c r="AC333" s="3226" t="s">
        <v>4698</v>
      </c>
      <c r="AD333" s="3286" t="s">
        <v>4539</v>
      </c>
      <c r="AE333" s="3286" t="s">
        <v>4427</v>
      </c>
      <c r="AF333" s="3286"/>
      <c r="AG333" s="3323"/>
      <c r="AH333" s="3255">
        <v>44010</v>
      </c>
      <c r="AI333" s="3255">
        <v>44015</v>
      </c>
      <c r="AJ333" s="3255">
        <v>44021</v>
      </c>
      <c r="AK333" s="3287">
        <f t="shared" si="77"/>
        <v>2020</v>
      </c>
      <c r="AL333" s="3288">
        <f t="shared" si="78"/>
        <v>7</v>
      </c>
      <c r="AM333" s="3226" t="s">
        <v>4777</v>
      </c>
      <c r="AN333" s="3289">
        <v>3600000</v>
      </c>
      <c r="AO333" s="3300"/>
      <c r="AP333" s="3300"/>
      <c r="AQ333" s="3300"/>
      <c r="AR333" s="3292"/>
      <c r="AS333" s="3292"/>
      <c r="AT333" s="3292"/>
      <c r="AU333" s="3293"/>
      <c r="AV333" s="3293"/>
      <c r="AW333" s="3294"/>
      <c r="AX333" s="3236"/>
      <c r="AY333" s="3244"/>
      <c r="AZ333" s="3325" t="s">
        <v>4507</v>
      </c>
      <c r="BA333" s="3296" t="str">
        <f t="shared" si="79"/>
        <v>签约</v>
      </c>
      <c r="BB333" s="3226"/>
      <c r="BC333" s="3226"/>
      <c r="BD333" s="3292"/>
      <c r="BE333" s="3297" t="s">
        <v>4465</v>
      </c>
      <c r="BG333" s="3297">
        <f>IFERROR(VLOOKUP(B333,[3]Sheet2!A$1:B$65536,2,FALSE),0)</f>
        <v>0</v>
      </c>
      <c r="BI333" s="3297">
        <f>IFERROR(VLOOKUP(B333,[3]Sheet2!A$1:C$65536,2,FALSE),0)</f>
        <v>0</v>
      </c>
      <c r="BJ333" s="3297">
        <f>IFERROR(VLOOKUP(B333,[3]Sheet2!A$1:C$65536,3,FALSE),0)</f>
        <v>0</v>
      </c>
    </row>
    <row r="334" spans="1:62" s="3261" customFormat="1" ht="20.25" customHeight="1">
      <c r="A334" s="3226">
        <v>332</v>
      </c>
      <c r="B334" s="3250" t="s">
        <v>4251</v>
      </c>
      <c r="C334" s="3250" t="s">
        <v>3009</v>
      </c>
      <c r="D334" s="3251" t="s">
        <v>4252</v>
      </c>
      <c r="E334" s="3229">
        <v>44003</v>
      </c>
      <c r="F334" s="3230">
        <v>200000</v>
      </c>
      <c r="G334" s="3231">
        <v>215.77</v>
      </c>
      <c r="H334" s="3231" t="str">
        <f t="shared" si="68"/>
        <v>非普通住宅</v>
      </c>
      <c r="I334" s="3230">
        <v>5113113</v>
      </c>
      <c r="J334" s="3229">
        <v>44007</v>
      </c>
      <c r="K334" s="3284">
        <f t="shared" si="69"/>
        <v>6</v>
      </c>
      <c r="L334" s="3230">
        <v>4962357</v>
      </c>
      <c r="M334" s="3235">
        <f t="shared" si="70"/>
        <v>22998.36399870232</v>
      </c>
      <c r="N334" s="3236">
        <v>1802357</v>
      </c>
      <c r="O334" s="3244">
        <f t="shared" si="71"/>
        <v>4962357</v>
      </c>
      <c r="P334" s="3244"/>
      <c r="Q334" s="3244"/>
      <c r="R334" s="3244">
        <f t="shared" si="72"/>
        <v>2002357</v>
      </c>
      <c r="S334" s="3244">
        <f t="shared" si="73"/>
        <v>2002357</v>
      </c>
      <c r="T334" s="3236"/>
      <c r="U334" s="3236"/>
      <c r="V334" s="3236">
        <v>2960000</v>
      </c>
      <c r="W334" s="3236"/>
      <c r="X334" s="3244">
        <f t="shared" si="74"/>
        <v>4962357</v>
      </c>
      <c r="Y334" s="3244">
        <f t="shared" si="75"/>
        <v>0</v>
      </c>
      <c r="Z334" s="3285">
        <f t="shared" si="76"/>
        <v>1</v>
      </c>
      <c r="AA334" s="3226" t="s">
        <v>3319</v>
      </c>
      <c r="AB334" s="3226" t="s">
        <v>4587</v>
      </c>
      <c r="AC334" s="3226" t="s">
        <v>4698</v>
      </c>
      <c r="AD334" s="3286" t="s">
        <v>4539</v>
      </c>
      <c r="AE334" s="3286" t="s">
        <v>4427</v>
      </c>
      <c r="AF334" s="3286"/>
      <c r="AG334" s="3323"/>
      <c r="AH334" s="3255">
        <v>44010</v>
      </c>
      <c r="AI334" s="3255">
        <v>44015</v>
      </c>
      <c r="AJ334" s="3255">
        <v>44021</v>
      </c>
      <c r="AK334" s="3287">
        <f t="shared" si="77"/>
        <v>2020</v>
      </c>
      <c r="AL334" s="3288">
        <f t="shared" si="78"/>
        <v>7</v>
      </c>
      <c r="AM334" s="3226" t="s">
        <v>4777</v>
      </c>
      <c r="AN334" s="3289">
        <v>2960000</v>
      </c>
      <c r="AO334" s="3300"/>
      <c r="AP334" s="3300"/>
      <c r="AQ334" s="3300"/>
      <c r="AR334" s="3292"/>
      <c r="AS334" s="3292"/>
      <c r="AT334" s="3292"/>
      <c r="AU334" s="3293"/>
      <c r="AV334" s="3293"/>
      <c r="AW334" s="3294"/>
      <c r="AX334" s="3236"/>
      <c r="AY334" s="3244"/>
      <c r="AZ334" s="3325" t="s">
        <v>4441</v>
      </c>
      <c r="BA334" s="3296" t="str">
        <f t="shared" si="79"/>
        <v>签约</v>
      </c>
      <c r="BB334" s="3226"/>
      <c r="BC334" s="3226"/>
      <c r="BD334" s="3292"/>
      <c r="BE334" s="3297" t="s">
        <v>4465</v>
      </c>
      <c r="BG334" s="3297">
        <f>IFERROR(VLOOKUP(B334,[3]Sheet2!A$1:B$65536,2,FALSE),0)</f>
        <v>0</v>
      </c>
      <c r="BI334" s="3297">
        <f>IFERROR(VLOOKUP(B334,[3]Sheet2!A$1:C$65536,2,FALSE),0)</f>
        <v>0</v>
      </c>
      <c r="BJ334" s="3297">
        <f>IFERROR(VLOOKUP(B334,[3]Sheet2!A$1:C$65536,3,FALSE),0)</f>
        <v>0</v>
      </c>
    </row>
    <row r="335" spans="1:62" s="3261" customFormat="1" ht="20.25" customHeight="1">
      <c r="A335" s="3226">
        <v>333</v>
      </c>
      <c r="B335" s="3250" t="s">
        <v>4253</v>
      </c>
      <c r="C335" s="3250" t="s">
        <v>3009</v>
      </c>
      <c r="D335" s="3251" t="s">
        <v>4254</v>
      </c>
      <c r="E335" s="3229">
        <v>44003</v>
      </c>
      <c r="F335" s="3230">
        <v>100000</v>
      </c>
      <c r="G335" s="3231">
        <v>207.27</v>
      </c>
      <c r="H335" s="3231" t="str">
        <f t="shared" si="68"/>
        <v>非普通住宅</v>
      </c>
      <c r="I335" s="3230">
        <v>4058857</v>
      </c>
      <c r="J335" s="3229">
        <v>44010</v>
      </c>
      <c r="K335" s="3284">
        <f t="shared" si="69"/>
        <v>6</v>
      </c>
      <c r="L335" s="3230">
        <v>3929081</v>
      </c>
      <c r="M335" s="3235">
        <f t="shared" si="70"/>
        <v>18956.341969411878</v>
      </c>
      <c r="N335" s="3236">
        <v>1079081</v>
      </c>
      <c r="O335" s="3244">
        <f t="shared" si="71"/>
        <v>3929081</v>
      </c>
      <c r="P335" s="3244"/>
      <c r="Q335" s="3244"/>
      <c r="R335" s="3244">
        <f t="shared" si="72"/>
        <v>1179081</v>
      </c>
      <c r="S335" s="3244">
        <f t="shared" si="73"/>
        <v>1179081</v>
      </c>
      <c r="T335" s="3236"/>
      <c r="U335" s="3236"/>
      <c r="V335" s="3236"/>
      <c r="W335" s="3236"/>
      <c r="X335" s="3244">
        <f t="shared" si="74"/>
        <v>1179081</v>
      </c>
      <c r="Y335" s="3244">
        <f t="shared" si="75"/>
        <v>2750000</v>
      </c>
      <c r="Z335" s="3285">
        <f t="shared" si="76"/>
        <v>0.30009078458805</v>
      </c>
      <c r="AA335" s="3226" t="s">
        <v>3319</v>
      </c>
      <c r="AB335" s="3226" t="s">
        <v>4587</v>
      </c>
      <c r="AC335" s="3226" t="s">
        <v>4698</v>
      </c>
      <c r="AD335" s="3286" t="s">
        <v>4773</v>
      </c>
      <c r="AE335" s="3286" t="s">
        <v>4774</v>
      </c>
      <c r="AF335" s="3286"/>
      <c r="AG335" s="3323"/>
      <c r="AH335" s="3255"/>
      <c r="AI335" s="3255"/>
      <c r="AJ335" s="3255"/>
      <c r="AK335" s="3287" t="str">
        <f t="shared" si="77"/>
        <v/>
      </c>
      <c r="AL335" s="3288" t="str">
        <f t="shared" si="78"/>
        <v/>
      </c>
      <c r="AM335" s="3226"/>
      <c r="AN335" s="3289"/>
      <c r="AO335" s="3300"/>
      <c r="AP335" s="3300"/>
      <c r="AQ335" s="3300"/>
      <c r="AR335" s="3292"/>
      <c r="AS335" s="3292"/>
      <c r="AT335" s="3292"/>
      <c r="AU335" s="3293"/>
      <c r="AV335" s="3293"/>
      <c r="AW335" s="3294"/>
      <c r="AX335" s="3236"/>
      <c r="AY335" s="3244"/>
      <c r="AZ335" s="3325" t="s">
        <v>4894</v>
      </c>
      <c r="BA335" s="3296" t="str">
        <f t="shared" si="79"/>
        <v>签约</v>
      </c>
      <c r="BB335" s="3226"/>
      <c r="BC335" s="3226"/>
      <c r="BD335" s="3292"/>
      <c r="BE335" s="3297" t="s">
        <v>4465</v>
      </c>
      <c r="BG335" s="3297">
        <f>IFERROR(VLOOKUP(B335,[3]Sheet2!A$1:B$65536,2,FALSE),0)</f>
        <v>0</v>
      </c>
      <c r="BI335" s="3297">
        <f>IFERROR(VLOOKUP(B335,[3]Sheet2!A$1:C$65536,2,FALSE),0)</f>
        <v>0</v>
      </c>
      <c r="BJ335" s="3297">
        <f>IFERROR(VLOOKUP(B335,[3]Sheet2!A$1:C$65536,3,FALSE),0)</f>
        <v>0</v>
      </c>
    </row>
    <row r="336" spans="1:62" s="3261" customFormat="1" ht="20.25" customHeight="1">
      <c r="A336" s="3226">
        <v>334</v>
      </c>
      <c r="B336" s="3250" t="s">
        <v>4255</v>
      </c>
      <c r="C336" s="3250" t="s">
        <v>3009</v>
      </c>
      <c r="D336" s="3251" t="s">
        <v>4122</v>
      </c>
      <c r="E336" s="3229">
        <v>44003</v>
      </c>
      <c r="F336" s="3230">
        <v>200000</v>
      </c>
      <c r="G336" s="3231">
        <v>207.27</v>
      </c>
      <c r="H336" s="3231" t="str">
        <f t="shared" si="68"/>
        <v>非普通住宅</v>
      </c>
      <c r="I336" s="3230">
        <v>4052030</v>
      </c>
      <c r="J336" s="3229">
        <v>44008</v>
      </c>
      <c r="K336" s="3284">
        <f t="shared" si="69"/>
        <v>6</v>
      </c>
      <c r="L336" s="3230">
        <v>3902580</v>
      </c>
      <c r="M336" s="3235">
        <f t="shared" si="70"/>
        <v>18828.484585323491</v>
      </c>
      <c r="N336" s="3236">
        <f>1002580+2700000</f>
        <v>3702580</v>
      </c>
      <c r="O336" s="3244">
        <f t="shared" si="71"/>
        <v>3902580</v>
      </c>
      <c r="P336" s="3244"/>
      <c r="Q336" s="3244"/>
      <c r="R336" s="3244">
        <f t="shared" si="72"/>
        <v>3902580</v>
      </c>
      <c r="S336" s="3244">
        <f t="shared" si="73"/>
        <v>3902580</v>
      </c>
      <c r="T336" s="3236"/>
      <c r="U336" s="3236"/>
      <c r="V336" s="3236"/>
      <c r="W336" s="3236"/>
      <c r="X336" s="3244">
        <f t="shared" si="74"/>
        <v>3902580</v>
      </c>
      <c r="Y336" s="3244">
        <f t="shared" si="75"/>
        <v>0</v>
      </c>
      <c r="Z336" s="3285">
        <f t="shared" si="76"/>
        <v>1</v>
      </c>
      <c r="AA336" s="3226" t="s">
        <v>3319</v>
      </c>
      <c r="AB336" s="3226" t="s">
        <v>4676</v>
      </c>
      <c r="AC336" s="3226"/>
      <c r="AD336" s="3286"/>
      <c r="AE336" s="3286"/>
      <c r="AF336" s="3286"/>
      <c r="AG336" s="3323"/>
      <c r="AH336" s="3255"/>
      <c r="AI336" s="3255"/>
      <c r="AJ336" s="3255"/>
      <c r="AK336" s="3287" t="str">
        <f t="shared" si="77"/>
        <v/>
      </c>
      <c r="AL336" s="3288" t="str">
        <f t="shared" si="78"/>
        <v/>
      </c>
      <c r="AM336" s="3226"/>
      <c r="AN336" s="3289"/>
      <c r="AO336" s="3300"/>
      <c r="AP336" s="3300"/>
      <c r="AQ336" s="3300"/>
      <c r="AR336" s="3292"/>
      <c r="AS336" s="3292"/>
      <c r="AT336" s="3292"/>
      <c r="AU336" s="3293"/>
      <c r="AV336" s="3293"/>
      <c r="AW336" s="3294"/>
      <c r="AX336" s="3236"/>
      <c r="AY336" s="3244"/>
      <c r="AZ336" s="3325" t="s">
        <v>3385</v>
      </c>
      <c r="BA336" s="3296" t="str">
        <f t="shared" si="79"/>
        <v>签约</v>
      </c>
      <c r="BB336" s="3226"/>
      <c r="BC336" s="3226"/>
      <c r="BD336" s="3292"/>
      <c r="BE336" s="3297" t="s">
        <v>4449</v>
      </c>
      <c r="BG336" s="3297">
        <f>IFERROR(VLOOKUP(B336,[3]Sheet2!A$1:B$65536,2,FALSE),0)</f>
        <v>0</v>
      </c>
      <c r="BI336" s="3297">
        <f>IFERROR(VLOOKUP(B336,[3]Sheet2!A$1:C$65536,2,FALSE),0)</f>
        <v>0</v>
      </c>
      <c r="BJ336" s="3297">
        <f>IFERROR(VLOOKUP(B336,[3]Sheet2!A$1:C$65536,3,FALSE),0)</f>
        <v>0</v>
      </c>
    </row>
    <row r="337" spans="1:62" s="3261" customFormat="1" ht="20.25" customHeight="1">
      <c r="A337" s="3226">
        <v>335</v>
      </c>
      <c r="B337" s="3250" t="s">
        <v>3818</v>
      </c>
      <c r="C337" s="3227" t="s">
        <v>3333</v>
      </c>
      <c r="D337" s="3251" t="s">
        <v>3819</v>
      </c>
      <c r="E337" s="3229">
        <v>44032</v>
      </c>
      <c r="F337" s="3230">
        <v>50000</v>
      </c>
      <c r="G337" s="3231">
        <v>150.31</v>
      </c>
      <c r="H337" s="3231" t="str">
        <f t="shared" si="68"/>
        <v>非普通住宅</v>
      </c>
      <c r="I337" s="3230">
        <v>2207678</v>
      </c>
      <c r="J337" s="3229">
        <v>44032</v>
      </c>
      <c r="K337" s="3284">
        <f t="shared" si="69"/>
        <v>7</v>
      </c>
      <c r="L337" s="3230">
        <v>2187678</v>
      </c>
      <c r="M337" s="3235">
        <f t="shared" si="70"/>
        <v>14554.440822300579</v>
      </c>
      <c r="N337" s="3236">
        <v>607678</v>
      </c>
      <c r="O337" s="3244"/>
      <c r="P337" s="3244"/>
      <c r="Q337" s="3244"/>
      <c r="R337" s="3244">
        <f t="shared" si="72"/>
        <v>657678</v>
      </c>
      <c r="S337" s="3244"/>
      <c r="T337" s="3236"/>
      <c r="U337" s="3236"/>
      <c r="V337" s="3236"/>
      <c r="W337" s="3236"/>
      <c r="X337" s="3244">
        <f t="shared" si="74"/>
        <v>657678</v>
      </c>
      <c r="Y337" s="3244">
        <f t="shared" si="75"/>
        <v>1530000</v>
      </c>
      <c r="Z337" s="3285">
        <f t="shared" si="76"/>
        <v>0.30062833744271322</v>
      </c>
      <c r="AA337" s="3226" t="s">
        <v>3319</v>
      </c>
      <c r="AB337" s="3226" t="s">
        <v>4587</v>
      </c>
      <c r="AC337" s="3226" t="s">
        <v>4698</v>
      </c>
      <c r="AD337" s="3286" t="s">
        <v>4773</v>
      </c>
      <c r="AE337" s="3286" t="s">
        <v>4877</v>
      </c>
      <c r="AF337" s="3286"/>
      <c r="AG337" s="3323"/>
      <c r="AH337" s="3255">
        <v>44036</v>
      </c>
      <c r="AI337" s="3255"/>
      <c r="AJ337" s="3255"/>
      <c r="AK337" s="3287" t="str">
        <f t="shared" si="77"/>
        <v/>
      </c>
      <c r="AL337" s="3288" t="str">
        <f t="shared" si="78"/>
        <v/>
      </c>
      <c r="AM337" s="3226" t="s">
        <v>4701</v>
      </c>
      <c r="AN337" s="3289">
        <v>1530000</v>
      </c>
      <c r="AO337" s="3300"/>
      <c r="AP337" s="3300"/>
      <c r="AQ337" s="3300"/>
      <c r="AR337" s="3292"/>
      <c r="AS337" s="3292"/>
      <c r="AT337" s="3292"/>
      <c r="AU337" s="3293"/>
      <c r="AV337" s="3293"/>
      <c r="AW337" s="3294"/>
      <c r="AX337" s="3236"/>
      <c r="AY337" s="3244"/>
      <c r="AZ337" s="3325" t="s">
        <v>4445</v>
      </c>
      <c r="BA337" s="3296" t="str">
        <f t="shared" si="79"/>
        <v>签约</v>
      </c>
      <c r="BB337" s="3226"/>
      <c r="BC337" s="3226"/>
      <c r="BD337" s="3292"/>
      <c r="BE337" s="3297" t="s">
        <v>4696</v>
      </c>
      <c r="BG337" s="3297">
        <f>IFERROR(VLOOKUP(B337,[3]Sheet2!A$1:B$65536,2,FALSE),0)</f>
        <v>0</v>
      </c>
      <c r="BI337" s="3297">
        <f>IFERROR(VLOOKUP(B337,[3]Sheet2!A$1:C$65536,2,FALSE),0)</f>
        <v>0</v>
      </c>
      <c r="BJ337" s="3297">
        <f>IFERROR(VLOOKUP(B337,[3]Sheet2!A$1:C$65536,3,FALSE),0)</f>
        <v>0</v>
      </c>
    </row>
    <row r="338" spans="1:62" s="3261" customFormat="1" ht="20.25" customHeight="1">
      <c r="A338" s="3226">
        <v>336</v>
      </c>
      <c r="B338" s="3250" t="s">
        <v>3820</v>
      </c>
      <c r="C338" s="3227" t="s">
        <v>3333</v>
      </c>
      <c r="D338" s="3251" t="s">
        <v>3821</v>
      </c>
      <c r="E338" s="3229">
        <v>44023</v>
      </c>
      <c r="F338" s="3230">
        <v>50000</v>
      </c>
      <c r="G338" s="3231">
        <v>150.31</v>
      </c>
      <c r="H338" s="3231" t="str">
        <f t="shared" si="68"/>
        <v>非普通住宅</v>
      </c>
      <c r="I338" s="3230">
        <v>2269662</v>
      </c>
      <c r="J338" s="3229">
        <v>44028</v>
      </c>
      <c r="K338" s="3284">
        <f t="shared" si="69"/>
        <v>7</v>
      </c>
      <c r="L338" s="3230">
        <v>2249662</v>
      </c>
      <c r="M338" s="3235">
        <f t="shared" si="70"/>
        <v>14966.81524848646</v>
      </c>
      <c r="N338" s="3236">
        <v>629662</v>
      </c>
      <c r="O338" s="3244"/>
      <c r="P338" s="3244"/>
      <c r="Q338" s="3244"/>
      <c r="R338" s="3244">
        <f t="shared" si="72"/>
        <v>679662</v>
      </c>
      <c r="S338" s="3244"/>
      <c r="T338" s="3236"/>
      <c r="U338" s="3236"/>
      <c r="V338" s="3236">
        <v>1570000</v>
      </c>
      <c r="W338" s="3236"/>
      <c r="X338" s="3244">
        <f t="shared" si="74"/>
        <v>2249662</v>
      </c>
      <c r="Y338" s="3244">
        <f t="shared" si="75"/>
        <v>0</v>
      </c>
      <c r="Z338" s="3285">
        <f t="shared" si="76"/>
        <v>1</v>
      </c>
      <c r="AA338" s="3226" t="s">
        <v>3319</v>
      </c>
      <c r="AB338" s="3226" t="s">
        <v>4587</v>
      </c>
      <c r="AC338" s="3226" t="s">
        <v>4698</v>
      </c>
      <c r="AD338" s="3286" t="s">
        <v>4539</v>
      </c>
      <c r="AE338" s="3286" t="s">
        <v>4427</v>
      </c>
      <c r="AF338" s="3286"/>
      <c r="AG338" s="3323"/>
      <c r="AH338" s="3255">
        <v>44028</v>
      </c>
      <c r="AI338" s="3255">
        <v>44032</v>
      </c>
      <c r="AJ338" s="3255">
        <v>44046</v>
      </c>
      <c r="AK338" s="3287">
        <f t="shared" si="77"/>
        <v>2020</v>
      </c>
      <c r="AL338" s="3288">
        <f t="shared" si="78"/>
        <v>8</v>
      </c>
      <c r="AM338" s="3226" t="s">
        <v>4701</v>
      </c>
      <c r="AN338" s="3289">
        <v>1570000</v>
      </c>
      <c r="AO338" s="3300"/>
      <c r="AP338" s="3300"/>
      <c r="AQ338" s="3300"/>
      <c r="AR338" s="3292"/>
      <c r="AS338" s="3292"/>
      <c r="AT338" s="3292"/>
      <c r="AU338" s="3293"/>
      <c r="AV338" s="3293"/>
      <c r="AW338" s="3294"/>
      <c r="AX338" s="3236"/>
      <c r="AY338" s="3244"/>
      <c r="AZ338" s="3325" t="s">
        <v>4895</v>
      </c>
      <c r="BA338" s="3296" t="str">
        <f t="shared" si="79"/>
        <v>签约</v>
      </c>
      <c r="BB338" s="3226"/>
      <c r="BC338" s="3226"/>
      <c r="BD338" s="3292"/>
      <c r="BE338" s="3297" t="s">
        <v>4367</v>
      </c>
      <c r="BG338" s="3297">
        <f>IFERROR(VLOOKUP(B338,[3]Sheet2!A$1:B$65536,2,FALSE),0)</f>
        <v>0</v>
      </c>
      <c r="BI338" s="3297">
        <f>IFERROR(VLOOKUP(B338,[3]Sheet2!A$1:C$65536,2,FALSE),0)</f>
        <v>0</v>
      </c>
      <c r="BJ338" s="3297">
        <f>IFERROR(VLOOKUP(B338,[3]Sheet2!A$1:C$65536,3,FALSE),0)</f>
        <v>0</v>
      </c>
    </row>
    <row r="339" spans="1:62" s="3261" customFormat="1" ht="20.25" customHeight="1">
      <c r="A339" s="3226">
        <v>337</v>
      </c>
      <c r="B339" s="3250" t="s">
        <v>3822</v>
      </c>
      <c r="C339" s="3227" t="s">
        <v>3333</v>
      </c>
      <c r="D339" s="3251" t="s">
        <v>3823</v>
      </c>
      <c r="E339" s="3229">
        <v>44023</v>
      </c>
      <c r="F339" s="3230">
        <v>50000</v>
      </c>
      <c r="G339" s="3231">
        <v>150.31</v>
      </c>
      <c r="H339" s="3231" t="str">
        <f t="shared" si="68"/>
        <v>非普通住宅</v>
      </c>
      <c r="I339" s="3230">
        <v>2300654</v>
      </c>
      <c r="J339" s="3229">
        <v>44028</v>
      </c>
      <c r="K339" s="3284">
        <f t="shared" si="69"/>
        <v>7</v>
      </c>
      <c r="L339" s="3230">
        <v>2300654</v>
      </c>
      <c r="M339" s="3235">
        <f t="shared" si="70"/>
        <v>15306.06080766416</v>
      </c>
      <c r="N339" s="3236">
        <v>2250654</v>
      </c>
      <c r="O339" s="3244"/>
      <c r="P339" s="3244"/>
      <c r="Q339" s="3244"/>
      <c r="R339" s="3244">
        <f t="shared" si="72"/>
        <v>2300654</v>
      </c>
      <c r="S339" s="3244"/>
      <c r="T339" s="3236"/>
      <c r="U339" s="3236"/>
      <c r="V339" s="3236"/>
      <c r="W339" s="3236"/>
      <c r="X339" s="3244">
        <f t="shared" si="74"/>
        <v>2300654</v>
      </c>
      <c r="Y339" s="3244">
        <f t="shared" si="75"/>
        <v>0</v>
      </c>
      <c r="Z339" s="3285">
        <f t="shared" si="76"/>
        <v>1</v>
      </c>
      <c r="AA339" s="3226" t="s">
        <v>3319</v>
      </c>
      <c r="AB339" s="3226" t="s">
        <v>4676</v>
      </c>
      <c r="AC339" s="3226"/>
      <c r="AD339" s="3286"/>
      <c r="AE339" s="3286"/>
      <c r="AF339" s="3286"/>
      <c r="AG339" s="3323"/>
      <c r="AH339" s="3255"/>
      <c r="AI339" s="3255"/>
      <c r="AJ339" s="3255"/>
      <c r="AK339" s="3287" t="str">
        <f t="shared" si="77"/>
        <v/>
      </c>
      <c r="AL339" s="3288" t="str">
        <f t="shared" si="78"/>
        <v/>
      </c>
      <c r="AM339" s="3226"/>
      <c r="AN339" s="3289"/>
      <c r="AO339" s="3300"/>
      <c r="AP339" s="3300"/>
      <c r="AQ339" s="3300"/>
      <c r="AR339" s="3292"/>
      <c r="AS339" s="3292"/>
      <c r="AT339" s="3292"/>
      <c r="AU339" s="3293"/>
      <c r="AV339" s="3293"/>
      <c r="AW339" s="3294"/>
      <c r="AX339" s="3236"/>
      <c r="AY339" s="3244"/>
      <c r="AZ339" s="3325" t="s">
        <v>4880</v>
      </c>
      <c r="BA339" s="3296" t="str">
        <f t="shared" si="79"/>
        <v>签约</v>
      </c>
      <c r="BB339" s="3226"/>
      <c r="BC339" s="3226"/>
      <c r="BD339" s="3292"/>
      <c r="BE339" s="3297" t="s">
        <v>4696</v>
      </c>
      <c r="BG339" s="3297">
        <f>IFERROR(VLOOKUP(B339,[3]Sheet2!A$1:B$65536,2,FALSE),0)</f>
        <v>0</v>
      </c>
      <c r="BI339" s="3297">
        <f>IFERROR(VLOOKUP(B339,[3]Sheet2!A$1:C$65536,2,FALSE),0)</f>
        <v>0</v>
      </c>
      <c r="BJ339" s="3297">
        <f>IFERROR(VLOOKUP(B339,[3]Sheet2!A$1:C$65536,3,FALSE),0)</f>
        <v>0</v>
      </c>
    </row>
    <row r="340" spans="1:62" s="3261" customFormat="1" ht="20.25" customHeight="1">
      <c r="A340" s="3226">
        <v>338</v>
      </c>
      <c r="B340" s="3250" t="s">
        <v>3824</v>
      </c>
      <c r="C340" s="3227" t="s">
        <v>3333</v>
      </c>
      <c r="D340" s="3251" t="s">
        <v>3825</v>
      </c>
      <c r="E340" s="3229">
        <v>44023</v>
      </c>
      <c r="F340" s="3230">
        <v>50000</v>
      </c>
      <c r="G340" s="3231">
        <v>150.31</v>
      </c>
      <c r="H340" s="3231" t="str">
        <f t="shared" si="68"/>
        <v>非普通住宅</v>
      </c>
      <c r="I340" s="3230">
        <v>2331645</v>
      </c>
      <c r="J340" s="3229">
        <v>44028</v>
      </c>
      <c r="K340" s="3284">
        <f t="shared" si="69"/>
        <v>7</v>
      </c>
      <c r="L340" s="3230">
        <v>2331645</v>
      </c>
      <c r="M340" s="3235">
        <f t="shared" si="70"/>
        <v>15512.241367839797</v>
      </c>
      <c r="N340" s="3236">
        <v>651645</v>
      </c>
      <c r="O340" s="3244"/>
      <c r="P340" s="3244"/>
      <c r="Q340" s="3244"/>
      <c r="R340" s="3244">
        <f t="shared" si="72"/>
        <v>701645</v>
      </c>
      <c r="S340" s="3244"/>
      <c r="T340" s="3236"/>
      <c r="U340" s="3236"/>
      <c r="V340" s="3236"/>
      <c r="W340" s="3236"/>
      <c r="X340" s="3244">
        <f t="shared" si="74"/>
        <v>701645</v>
      </c>
      <c r="Y340" s="3244">
        <f t="shared" si="75"/>
        <v>1630000</v>
      </c>
      <c r="Z340" s="3285">
        <f t="shared" si="76"/>
        <v>0.30092273909621747</v>
      </c>
      <c r="AA340" s="3226" t="s">
        <v>3319</v>
      </c>
      <c r="AB340" s="3226" t="s">
        <v>4587</v>
      </c>
      <c r="AC340" s="3226" t="s">
        <v>4698</v>
      </c>
      <c r="AD340" s="3286" t="s">
        <v>4773</v>
      </c>
      <c r="AE340" s="3286" t="s">
        <v>4877</v>
      </c>
      <c r="AF340" s="3286"/>
      <c r="AG340" s="3323"/>
      <c r="AH340" s="3255">
        <v>44027</v>
      </c>
      <c r="AI340" s="3255"/>
      <c r="AJ340" s="3255"/>
      <c r="AK340" s="3287" t="str">
        <f t="shared" si="77"/>
        <v/>
      </c>
      <c r="AL340" s="3288" t="str">
        <f t="shared" si="78"/>
        <v/>
      </c>
      <c r="AM340" s="3226" t="s">
        <v>4634</v>
      </c>
      <c r="AN340" s="3289">
        <v>1630000</v>
      </c>
      <c r="AO340" s="3300"/>
      <c r="AP340" s="3300"/>
      <c r="AQ340" s="3300"/>
      <c r="AR340" s="3292"/>
      <c r="AS340" s="3292"/>
      <c r="AT340" s="3292"/>
      <c r="AU340" s="3293"/>
      <c r="AV340" s="3293"/>
      <c r="AW340" s="3294"/>
      <c r="AX340" s="3236"/>
      <c r="AY340" s="3244"/>
      <c r="AZ340" s="3325" t="s">
        <v>3385</v>
      </c>
      <c r="BA340" s="3296" t="str">
        <f t="shared" si="79"/>
        <v>签约</v>
      </c>
      <c r="BB340" s="3226"/>
      <c r="BC340" s="3226"/>
      <c r="BD340" s="3292"/>
      <c r="BE340" s="3297" t="s">
        <v>4696</v>
      </c>
      <c r="BG340" s="3297">
        <f>IFERROR(VLOOKUP(B340,[3]Sheet2!A$1:B$65536,2,FALSE),0)</f>
        <v>0</v>
      </c>
      <c r="BI340" s="3297">
        <f>IFERROR(VLOOKUP(B340,[3]Sheet2!A$1:C$65536,2,FALSE),0)</f>
        <v>0</v>
      </c>
      <c r="BJ340" s="3297">
        <f>IFERROR(VLOOKUP(B340,[3]Sheet2!A$1:C$65536,3,FALSE),0)</f>
        <v>0</v>
      </c>
    </row>
    <row r="341" spans="1:62" s="3261" customFormat="1" ht="20.25" customHeight="1">
      <c r="A341" s="3226">
        <v>339</v>
      </c>
      <c r="B341" s="3250" t="s">
        <v>3826</v>
      </c>
      <c r="C341" s="3227" t="s">
        <v>3333</v>
      </c>
      <c r="D341" s="3251" t="s">
        <v>3827</v>
      </c>
      <c r="E341" s="3229">
        <v>44023</v>
      </c>
      <c r="F341" s="3230">
        <v>30000</v>
      </c>
      <c r="G341" s="3231">
        <v>150.31</v>
      </c>
      <c r="H341" s="3231" t="str">
        <f t="shared" si="68"/>
        <v>非普通住宅</v>
      </c>
      <c r="I341" s="3230">
        <v>2362637</v>
      </c>
      <c r="J341" s="3229">
        <v>44028</v>
      </c>
      <c r="K341" s="3284">
        <f t="shared" si="69"/>
        <v>7</v>
      </c>
      <c r="L341" s="3230">
        <v>2342637</v>
      </c>
      <c r="M341" s="3235">
        <f t="shared" si="70"/>
        <v>15585.37023484798</v>
      </c>
      <c r="N341" s="3236">
        <f>682637+1630000</f>
        <v>2312637</v>
      </c>
      <c r="O341" s="3244"/>
      <c r="P341" s="3244"/>
      <c r="Q341" s="3244"/>
      <c r="R341" s="3244">
        <f t="shared" si="72"/>
        <v>2342637</v>
      </c>
      <c r="S341" s="3244"/>
      <c r="T341" s="3236"/>
      <c r="U341" s="3236"/>
      <c r="V341" s="3236"/>
      <c r="W341" s="3236"/>
      <c r="X341" s="3244">
        <f t="shared" si="74"/>
        <v>2342637</v>
      </c>
      <c r="Y341" s="3244">
        <f t="shared" si="75"/>
        <v>0</v>
      </c>
      <c r="Z341" s="3285">
        <f t="shared" si="76"/>
        <v>1</v>
      </c>
      <c r="AA341" s="3226" t="s">
        <v>3319</v>
      </c>
      <c r="AB341" s="3226" t="s">
        <v>4676</v>
      </c>
      <c r="AC341" s="3226"/>
      <c r="AD341" s="3286"/>
      <c r="AE341" s="3286"/>
      <c r="AF341" s="3286"/>
      <c r="AG341" s="3323"/>
      <c r="AH341" s="3255"/>
      <c r="AI341" s="3255"/>
      <c r="AJ341" s="3255"/>
      <c r="AK341" s="3287" t="str">
        <f t="shared" si="77"/>
        <v/>
      </c>
      <c r="AL341" s="3288" t="str">
        <f t="shared" si="78"/>
        <v/>
      </c>
      <c r="AM341" s="3226"/>
      <c r="AN341" s="3289"/>
      <c r="AO341" s="3300"/>
      <c r="AP341" s="3300"/>
      <c r="AQ341" s="3300"/>
      <c r="AR341" s="3292"/>
      <c r="AS341" s="3292"/>
      <c r="AT341" s="3292"/>
      <c r="AU341" s="3293"/>
      <c r="AV341" s="3293"/>
      <c r="AW341" s="3294"/>
      <c r="AX341" s="3236"/>
      <c r="AY341" s="3244"/>
      <c r="AZ341" s="3325" t="s">
        <v>4441</v>
      </c>
      <c r="BA341" s="3296" t="str">
        <f t="shared" si="79"/>
        <v>签约</v>
      </c>
      <c r="BB341" s="3226"/>
      <c r="BC341" s="3226"/>
      <c r="BD341" s="3292"/>
      <c r="BE341" s="3297" t="s">
        <v>4367</v>
      </c>
      <c r="BG341" s="3297">
        <f>IFERROR(VLOOKUP(B341,[3]Sheet2!A$1:B$65536,2,FALSE),0)</f>
        <v>0</v>
      </c>
      <c r="BI341" s="3297">
        <f>IFERROR(VLOOKUP(B341,[3]Sheet2!A$1:C$65536,2,FALSE),0)</f>
        <v>0</v>
      </c>
      <c r="BJ341" s="3297">
        <f>IFERROR(VLOOKUP(B341,[3]Sheet2!A$1:C$65536,3,FALSE),0)</f>
        <v>0</v>
      </c>
    </row>
    <row r="342" spans="1:62" s="3261" customFormat="1" ht="20.25" customHeight="1">
      <c r="A342" s="3226">
        <v>340</v>
      </c>
      <c r="B342" s="3250" t="s">
        <v>3828</v>
      </c>
      <c r="C342" s="3227" t="s">
        <v>3333</v>
      </c>
      <c r="D342" s="3251" t="s">
        <v>3829</v>
      </c>
      <c r="E342" s="3229">
        <v>44035</v>
      </c>
      <c r="F342" s="3230">
        <v>50000</v>
      </c>
      <c r="G342" s="3231">
        <v>150.31</v>
      </c>
      <c r="H342" s="3231" t="str">
        <f t="shared" si="68"/>
        <v>非普通住宅</v>
      </c>
      <c r="I342" s="3230">
        <v>2393629</v>
      </c>
      <c r="J342" s="3229">
        <v>44035</v>
      </c>
      <c r="K342" s="3284">
        <f t="shared" si="69"/>
        <v>7</v>
      </c>
      <c r="L342" s="3230">
        <v>2373629</v>
      </c>
      <c r="M342" s="3235">
        <f t="shared" si="70"/>
        <v>15791.557447940922</v>
      </c>
      <c r="N342" s="3236">
        <v>663629</v>
      </c>
      <c r="O342" s="3244"/>
      <c r="P342" s="3244"/>
      <c r="Q342" s="3244"/>
      <c r="R342" s="3244">
        <f t="shared" si="72"/>
        <v>713629</v>
      </c>
      <c r="S342" s="3244"/>
      <c r="T342" s="3236"/>
      <c r="U342" s="3236"/>
      <c r="V342" s="3236">
        <v>1660000</v>
      </c>
      <c r="W342" s="3236"/>
      <c r="X342" s="3244">
        <f t="shared" si="74"/>
        <v>2373629</v>
      </c>
      <c r="Y342" s="3244">
        <f t="shared" si="75"/>
        <v>0</v>
      </c>
      <c r="Z342" s="3285">
        <f t="shared" si="76"/>
        <v>1</v>
      </c>
      <c r="AA342" s="3226" t="s">
        <v>3319</v>
      </c>
      <c r="AB342" s="3226" t="s">
        <v>4587</v>
      </c>
      <c r="AC342" s="3226" t="s">
        <v>4698</v>
      </c>
      <c r="AD342" s="3286" t="s">
        <v>4539</v>
      </c>
      <c r="AE342" s="3286" t="s">
        <v>4427</v>
      </c>
      <c r="AF342" s="3286"/>
      <c r="AG342" s="3323"/>
      <c r="AH342" s="3255">
        <v>44036</v>
      </c>
      <c r="AI342" s="3255">
        <v>44038</v>
      </c>
      <c r="AJ342" s="3255">
        <v>44042</v>
      </c>
      <c r="AK342" s="3287">
        <f t="shared" si="77"/>
        <v>2020</v>
      </c>
      <c r="AL342" s="3288">
        <f t="shared" si="78"/>
        <v>7</v>
      </c>
      <c r="AM342" s="3226" t="s">
        <v>4881</v>
      </c>
      <c r="AN342" s="3289">
        <v>1660000</v>
      </c>
      <c r="AO342" s="3300"/>
      <c r="AP342" s="3300"/>
      <c r="AQ342" s="3300"/>
      <c r="AR342" s="3292"/>
      <c r="AS342" s="3292"/>
      <c r="AT342" s="3292"/>
      <c r="AU342" s="3293"/>
      <c r="AV342" s="3293"/>
      <c r="AW342" s="3294"/>
      <c r="AX342" s="3236"/>
      <c r="AY342" s="3244"/>
      <c r="AZ342" s="3325" t="s">
        <v>3385</v>
      </c>
      <c r="BA342" s="3296" t="str">
        <f t="shared" si="79"/>
        <v>签约</v>
      </c>
      <c r="BB342" s="3226"/>
      <c r="BC342" s="3226"/>
      <c r="BD342" s="3292"/>
      <c r="BE342" s="3297" t="s">
        <v>4696</v>
      </c>
      <c r="BG342" s="3297">
        <f>IFERROR(VLOOKUP(B342,[3]Sheet2!A$1:B$65536,2,FALSE),0)</f>
        <v>0</v>
      </c>
      <c r="BI342" s="3297">
        <f>IFERROR(VLOOKUP(B342,[3]Sheet2!A$1:C$65536,2,FALSE),0)</f>
        <v>0</v>
      </c>
      <c r="BJ342" s="3297">
        <f>IFERROR(VLOOKUP(B342,[3]Sheet2!A$1:C$65536,3,FALSE),0)</f>
        <v>0</v>
      </c>
    </row>
    <row r="343" spans="1:62" s="3261" customFormat="1" ht="20.25" customHeight="1">
      <c r="A343" s="3226">
        <v>341</v>
      </c>
      <c r="B343" s="3250" t="s">
        <v>3830</v>
      </c>
      <c r="C343" s="3227" t="s">
        <v>3333</v>
      </c>
      <c r="D343" s="3251" t="s">
        <v>3831</v>
      </c>
      <c r="E343" s="3229">
        <v>44029</v>
      </c>
      <c r="F343" s="3230">
        <v>50000</v>
      </c>
      <c r="G343" s="3231">
        <v>150.31</v>
      </c>
      <c r="H343" s="3231" t="str">
        <f t="shared" si="68"/>
        <v>非普通住宅</v>
      </c>
      <c r="I343" s="3230">
        <v>2424621</v>
      </c>
      <c r="J343" s="3229">
        <v>44029</v>
      </c>
      <c r="K343" s="3284">
        <f t="shared" si="69"/>
        <v>7</v>
      </c>
      <c r="L343" s="3230">
        <v>2404621</v>
      </c>
      <c r="M343" s="3235">
        <f t="shared" si="70"/>
        <v>15997.744661033863</v>
      </c>
      <c r="N343" s="3236">
        <f>704621+1050000+100000</f>
        <v>1854621</v>
      </c>
      <c r="O343" s="3244"/>
      <c r="P343" s="3244"/>
      <c r="Q343" s="3244"/>
      <c r="R343" s="3244">
        <f t="shared" si="72"/>
        <v>1904621</v>
      </c>
      <c r="S343" s="3244"/>
      <c r="T343" s="3236"/>
      <c r="U343" s="3236"/>
      <c r="V343" s="3236"/>
      <c r="W343" s="3236"/>
      <c r="X343" s="3244">
        <f t="shared" si="74"/>
        <v>1904621</v>
      </c>
      <c r="Y343" s="3244">
        <f t="shared" si="75"/>
        <v>500000</v>
      </c>
      <c r="Z343" s="3285">
        <f t="shared" si="76"/>
        <v>0.79206702428366049</v>
      </c>
      <c r="AA343" s="3226" t="s">
        <v>3319</v>
      </c>
      <c r="AB343" s="3226" t="s">
        <v>4587</v>
      </c>
      <c r="AC343" s="3226" t="s">
        <v>4698</v>
      </c>
      <c r="AD343" s="3286" t="s">
        <v>4773</v>
      </c>
      <c r="AE343" s="3286" t="s">
        <v>4877</v>
      </c>
      <c r="AF343" s="3286"/>
      <c r="AG343" s="3323"/>
      <c r="AH343" s="3255"/>
      <c r="AI343" s="3255"/>
      <c r="AJ343" s="3255"/>
      <c r="AK343" s="3287" t="str">
        <f t="shared" si="77"/>
        <v/>
      </c>
      <c r="AL343" s="3288" t="str">
        <f t="shared" si="78"/>
        <v/>
      </c>
      <c r="AM343" s="3226"/>
      <c r="AN343" s="3289"/>
      <c r="AO343" s="3300"/>
      <c r="AP343" s="3300"/>
      <c r="AQ343" s="3300"/>
      <c r="AR343" s="3292"/>
      <c r="AS343" s="3292"/>
      <c r="AT343" s="3292"/>
      <c r="AU343" s="3293"/>
      <c r="AV343" s="3293"/>
      <c r="AW343" s="3294"/>
      <c r="AX343" s="3236"/>
      <c r="AY343" s="3244"/>
      <c r="AZ343" s="3325" t="s">
        <v>4895</v>
      </c>
      <c r="BA343" s="3296" t="str">
        <f t="shared" si="79"/>
        <v>签约</v>
      </c>
      <c r="BB343" s="3226"/>
      <c r="BC343" s="3226"/>
      <c r="BD343" s="3292"/>
      <c r="BE343" s="3297" t="s">
        <v>4465</v>
      </c>
      <c r="BG343" s="3297">
        <f>IFERROR(VLOOKUP(B343,[3]Sheet2!A$1:B$65536,2,FALSE),0)</f>
        <v>0</v>
      </c>
      <c r="BI343" s="3297">
        <f>IFERROR(VLOOKUP(B343,[3]Sheet2!A$1:C$65536,2,FALSE),0)</f>
        <v>0</v>
      </c>
      <c r="BJ343" s="3297">
        <f>IFERROR(VLOOKUP(B343,[3]Sheet2!A$1:C$65536,3,FALSE),0)</f>
        <v>0</v>
      </c>
    </row>
    <row r="344" spans="1:62" s="3261" customFormat="1" ht="20.25" customHeight="1">
      <c r="A344" s="3226">
        <v>342</v>
      </c>
      <c r="B344" s="3250" t="s">
        <v>3832</v>
      </c>
      <c r="C344" s="3227" t="s">
        <v>3333</v>
      </c>
      <c r="D344" s="3251" t="s">
        <v>3833</v>
      </c>
      <c r="E344" s="3229">
        <v>44029</v>
      </c>
      <c r="F344" s="3230">
        <v>50000</v>
      </c>
      <c r="G344" s="3231">
        <v>150.31</v>
      </c>
      <c r="H344" s="3231" t="str">
        <f t="shared" si="68"/>
        <v>非普通住宅</v>
      </c>
      <c r="I344" s="3230">
        <v>2455612</v>
      </c>
      <c r="J344" s="3229">
        <v>44029</v>
      </c>
      <c r="K344" s="3284">
        <f t="shared" si="69"/>
        <v>7</v>
      </c>
      <c r="L344" s="3230">
        <v>2455612</v>
      </c>
      <c r="M344" s="3235">
        <f t="shared" si="70"/>
        <v>16336.983567294259</v>
      </c>
      <c r="N344" s="3236">
        <v>955612</v>
      </c>
      <c r="O344" s="3244"/>
      <c r="P344" s="3244"/>
      <c r="Q344" s="3244"/>
      <c r="R344" s="3244">
        <f t="shared" si="72"/>
        <v>1005612</v>
      </c>
      <c r="S344" s="3244"/>
      <c r="T344" s="3236"/>
      <c r="U344" s="3236"/>
      <c r="V344" s="3236">
        <v>1450000</v>
      </c>
      <c r="W344" s="3236"/>
      <c r="X344" s="3244">
        <f t="shared" si="74"/>
        <v>2455612</v>
      </c>
      <c r="Y344" s="3244">
        <f t="shared" si="75"/>
        <v>0</v>
      </c>
      <c r="Z344" s="3285">
        <f t="shared" si="76"/>
        <v>1</v>
      </c>
      <c r="AA344" s="3226" t="s">
        <v>3319</v>
      </c>
      <c r="AB344" s="3226" t="s">
        <v>4587</v>
      </c>
      <c r="AC344" s="3226" t="s">
        <v>4698</v>
      </c>
      <c r="AD344" s="3286" t="s">
        <v>4539</v>
      </c>
      <c r="AE344" s="3286" t="s">
        <v>4427</v>
      </c>
      <c r="AF344" s="3286"/>
      <c r="AG344" s="3323"/>
      <c r="AH344" s="3255">
        <v>44029</v>
      </c>
      <c r="AI344" s="3255">
        <v>44032</v>
      </c>
      <c r="AJ344" s="3255">
        <v>44046</v>
      </c>
      <c r="AK344" s="3287">
        <f t="shared" si="77"/>
        <v>2020</v>
      </c>
      <c r="AL344" s="3288">
        <f t="shared" si="78"/>
        <v>8</v>
      </c>
      <c r="AM344" s="3226" t="s">
        <v>4792</v>
      </c>
      <c r="AN344" s="3289">
        <v>1450000</v>
      </c>
      <c r="AO344" s="3300"/>
      <c r="AP344" s="3300"/>
      <c r="AQ344" s="3300"/>
      <c r="AR344" s="3292"/>
      <c r="AS344" s="3292"/>
      <c r="AT344" s="3292"/>
      <c r="AU344" s="3293"/>
      <c r="AV344" s="3293"/>
      <c r="AW344" s="3294"/>
      <c r="AX344" s="3236"/>
      <c r="AY344" s="3244"/>
      <c r="AZ344" s="3325" t="s">
        <v>4895</v>
      </c>
      <c r="BA344" s="3296" t="str">
        <f t="shared" si="79"/>
        <v>签约</v>
      </c>
      <c r="BB344" s="3226"/>
      <c r="BC344" s="3226"/>
      <c r="BD344" s="3292"/>
      <c r="BE344" s="3297" t="s">
        <v>4465</v>
      </c>
      <c r="BG344" s="3297">
        <f>IFERROR(VLOOKUP(B344,[3]Sheet2!A$1:B$65536,2,FALSE),0)</f>
        <v>0</v>
      </c>
      <c r="BI344" s="3297">
        <f>IFERROR(VLOOKUP(B344,[3]Sheet2!A$1:C$65536,2,FALSE),0)</f>
        <v>0</v>
      </c>
      <c r="BJ344" s="3297">
        <f>IFERROR(VLOOKUP(B344,[3]Sheet2!A$1:C$65536,3,FALSE),0)</f>
        <v>0</v>
      </c>
    </row>
    <row r="345" spans="1:62" s="3261" customFormat="1" ht="20.25" customHeight="1">
      <c r="A345" s="3226">
        <v>343</v>
      </c>
      <c r="B345" s="3250" t="s">
        <v>3834</v>
      </c>
      <c r="C345" s="3227" t="s">
        <v>3333</v>
      </c>
      <c r="D345" s="3251" t="s">
        <v>3835</v>
      </c>
      <c r="E345" s="3229">
        <v>44023</v>
      </c>
      <c r="F345" s="3230">
        <v>50000</v>
      </c>
      <c r="G345" s="3231">
        <v>150.31</v>
      </c>
      <c r="H345" s="3231" t="str">
        <f t="shared" si="68"/>
        <v>非普通住宅</v>
      </c>
      <c r="I345" s="3230">
        <v>2486604</v>
      </c>
      <c r="J345" s="3229">
        <v>44026</v>
      </c>
      <c r="K345" s="3284">
        <f t="shared" si="69"/>
        <v>7</v>
      </c>
      <c r="L345" s="3230">
        <v>2466604</v>
      </c>
      <c r="M345" s="3235">
        <f t="shared" si="70"/>
        <v>16410.112434302442</v>
      </c>
      <c r="N345" s="3236">
        <v>696604</v>
      </c>
      <c r="O345" s="3244"/>
      <c r="P345" s="3244"/>
      <c r="Q345" s="3244"/>
      <c r="R345" s="3244">
        <f t="shared" si="72"/>
        <v>746604</v>
      </c>
      <c r="S345" s="3244"/>
      <c r="T345" s="3236"/>
      <c r="U345" s="3236"/>
      <c r="V345" s="3236"/>
      <c r="W345" s="3236"/>
      <c r="X345" s="3244">
        <f t="shared" si="74"/>
        <v>746604</v>
      </c>
      <c r="Y345" s="3244">
        <f t="shared" si="75"/>
        <v>1720000</v>
      </c>
      <c r="Z345" s="3285">
        <f t="shared" si="76"/>
        <v>0.30268498713210551</v>
      </c>
      <c r="AA345" s="3226" t="s">
        <v>3319</v>
      </c>
      <c r="AB345" s="3226" t="s">
        <v>4587</v>
      </c>
      <c r="AC345" s="3226" t="s">
        <v>4698</v>
      </c>
      <c r="AD345" s="3286" t="s">
        <v>4773</v>
      </c>
      <c r="AE345" s="3286" t="s">
        <v>4774</v>
      </c>
      <c r="AF345" s="3286"/>
      <c r="AG345" s="3323"/>
      <c r="AH345" s="3255"/>
      <c r="AI345" s="3255"/>
      <c r="AJ345" s="3255"/>
      <c r="AK345" s="3287" t="str">
        <f t="shared" si="77"/>
        <v/>
      </c>
      <c r="AL345" s="3288" t="str">
        <f t="shared" si="78"/>
        <v/>
      </c>
      <c r="AM345" s="3226"/>
      <c r="AN345" s="3289"/>
      <c r="AO345" s="3300"/>
      <c r="AP345" s="3300"/>
      <c r="AQ345" s="3300"/>
      <c r="AR345" s="3292"/>
      <c r="AS345" s="3292"/>
      <c r="AT345" s="3292"/>
      <c r="AU345" s="3293"/>
      <c r="AV345" s="3293"/>
      <c r="AW345" s="3294"/>
      <c r="AX345" s="3236"/>
      <c r="AY345" s="3244"/>
      <c r="AZ345" s="3325" t="s">
        <v>4735</v>
      </c>
      <c r="BA345" s="3296" t="str">
        <f t="shared" si="79"/>
        <v>签约</v>
      </c>
      <c r="BB345" s="3226"/>
      <c r="BC345" s="3226"/>
      <c r="BD345" s="3292"/>
      <c r="BE345" s="3297" t="s">
        <v>4449</v>
      </c>
      <c r="BG345" s="3297">
        <f>IFERROR(VLOOKUP(B345,[3]Sheet2!A$1:B$65536,2,FALSE),0)</f>
        <v>0</v>
      </c>
      <c r="BI345" s="3297">
        <f>IFERROR(VLOOKUP(B345,[3]Sheet2!A$1:C$65536,2,FALSE),0)</f>
        <v>0</v>
      </c>
      <c r="BJ345" s="3297">
        <f>IFERROR(VLOOKUP(B345,[3]Sheet2!A$1:C$65536,3,FALSE),0)</f>
        <v>0</v>
      </c>
    </row>
    <row r="346" spans="1:62" s="3261" customFormat="1" ht="20.25" customHeight="1">
      <c r="A346" s="3226">
        <v>344</v>
      </c>
      <c r="B346" s="3250" t="s">
        <v>4896</v>
      </c>
      <c r="C346" s="3227" t="s">
        <v>3333</v>
      </c>
      <c r="D346" s="3251" t="s">
        <v>4897</v>
      </c>
      <c r="E346" s="3229">
        <v>44023</v>
      </c>
      <c r="F346" s="3230">
        <v>50000</v>
      </c>
      <c r="G346" s="3231">
        <v>150.31</v>
      </c>
      <c r="H346" s="3231" t="str">
        <f t="shared" si="68"/>
        <v>非普通住宅</v>
      </c>
      <c r="I346" s="3230">
        <v>2378133</v>
      </c>
      <c r="J346" s="3229"/>
      <c r="K346" s="3284" t="str">
        <f t="shared" si="69"/>
        <v/>
      </c>
      <c r="L346" s="3230"/>
      <c r="M346" s="3235">
        <f t="shared" si="70"/>
        <v>0</v>
      </c>
      <c r="N346" s="3236"/>
      <c r="O346" s="3244"/>
      <c r="P346" s="3244"/>
      <c r="Q346" s="3244"/>
      <c r="R346" s="3244">
        <f t="shared" si="72"/>
        <v>50000</v>
      </c>
      <c r="S346" s="3244"/>
      <c r="T346" s="3236"/>
      <c r="U346" s="3236"/>
      <c r="V346" s="3236"/>
      <c r="W346" s="3236"/>
      <c r="X346" s="3244">
        <f t="shared" si="74"/>
        <v>50000</v>
      </c>
      <c r="Y346" s="3244">
        <f t="shared" si="75"/>
        <v>-50000</v>
      </c>
      <c r="Z346" s="3285" t="e">
        <f t="shared" si="76"/>
        <v>#DIV/0!</v>
      </c>
      <c r="AA346" s="3226" t="s">
        <v>3318</v>
      </c>
      <c r="AB346" s="3226"/>
      <c r="AC346" s="3226"/>
      <c r="AD346" s="3286"/>
      <c r="AE346" s="3286"/>
      <c r="AF346" s="3286"/>
      <c r="AG346" s="3323"/>
      <c r="AH346" s="3255"/>
      <c r="AI346" s="3255"/>
      <c r="AJ346" s="3255"/>
      <c r="AK346" s="3287" t="str">
        <f t="shared" si="77"/>
        <v/>
      </c>
      <c r="AL346" s="3288" t="str">
        <f t="shared" si="78"/>
        <v/>
      </c>
      <c r="AM346" s="3226"/>
      <c r="AN346" s="3289"/>
      <c r="AO346" s="3300"/>
      <c r="AP346" s="3300"/>
      <c r="AQ346" s="3300"/>
      <c r="AR346" s="3292"/>
      <c r="AS346" s="3292"/>
      <c r="AT346" s="3292"/>
      <c r="AU346" s="3293"/>
      <c r="AV346" s="3293"/>
      <c r="AW346" s="3294"/>
      <c r="AX346" s="3236"/>
      <c r="AY346" s="3244"/>
      <c r="AZ346" s="3325"/>
      <c r="BA346" s="3296" t="str">
        <f t="shared" si="79"/>
        <v>认购</v>
      </c>
      <c r="BB346" s="3226"/>
      <c r="BC346" s="3226"/>
      <c r="BD346" s="3292"/>
      <c r="BE346" s="3297"/>
      <c r="BG346" s="3297">
        <f>IFERROR(VLOOKUP(B346,[3]Sheet2!A$1:B$65536,2,FALSE),0)</f>
        <v>0</v>
      </c>
      <c r="BI346" s="3297">
        <f>IFERROR(VLOOKUP(B346,[3]Sheet2!A$1:C$65536,2,FALSE),0)</f>
        <v>0</v>
      </c>
      <c r="BJ346" s="3297">
        <f>IFERROR(VLOOKUP(B346,[3]Sheet2!A$1:C$65536,3,FALSE),0)</f>
        <v>0</v>
      </c>
    </row>
    <row r="347" spans="1:62" s="3261" customFormat="1" ht="20.25" customHeight="1">
      <c r="A347" s="3226">
        <v>345</v>
      </c>
      <c r="B347" s="3250" t="s">
        <v>3836</v>
      </c>
      <c r="C347" s="3227" t="s">
        <v>3333</v>
      </c>
      <c r="D347" s="3251" t="s">
        <v>3837</v>
      </c>
      <c r="E347" s="3229">
        <v>44023</v>
      </c>
      <c r="F347" s="3230">
        <v>50000</v>
      </c>
      <c r="G347" s="3231">
        <v>134.31</v>
      </c>
      <c r="H347" s="3231" t="str">
        <f t="shared" si="68"/>
        <v>普通住宅</v>
      </c>
      <c r="I347" s="3230">
        <v>2025862</v>
      </c>
      <c r="J347" s="3229">
        <v>44027</v>
      </c>
      <c r="K347" s="3284">
        <f t="shared" si="69"/>
        <v>7</v>
      </c>
      <c r="L347" s="3230">
        <v>2005862</v>
      </c>
      <c r="M347" s="3235">
        <f t="shared" si="70"/>
        <v>14934.569280023825</v>
      </c>
      <c r="N347" s="3236">
        <v>555862</v>
      </c>
      <c r="O347" s="3244"/>
      <c r="P347" s="3244"/>
      <c r="Q347" s="3244"/>
      <c r="R347" s="3244">
        <f t="shared" si="72"/>
        <v>605862</v>
      </c>
      <c r="S347" s="3244"/>
      <c r="T347" s="3236"/>
      <c r="U347" s="3236"/>
      <c r="V347" s="3236"/>
      <c r="W347" s="3236"/>
      <c r="X347" s="3244">
        <f t="shared" si="74"/>
        <v>605862</v>
      </c>
      <c r="Y347" s="3244">
        <f t="shared" si="75"/>
        <v>1400000</v>
      </c>
      <c r="Z347" s="3285">
        <f t="shared" si="76"/>
        <v>0.30204570404145448</v>
      </c>
      <c r="AA347" s="3226" t="s">
        <v>3319</v>
      </c>
      <c r="AB347" s="3226" t="s">
        <v>4587</v>
      </c>
      <c r="AC347" s="3226" t="s">
        <v>4698</v>
      </c>
      <c r="AD347" s="3286" t="s">
        <v>4773</v>
      </c>
      <c r="AE347" s="3286" t="s">
        <v>4774</v>
      </c>
      <c r="AF347" s="3286"/>
      <c r="AG347" s="3323"/>
      <c r="AH347" s="3255"/>
      <c r="AI347" s="3255"/>
      <c r="AJ347" s="3255"/>
      <c r="AK347" s="3287" t="str">
        <f t="shared" si="77"/>
        <v/>
      </c>
      <c r="AL347" s="3288" t="str">
        <f t="shared" si="78"/>
        <v/>
      </c>
      <c r="AM347" s="3226"/>
      <c r="AN347" s="3289"/>
      <c r="AO347" s="3300"/>
      <c r="AP347" s="3300"/>
      <c r="AQ347" s="3300"/>
      <c r="AR347" s="3292"/>
      <c r="AS347" s="3292"/>
      <c r="AT347" s="3292"/>
      <c r="AU347" s="3293"/>
      <c r="AV347" s="3293"/>
      <c r="AW347" s="3294"/>
      <c r="AX347" s="3236"/>
      <c r="AY347" s="3244"/>
      <c r="AZ347" s="3325" t="s">
        <v>4507</v>
      </c>
      <c r="BA347" s="3296" t="str">
        <f t="shared" si="79"/>
        <v>签约</v>
      </c>
      <c r="BB347" s="3226"/>
      <c r="BC347" s="3226"/>
      <c r="BD347" s="3292"/>
      <c r="BE347" s="3297" t="s">
        <v>4696</v>
      </c>
      <c r="BG347" s="3297">
        <f>IFERROR(VLOOKUP(B347,[3]Sheet2!A$1:B$65536,2,FALSE),0)</f>
        <v>0</v>
      </c>
      <c r="BI347" s="3297">
        <f>IFERROR(VLOOKUP(B347,[3]Sheet2!A$1:C$65536,2,FALSE),0)</f>
        <v>0</v>
      </c>
      <c r="BJ347" s="3297">
        <f>IFERROR(VLOOKUP(B347,[3]Sheet2!A$1:C$65536,3,FALSE),0)</f>
        <v>0</v>
      </c>
    </row>
    <row r="348" spans="1:62" s="3261" customFormat="1" ht="20.25" customHeight="1">
      <c r="A348" s="3226">
        <v>346</v>
      </c>
      <c r="B348" s="3250" t="s">
        <v>3838</v>
      </c>
      <c r="C348" s="3227" t="s">
        <v>3333</v>
      </c>
      <c r="D348" s="3251" t="s">
        <v>3839</v>
      </c>
      <c r="E348" s="3229">
        <v>44023</v>
      </c>
      <c r="F348" s="3230">
        <v>50000</v>
      </c>
      <c r="G348" s="3231">
        <v>134.31</v>
      </c>
      <c r="H348" s="3231" t="str">
        <f t="shared" si="68"/>
        <v>普通住宅</v>
      </c>
      <c r="I348" s="3230">
        <v>2081247</v>
      </c>
      <c r="J348" s="3229">
        <v>44028</v>
      </c>
      <c r="K348" s="3284">
        <f t="shared" si="69"/>
        <v>7</v>
      </c>
      <c r="L348" s="3230">
        <v>2061247</v>
      </c>
      <c r="M348" s="3235">
        <f t="shared" si="70"/>
        <v>15346.936192390738</v>
      </c>
      <c r="N348" s="3236">
        <f>571247+1200000</f>
        <v>1771247</v>
      </c>
      <c r="O348" s="3244"/>
      <c r="P348" s="3244"/>
      <c r="Q348" s="3244"/>
      <c r="R348" s="3244">
        <f t="shared" si="72"/>
        <v>1821247</v>
      </c>
      <c r="S348" s="3244"/>
      <c r="T348" s="3236"/>
      <c r="U348" s="3236"/>
      <c r="V348" s="3236"/>
      <c r="W348" s="3236"/>
      <c r="X348" s="3244">
        <f t="shared" si="74"/>
        <v>1821247</v>
      </c>
      <c r="Y348" s="3244">
        <f t="shared" si="75"/>
        <v>240000</v>
      </c>
      <c r="Z348" s="3285">
        <f t="shared" si="76"/>
        <v>0.88356562799121119</v>
      </c>
      <c r="AA348" s="3226" t="s">
        <v>3319</v>
      </c>
      <c r="AB348" s="3226" t="s">
        <v>4587</v>
      </c>
      <c r="AC348" s="3226" t="s">
        <v>4698</v>
      </c>
      <c r="AD348" s="3286" t="s">
        <v>4773</v>
      </c>
      <c r="AE348" s="3286" t="s">
        <v>4774</v>
      </c>
      <c r="AF348" s="3286"/>
      <c r="AG348" s="3323"/>
      <c r="AH348" s="3255"/>
      <c r="AI348" s="3255"/>
      <c r="AJ348" s="3255"/>
      <c r="AK348" s="3287" t="str">
        <f t="shared" si="77"/>
        <v/>
      </c>
      <c r="AL348" s="3288" t="str">
        <f t="shared" si="78"/>
        <v/>
      </c>
      <c r="AM348" s="3226"/>
      <c r="AN348" s="3289"/>
      <c r="AO348" s="3300"/>
      <c r="AP348" s="3300"/>
      <c r="AQ348" s="3300"/>
      <c r="AR348" s="3292"/>
      <c r="AS348" s="3292"/>
      <c r="AT348" s="3292"/>
      <c r="AU348" s="3293"/>
      <c r="AV348" s="3293"/>
      <c r="AW348" s="3294"/>
      <c r="AX348" s="3236"/>
      <c r="AY348" s="3244"/>
      <c r="AZ348" s="3325" t="s">
        <v>3385</v>
      </c>
      <c r="BA348" s="3296" t="str">
        <f t="shared" si="79"/>
        <v>签约</v>
      </c>
      <c r="BB348" s="3226"/>
      <c r="BC348" s="3226"/>
      <c r="BD348" s="3292"/>
      <c r="BE348" s="3297" t="s">
        <v>4696</v>
      </c>
      <c r="BG348" s="3297">
        <f>IFERROR(VLOOKUP(B348,[3]Sheet2!A$1:B$65536,2,FALSE),0)</f>
        <v>0</v>
      </c>
      <c r="BI348" s="3297">
        <f>IFERROR(VLOOKUP(B348,[3]Sheet2!A$1:C$65536,2,FALSE),0)</f>
        <v>0</v>
      </c>
      <c r="BJ348" s="3297">
        <f>IFERROR(VLOOKUP(B348,[3]Sheet2!A$1:C$65536,3,FALSE),0)</f>
        <v>0</v>
      </c>
    </row>
    <row r="349" spans="1:62" s="3261" customFormat="1" ht="20.25" customHeight="1">
      <c r="A349" s="3226">
        <v>347</v>
      </c>
      <c r="B349" s="3250" t="s">
        <v>3840</v>
      </c>
      <c r="C349" s="3227" t="s">
        <v>3333</v>
      </c>
      <c r="D349" s="3251" t="s">
        <v>3841</v>
      </c>
      <c r="E349" s="3229">
        <v>44023</v>
      </c>
      <c r="F349" s="3230">
        <v>50000</v>
      </c>
      <c r="G349" s="3231">
        <v>134.31</v>
      </c>
      <c r="H349" s="3231" t="str">
        <f t="shared" si="68"/>
        <v>普通住宅</v>
      </c>
      <c r="I349" s="3230">
        <v>2108940</v>
      </c>
      <c r="J349" s="3229">
        <v>44028</v>
      </c>
      <c r="K349" s="3284">
        <f t="shared" si="69"/>
        <v>7</v>
      </c>
      <c r="L349" s="3230">
        <v>2088940</v>
      </c>
      <c r="M349" s="3235">
        <f t="shared" si="70"/>
        <v>15553.12337130519</v>
      </c>
      <c r="N349" s="3236">
        <v>2038940</v>
      </c>
      <c r="O349" s="3244"/>
      <c r="P349" s="3244"/>
      <c r="Q349" s="3244"/>
      <c r="R349" s="3244">
        <f t="shared" si="72"/>
        <v>2088940</v>
      </c>
      <c r="S349" s="3244"/>
      <c r="T349" s="3236"/>
      <c r="U349" s="3236"/>
      <c r="V349" s="3236"/>
      <c r="W349" s="3236"/>
      <c r="X349" s="3244">
        <f t="shared" si="74"/>
        <v>2088940</v>
      </c>
      <c r="Y349" s="3244">
        <f t="shared" si="75"/>
        <v>0</v>
      </c>
      <c r="Z349" s="3285">
        <f t="shared" si="76"/>
        <v>1</v>
      </c>
      <c r="AA349" s="3226" t="s">
        <v>3319</v>
      </c>
      <c r="AB349" s="3226" t="s">
        <v>4676</v>
      </c>
      <c r="AC349" s="3226"/>
      <c r="AD349" s="3286"/>
      <c r="AE349" s="3286"/>
      <c r="AF349" s="3286"/>
      <c r="AG349" s="3323"/>
      <c r="AH349" s="3255"/>
      <c r="AI349" s="3255"/>
      <c r="AJ349" s="3255"/>
      <c r="AK349" s="3287" t="str">
        <f t="shared" si="77"/>
        <v/>
      </c>
      <c r="AL349" s="3288" t="str">
        <f t="shared" si="78"/>
        <v/>
      </c>
      <c r="AM349" s="3226"/>
      <c r="AN349" s="3289"/>
      <c r="AO349" s="3300"/>
      <c r="AP349" s="3300"/>
      <c r="AQ349" s="3300"/>
      <c r="AR349" s="3292"/>
      <c r="AS349" s="3292"/>
      <c r="AT349" s="3292"/>
      <c r="AU349" s="3293"/>
      <c r="AV349" s="3293"/>
      <c r="AW349" s="3294"/>
      <c r="AX349" s="3236"/>
      <c r="AY349" s="3244"/>
      <c r="AZ349" s="3325" t="s">
        <v>4448</v>
      </c>
      <c r="BA349" s="3296" t="str">
        <f t="shared" si="79"/>
        <v>签约</v>
      </c>
      <c r="BB349" s="3226"/>
      <c r="BC349" s="3226"/>
      <c r="BD349" s="3292"/>
      <c r="BE349" s="3297" t="s">
        <v>4696</v>
      </c>
      <c r="BG349" s="3297">
        <f>IFERROR(VLOOKUP(B349,[3]Sheet2!A$1:B$65536,2,FALSE),0)</f>
        <v>0</v>
      </c>
      <c r="BI349" s="3297">
        <f>IFERROR(VLOOKUP(B349,[3]Sheet2!A$1:C$65536,2,FALSE),0)</f>
        <v>0</v>
      </c>
      <c r="BJ349" s="3297">
        <f>IFERROR(VLOOKUP(B349,[3]Sheet2!A$1:C$65536,3,FALSE),0)</f>
        <v>0</v>
      </c>
    </row>
    <row r="350" spans="1:62" s="3261" customFormat="1" ht="20.25" customHeight="1">
      <c r="A350" s="3226">
        <v>348</v>
      </c>
      <c r="B350" s="3250" t="s">
        <v>3842</v>
      </c>
      <c r="C350" s="3227" t="s">
        <v>3333</v>
      </c>
      <c r="D350" s="3251" t="s">
        <v>3843</v>
      </c>
      <c r="E350" s="3229">
        <v>44023</v>
      </c>
      <c r="F350" s="3230">
        <v>50000</v>
      </c>
      <c r="G350" s="3231">
        <v>134.31</v>
      </c>
      <c r="H350" s="3231" t="str">
        <f t="shared" si="68"/>
        <v>普通住宅</v>
      </c>
      <c r="I350" s="3230">
        <v>2136633</v>
      </c>
      <c r="J350" s="3229">
        <v>44027</v>
      </c>
      <c r="K350" s="3284">
        <f t="shared" si="69"/>
        <v>7</v>
      </c>
      <c r="L350" s="3230">
        <v>2116633</v>
      </c>
      <c r="M350" s="3235">
        <f t="shared" si="70"/>
        <v>15759.310550219641</v>
      </c>
      <c r="N350" s="3236">
        <v>586633</v>
      </c>
      <c r="O350" s="3244"/>
      <c r="P350" s="3244"/>
      <c r="Q350" s="3244"/>
      <c r="R350" s="3244">
        <f t="shared" si="72"/>
        <v>636633</v>
      </c>
      <c r="S350" s="3244"/>
      <c r="T350" s="3236"/>
      <c r="U350" s="3236"/>
      <c r="V350" s="3236">
        <v>1480000</v>
      </c>
      <c r="W350" s="3236"/>
      <c r="X350" s="3244">
        <f t="shared" si="74"/>
        <v>2116633</v>
      </c>
      <c r="Y350" s="3244">
        <f t="shared" si="75"/>
        <v>0</v>
      </c>
      <c r="Z350" s="3285">
        <f t="shared" si="76"/>
        <v>1</v>
      </c>
      <c r="AA350" s="3226" t="s">
        <v>3319</v>
      </c>
      <c r="AB350" s="3226" t="s">
        <v>4587</v>
      </c>
      <c r="AC350" s="3226" t="s">
        <v>4698</v>
      </c>
      <c r="AD350" s="3286" t="s">
        <v>4539</v>
      </c>
      <c r="AE350" s="3286" t="s">
        <v>4427</v>
      </c>
      <c r="AF350" s="3286"/>
      <c r="AG350" s="3323"/>
      <c r="AH350" s="3255">
        <v>44027</v>
      </c>
      <c r="AI350" s="3255">
        <v>44027</v>
      </c>
      <c r="AJ350" s="3255">
        <v>44034</v>
      </c>
      <c r="AK350" s="3287">
        <f t="shared" si="77"/>
        <v>2020</v>
      </c>
      <c r="AL350" s="3288">
        <f t="shared" si="78"/>
        <v>7</v>
      </c>
      <c r="AM350" s="3226" t="s">
        <v>4881</v>
      </c>
      <c r="AN350" s="3289">
        <v>1480000</v>
      </c>
      <c r="AO350" s="3300"/>
      <c r="AP350" s="3300"/>
      <c r="AQ350" s="3300"/>
      <c r="AR350" s="3292"/>
      <c r="AS350" s="3292"/>
      <c r="AT350" s="3292"/>
      <c r="AU350" s="3293"/>
      <c r="AV350" s="3293"/>
      <c r="AW350" s="3294"/>
      <c r="AX350" s="3236"/>
      <c r="AY350" s="3244"/>
      <c r="AZ350" s="3325" t="s">
        <v>4448</v>
      </c>
      <c r="BA350" s="3296" t="str">
        <f t="shared" si="79"/>
        <v>签约</v>
      </c>
      <c r="BB350" s="3226"/>
      <c r="BC350" s="3226"/>
      <c r="BD350" s="3292"/>
      <c r="BE350" s="3297" t="s">
        <v>4449</v>
      </c>
      <c r="BG350" s="3297">
        <f>IFERROR(VLOOKUP(B350,[3]Sheet2!A$1:B$65536,2,FALSE),0)</f>
        <v>0</v>
      </c>
      <c r="BI350" s="3297">
        <f>IFERROR(VLOOKUP(B350,[3]Sheet2!A$1:C$65536,2,FALSE),0)</f>
        <v>0</v>
      </c>
      <c r="BJ350" s="3297">
        <f>IFERROR(VLOOKUP(B350,[3]Sheet2!A$1:C$65536,3,FALSE),0)</f>
        <v>0</v>
      </c>
    </row>
    <row r="351" spans="1:62" s="3261" customFormat="1" ht="20.25" customHeight="1">
      <c r="A351" s="3226">
        <v>349</v>
      </c>
      <c r="B351" s="3250" t="s">
        <v>3844</v>
      </c>
      <c r="C351" s="3227" t="s">
        <v>3333</v>
      </c>
      <c r="D351" s="3251" t="s">
        <v>3845</v>
      </c>
      <c r="E351" s="3229">
        <v>44023</v>
      </c>
      <c r="F351" s="3230">
        <v>50000</v>
      </c>
      <c r="G351" s="3231">
        <v>134.31</v>
      </c>
      <c r="H351" s="3231" t="str">
        <f t="shared" si="68"/>
        <v>普通住宅</v>
      </c>
      <c r="I351" s="3230">
        <v>2164326</v>
      </c>
      <c r="J351" s="3229">
        <v>44027</v>
      </c>
      <c r="K351" s="3284">
        <f t="shared" si="69"/>
        <v>7</v>
      </c>
      <c r="L351" s="3230">
        <v>2144326</v>
      </c>
      <c r="M351" s="3235">
        <f t="shared" si="70"/>
        <v>15965.497729134093</v>
      </c>
      <c r="N351" s="3236">
        <v>594326</v>
      </c>
      <c r="O351" s="3244"/>
      <c r="P351" s="3244"/>
      <c r="Q351" s="3244"/>
      <c r="R351" s="3244">
        <f t="shared" si="72"/>
        <v>644326</v>
      </c>
      <c r="S351" s="3244"/>
      <c r="T351" s="3236"/>
      <c r="U351" s="3236"/>
      <c r="V351" s="3236"/>
      <c r="W351" s="3236"/>
      <c r="X351" s="3244">
        <f t="shared" si="74"/>
        <v>644326</v>
      </c>
      <c r="Y351" s="3244">
        <f t="shared" si="75"/>
        <v>1500000</v>
      </c>
      <c r="Z351" s="3285">
        <f t="shared" si="76"/>
        <v>0.30047949798677998</v>
      </c>
      <c r="AA351" s="3226" t="s">
        <v>3319</v>
      </c>
      <c r="AB351" s="3226" t="s">
        <v>4587</v>
      </c>
      <c r="AC351" s="3226" t="s">
        <v>4698</v>
      </c>
      <c r="AD351" s="3286" t="s">
        <v>4773</v>
      </c>
      <c r="AE351" s="3286" t="s">
        <v>4774</v>
      </c>
      <c r="AF351" s="3286"/>
      <c r="AG351" s="3323"/>
      <c r="AH351" s="3255"/>
      <c r="AI351" s="3255"/>
      <c r="AJ351" s="3255"/>
      <c r="AK351" s="3287" t="str">
        <f t="shared" si="77"/>
        <v/>
      </c>
      <c r="AL351" s="3288" t="str">
        <f t="shared" si="78"/>
        <v/>
      </c>
      <c r="AM351" s="3226"/>
      <c r="AN351" s="3289"/>
      <c r="AO351" s="3300"/>
      <c r="AP351" s="3300"/>
      <c r="AQ351" s="3300"/>
      <c r="AR351" s="3292"/>
      <c r="AS351" s="3292"/>
      <c r="AT351" s="3292"/>
      <c r="AU351" s="3293"/>
      <c r="AV351" s="3293"/>
      <c r="AW351" s="3294"/>
      <c r="AX351" s="3236"/>
      <c r="AY351" s="3244"/>
      <c r="AZ351" s="3325" t="s">
        <v>4429</v>
      </c>
      <c r="BA351" s="3296" t="str">
        <f t="shared" si="79"/>
        <v>签约</v>
      </c>
      <c r="BB351" s="3226"/>
      <c r="BC351" s="3226"/>
      <c r="BD351" s="3292"/>
      <c r="BE351" s="3297" t="s">
        <v>4367</v>
      </c>
      <c r="BG351" s="3297">
        <f>IFERROR(VLOOKUP(B351,[3]Sheet2!A$1:B$65536,2,FALSE),0)</f>
        <v>0</v>
      </c>
      <c r="BI351" s="3297">
        <f>IFERROR(VLOOKUP(B351,[3]Sheet2!A$1:C$65536,2,FALSE),0)</f>
        <v>0</v>
      </c>
      <c r="BJ351" s="3297">
        <f>IFERROR(VLOOKUP(B351,[3]Sheet2!A$1:C$65536,3,FALSE),0)</f>
        <v>0</v>
      </c>
    </row>
    <row r="352" spans="1:62" s="3261" customFormat="1" ht="20.25" customHeight="1">
      <c r="A352" s="3226">
        <v>350</v>
      </c>
      <c r="B352" s="3250" t="s">
        <v>3846</v>
      </c>
      <c r="C352" s="3227" t="s">
        <v>3333</v>
      </c>
      <c r="D352" s="3251" t="s">
        <v>3847</v>
      </c>
      <c r="E352" s="3229">
        <v>44023</v>
      </c>
      <c r="F352" s="3230">
        <v>50000</v>
      </c>
      <c r="G352" s="3231">
        <v>134.31</v>
      </c>
      <c r="H352" s="3231" t="str">
        <f t="shared" si="68"/>
        <v>普通住宅</v>
      </c>
      <c r="I352" s="3230">
        <v>2192019</v>
      </c>
      <c r="J352" s="3229">
        <v>44031</v>
      </c>
      <c r="K352" s="3284">
        <f t="shared" si="69"/>
        <v>7</v>
      </c>
      <c r="L352" s="3230">
        <v>2172019</v>
      </c>
      <c r="M352" s="3235">
        <f t="shared" si="70"/>
        <v>16171.684908048544</v>
      </c>
      <c r="N352" s="3236">
        <v>602019</v>
      </c>
      <c r="O352" s="3244"/>
      <c r="P352" s="3244"/>
      <c r="Q352" s="3244"/>
      <c r="R352" s="3244">
        <f t="shared" si="72"/>
        <v>652019</v>
      </c>
      <c r="S352" s="3244"/>
      <c r="T352" s="3236"/>
      <c r="U352" s="3236"/>
      <c r="V352" s="3236"/>
      <c r="W352" s="3236"/>
      <c r="X352" s="3244">
        <f t="shared" si="74"/>
        <v>652019</v>
      </c>
      <c r="Y352" s="3244">
        <f t="shared" si="75"/>
        <v>1520000</v>
      </c>
      <c r="Z352" s="3285">
        <f t="shared" si="76"/>
        <v>0.30019028378665197</v>
      </c>
      <c r="AA352" s="3226" t="s">
        <v>3319</v>
      </c>
      <c r="AB352" s="3226" t="s">
        <v>4587</v>
      </c>
      <c r="AC352" s="3226" t="s">
        <v>4698</v>
      </c>
      <c r="AD352" s="3286" t="s">
        <v>4773</v>
      </c>
      <c r="AE352" s="3286" t="s">
        <v>4774</v>
      </c>
      <c r="AF352" s="3286"/>
      <c r="AG352" s="3323"/>
      <c r="AH352" s="3255"/>
      <c r="AI352" s="3255"/>
      <c r="AJ352" s="3255"/>
      <c r="AK352" s="3287" t="str">
        <f t="shared" si="77"/>
        <v/>
      </c>
      <c r="AL352" s="3288" t="str">
        <f t="shared" si="78"/>
        <v/>
      </c>
      <c r="AM352" s="3226"/>
      <c r="AN352" s="3289"/>
      <c r="AO352" s="3300"/>
      <c r="AP352" s="3300"/>
      <c r="AQ352" s="3300"/>
      <c r="AR352" s="3292"/>
      <c r="AS352" s="3292"/>
      <c r="AT352" s="3292"/>
      <c r="AU352" s="3293"/>
      <c r="AV352" s="3293"/>
      <c r="AW352" s="3294"/>
      <c r="AX352" s="3236"/>
      <c r="AY352" s="3244"/>
      <c r="AZ352" s="3325" t="s">
        <v>4894</v>
      </c>
      <c r="BA352" s="3296" t="str">
        <f t="shared" si="79"/>
        <v>签约</v>
      </c>
      <c r="BB352" s="3226"/>
      <c r="BC352" s="3226"/>
      <c r="BD352" s="3292"/>
      <c r="BE352" s="3297" t="s">
        <v>4449</v>
      </c>
      <c r="BG352" s="3297">
        <f>IFERROR(VLOOKUP(B352,[3]Sheet2!A$1:B$65536,2,FALSE),0)</f>
        <v>0</v>
      </c>
      <c r="BI352" s="3297">
        <f>IFERROR(VLOOKUP(B352,[3]Sheet2!A$1:C$65536,2,FALSE),0)</f>
        <v>0</v>
      </c>
      <c r="BJ352" s="3297">
        <f>IFERROR(VLOOKUP(B352,[3]Sheet2!A$1:C$65536,3,FALSE),0)</f>
        <v>0</v>
      </c>
    </row>
    <row r="353" spans="1:64" s="3261" customFormat="1" ht="20.25" customHeight="1">
      <c r="A353" s="3226">
        <v>351</v>
      </c>
      <c r="B353" s="3250" t="s">
        <v>3848</v>
      </c>
      <c r="C353" s="3227" t="s">
        <v>3333</v>
      </c>
      <c r="D353" s="3251" t="s">
        <v>3849</v>
      </c>
      <c r="E353" s="3229">
        <v>44023</v>
      </c>
      <c r="F353" s="3230">
        <v>50000</v>
      </c>
      <c r="G353" s="3231">
        <v>134.31</v>
      </c>
      <c r="H353" s="3231" t="str">
        <f t="shared" si="68"/>
        <v>普通住宅</v>
      </c>
      <c r="I353" s="3230">
        <v>2219711</v>
      </c>
      <c r="J353" s="3229">
        <v>44030</v>
      </c>
      <c r="K353" s="3284">
        <f t="shared" si="69"/>
        <v>7</v>
      </c>
      <c r="L353" s="3230">
        <v>2199711</v>
      </c>
      <c r="M353" s="3235">
        <f t="shared" si="70"/>
        <v>16377.864641501004</v>
      </c>
      <c r="N353" s="3236">
        <v>2149711</v>
      </c>
      <c r="O353" s="3244"/>
      <c r="P353" s="3244"/>
      <c r="Q353" s="3244"/>
      <c r="R353" s="3244">
        <f t="shared" si="72"/>
        <v>2199711</v>
      </c>
      <c r="S353" s="3244"/>
      <c r="T353" s="3236"/>
      <c r="U353" s="3236"/>
      <c r="V353" s="3236"/>
      <c r="W353" s="3236"/>
      <c r="X353" s="3244">
        <f t="shared" si="74"/>
        <v>2199711</v>
      </c>
      <c r="Y353" s="3244">
        <f t="shared" si="75"/>
        <v>0</v>
      </c>
      <c r="Z353" s="3285">
        <f t="shared" si="76"/>
        <v>1</v>
      </c>
      <c r="AA353" s="3226" t="s">
        <v>3319</v>
      </c>
      <c r="AB353" s="3226" t="s">
        <v>4676</v>
      </c>
      <c r="AC353" s="3226"/>
      <c r="AD353" s="3286"/>
      <c r="AE353" s="3286"/>
      <c r="AF353" s="3286"/>
      <c r="AG353" s="3323"/>
      <c r="AH353" s="3255"/>
      <c r="AI353" s="3255"/>
      <c r="AJ353" s="3255"/>
      <c r="AK353" s="3287" t="str">
        <f t="shared" si="77"/>
        <v/>
      </c>
      <c r="AL353" s="3288" t="str">
        <f t="shared" si="78"/>
        <v/>
      </c>
      <c r="AM353" s="3226"/>
      <c r="AN353" s="3289"/>
      <c r="AO353" s="3300"/>
      <c r="AP353" s="3300"/>
      <c r="AQ353" s="3300"/>
      <c r="AR353" s="3292"/>
      <c r="AS353" s="3292"/>
      <c r="AT353" s="3292"/>
      <c r="AU353" s="3293"/>
      <c r="AV353" s="3293"/>
      <c r="AW353" s="3294"/>
      <c r="AX353" s="3236"/>
      <c r="AY353" s="3244"/>
      <c r="AZ353" s="3325" t="s">
        <v>4445</v>
      </c>
      <c r="BA353" s="3296" t="str">
        <f t="shared" si="79"/>
        <v>签约</v>
      </c>
      <c r="BB353" s="3226"/>
      <c r="BC353" s="3226"/>
      <c r="BD353" s="3292"/>
      <c r="BE353" s="3297" t="s">
        <v>4696</v>
      </c>
      <c r="BG353" s="3297">
        <f>IFERROR(VLOOKUP(B353,[3]Sheet2!A$1:B$65536,2,FALSE),0)</f>
        <v>0</v>
      </c>
      <c r="BI353" s="3297">
        <f>IFERROR(VLOOKUP(B353,[3]Sheet2!A$1:C$65536,2,FALSE),0)</f>
        <v>0</v>
      </c>
      <c r="BJ353" s="3297">
        <f>IFERROR(VLOOKUP(B353,[3]Sheet2!A$1:C$65536,3,FALSE),0)</f>
        <v>0</v>
      </c>
    </row>
    <row r="354" spans="1:64" s="3261" customFormat="1" ht="20.25" customHeight="1">
      <c r="A354" s="3226">
        <v>352</v>
      </c>
      <c r="B354" s="3250" t="s">
        <v>3850</v>
      </c>
      <c r="C354" s="3227" t="s">
        <v>3333</v>
      </c>
      <c r="D354" s="3251" t="s">
        <v>3851</v>
      </c>
      <c r="E354" s="3229">
        <v>44023</v>
      </c>
      <c r="F354" s="3230">
        <v>50000</v>
      </c>
      <c r="G354" s="3231">
        <v>134.31</v>
      </c>
      <c r="H354" s="3231" t="str">
        <f t="shared" si="68"/>
        <v>普通住宅</v>
      </c>
      <c r="I354" s="3230">
        <v>2247404</v>
      </c>
      <c r="J354" s="3229">
        <v>44026</v>
      </c>
      <c r="K354" s="3284">
        <f t="shared" si="69"/>
        <v>7</v>
      </c>
      <c r="L354" s="3230">
        <v>2227404</v>
      </c>
      <c r="M354" s="3235">
        <f t="shared" si="70"/>
        <v>16584.051820415458</v>
      </c>
      <c r="N354" s="3236">
        <v>627404</v>
      </c>
      <c r="O354" s="3244"/>
      <c r="P354" s="3244"/>
      <c r="Q354" s="3244"/>
      <c r="R354" s="3244">
        <f t="shared" si="72"/>
        <v>677404</v>
      </c>
      <c r="S354" s="3244"/>
      <c r="T354" s="3236"/>
      <c r="U354" s="3236"/>
      <c r="V354" s="3236">
        <v>1550000</v>
      </c>
      <c r="W354" s="3236"/>
      <c r="X354" s="3244">
        <f t="shared" si="74"/>
        <v>2227404</v>
      </c>
      <c r="Y354" s="3244">
        <f t="shared" si="75"/>
        <v>0</v>
      </c>
      <c r="Z354" s="3285">
        <f t="shared" si="76"/>
        <v>1</v>
      </c>
      <c r="AA354" s="3226" t="s">
        <v>3319</v>
      </c>
      <c r="AB354" s="3226" t="s">
        <v>4587</v>
      </c>
      <c r="AC354" s="3226" t="s">
        <v>4698</v>
      </c>
      <c r="AD354" s="3286" t="s">
        <v>4539</v>
      </c>
      <c r="AE354" s="3286" t="s">
        <v>4427</v>
      </c>
      <c r="AF354" s="3286"/>
      <c r="AG354" s="3323"/>
      <c r="AH354" s="3255">
        <v>44026</v>
      </c>
      <c r="AI354" s="3255">
        <v>44032</v>
      </c>
      <c r="AJ354" s="3255">
        <v>44039</v>
      </c>
      <c r="AK354" s="3287">
        <f t="shared" si="77"/>
        <v>2020</v>
      </c>
      <c r="AL354" s="3288">
        <f t="shared" si="78"/>
        <v>7</v>
      </c>
      <c r="AM354" s="3226" t="s">
        <v>4777</v>
      </c>
      <c r="AN354" s="3289">
        <v>1550000</v>
      </c>
      <c r="AO354" s="3300"/>
      <c r="AP354" s="3300"/>
      <c r="AQ354" s="3300"/>
      <c r="AR354" s="3292"/>
      <c r="AS354" s="3292"/>
      <c r="AT354" s="3292"/>
      <c r="AU354" s="3293"/>
      <c r="AV354" s="3293"/>
      <c r="AW354" s="3294"/>
      <c r="AX354" s="3236"/>
      <c r="AY354" s="3327"/>
      <c r="AZ354" s="3325" t="s">
        <v>4429</v>
      </c>
      <c r="BA354" s="3296" t="str">
        <f t="shared" si="79"/>
        <v>签约</v>
      </c>
      <c r="BB354" s="3226"/>
      <c r="BC354" s="3226"/>
      <c r="BD354" s="3292"/>
      <c r="BE354" s="3297" t="s">
        <v>4449</v>
      </c>
      <c r="BG354" s="3297">
        <f>IFERROR(VLOOKUP(B354,[3]Sheet2!A$1:B$65536,2,FALSE),0)</f>
        <v>0</v>
      </c>
      <c r="BI354" s="3297">
        <f>IFERROR(VLOOKUP(B354,[3]Sheet2!A$1:C$65536,2,FALSE),0)</f>
        <v>0</v>
      </c>
      <c r="BJ354" s="3297">
        <f>IFERROR(VLOOKUP(B354,[3]Sheet2!A$1:C$65536,3,FALSE),0)</f>
        <v>0</v>
      </c>
    </row>
    <row r="355" spans="1:64" s="3261" customFormat="1" ht="20.25" customHeight="1">
      <c r="A355" s="3226">
        <v>353</v>
      </c>
      <c r="B355" s="3250" t="s">
        <v>3852</v>
      </c>
      <c r="C355" s="3227" t="s">
        <v>3333</v>
      </c>
      <c r="D355" s="3251" t="s">
        <v>3853</v>
      </c>
      <c r="E355" s="3229">
        <v>44029</v>
      </c>
      <c r="F355" s="3230">
        <v>50000</v>
      </c>
      <c r="G355" s="3231">
        <v>134.31</v>
      </c>
      <c r="H355" s="3231" t="str">
        <f t="shared" si="68"/>
        <v>普通住宅</v>
      </c>
      <c r="I355" s="3230">
        <v>2275097</v>
      </c>
      <c r="J355" s="3229">
        <v>44029</v>
      </c>
      <c r="K355" s="3284">
        <f t="shared" si="69"/>
        <v>7</v>
      </c>
      <c r="L355" s="3230">
        <v>2275097</v>
      </c>
      <c r="M355" s="3235">
        <f t="shared" si="70"/>
        <v>16939.148239148239</v>
      </c>
      <c r="N355" s="3236">
        <f>635097+990000</f>
        <v>1625097</v>
      </c>
      <c r="O355" s="3244"/>
      <c r="P355" s="3244"/>
      <c r="Q355" s="3244"/>
      <c r="R355" s="3244">
        <f t="shared" si="72"/>
        <v>1675097</v>
      </c>
      <c r="S355" s="3244"/>
      <c r="T355" s="3236"/>
      <c r="U355" s="3236"/>
      <c r="V355" s="3236"/>
      <c r="W355" s="3236"/>
      <c r="X355" s="3244">
        <f t="shared" si="74"/>
        <v>1675097</v>
      </c>
      <c r="Y355" s="3244">
        <f t="shared" si="75"/>
        <v>600000</v>
      </c>
      <c r="Z355" s="3285">
        <f t="shared" si="76"/>
        <v>0.73627498080301634</v>
      </c>
      <c r="AA355" s="3226" t="s">
        <v>3319</v>
      </c>
      <c r="AB355" s="3226" t="s">
        <v>4587</v>
      </c>
      <c r="AC355" s="3226" t="s">
        <v>4698</v>
      </c>
      <c r="AD355" s="3286" t="s">
        <v>4773</v>
      </c>
      <c r="AE355" s="3286" t="s">
        <v>4774</v>
      </c>
      <c r="AF355" s="3286"/>
      <c r="AG355" s="3323"/>
      <c r="AH355" s="3255"/>
      <c r="AI355" s="3255"/>
      <c r="AJ355" s="3255"/>
      <c r="AK355" s="3287" t="str">
        <f t="shared" si="77"/>
        <v/>
      </c>
      <c r="AL355" s="3288" t="str">
        <f t="shared" si="78"/>
        <v/>
      </c>
      <c r="AM355" s="3226"/>
      <c r="AN355" s="3289"/>
      <c r="AO355" s="3300"/>
      <c r="AP355" s="3300"/>
      <c r="AQ355" s="3300"/>
      <c r="AR355" s="3292"/>
      <c r="AS355" s="3292"/>
      <c r="AT355" s="3292"/>
      <c r="AU355" s="3293"/>
      <c r="AV355" s="3293"/>
      <c r="AW355" s="3294"/>
      <c r="AX355" s="3236"/>
      <c r="AY355" s="3244"/>
      <c r="AZ355" s="3325" t="s">
        <v>4885</v>
      </c>
      <c r="BA355" s="3296" t="str">
        <f t="shared" si="79"/>
        <v>签约</v>
      </c>
      <c r="BB355" s="3226"/>
      <c r="BC355" s="3226"/>
      <c r="BD355" s="3292"/>
      <c r="BE355" s="3297" t="s">
        <v>4465</v>
      </c>
      <c r="BG355" s="3297">
        <f>IFERROR(VLOOKUP(B355,[3]Sheet2!A$1:B$65536,2,FALSE),0)</f>
        <v>0</v>
      </c>
      <c r="BI355" s="3297">
        <f>IFERROR(VLOOKUP(B355,[3]Sheet2!A$1:C$65536,2,FALSE),0)</f>
        <v>0</v>
      </c>
      <c r="BJ355" s="3297">
        <f>IFERROR(VLOOKUP(B355,[3]Sheet2!A$1:C$65536,3,FALSE),0)</f>
        <v>0</v>
      </c>
    </row>
    <row r="356" spans="1:64" s="3261" customFormat="1" ht="20.25" customHeight="1">
      <c r="A356" s="3226">
        <v>354</v>
      </c>
      <c r="B356" s="3250" t="s">
        <v>3854</v>
      </c>
      <c r="C356" s="3227" t="s">
        <v>3333</v>
      </c>
      <c r="D356" s="3251" t="s">
        <v>3855</v>
      </c>
      <c r="E356" s="3229">
        <v>44023</v>
      </c>
      <c r="F356" s="3230">
        <v>50000</v>
      </c>
      <c r="G356" s="3231">
        <v>134.31</v>
      </c>
      <c r="H356" s="3231" t="str">
        <f t="shared" si="68"/>
        <v>普通住宅</v>
      </c>
      <c r="I356" s="3230">
        <v>2178172</v>
      </c>
      <c r="J356" s="3229">
        <v>44026</v>
      </c>
      <c r="K356" s="3284">
        <f t="shared" si="69"/>
        <v>7</v>
      </c>
      <c r="L356" s="3230">
        <v>2158172</v>
      </c>
      <c r="M356" s="3235">
        <f t="shared" si="70"/>
        <v>16068.587595860323</v>
      </c>
      <c r="N356" s="3236">
        <v>808172</v>
      </c>
      <c r="O356" s="3244"/>
      <c r="P356" s="3244"/>
      <c r="Q356" s="3244"/>
      <c r="R356" s="3244">
        <f t="shared" si="72"/>
        <v>858172</v>
      </c>
      <c r="S356" s="3244"/>
      <c r="T356" s="3236"/>
      <c r="U356" s="3236"/>
      <c r="V356" s="3236">
        <v>1300000</v>
      </c>
      <c r="W356" s="3236"/>
      <c r="X356" s="3244">
        <f t="shared" si="74"/>
        <v>2158172</v>
      </c>
      <c r="Y356" s="3244">
        <f t="shared" si="75"/>
        <v>0</v>
      </c>
      <c r="Z356" s="3285">
        <f t="shared" si="76"/>
        <v>1</v>
      </c>
      <c r="AA356" s="3226" t="s">
        <v>3319</v>
      </c>
      <c r="AB356" s="3226" t="s">
        <v>4587</v>
      </c>
      <c r="AC356" s="3226" t="s">
        <v>4698</v>
      </c>
      <c r="AD356" s="3286" t="s">
        <v>4539</v>
      </c>
      <c r="AE356" s="3286" t="s">
        <v>4427</v>
      </c>
      <c r="AF356" s="3286"/>
      <c r="AG356" s="3323"/>
      <c r="AH356" s="3255">
        <v>44026</v>
      </c>
      <c r="AI356" s="3255">
        <v>44032</v>
      </c>
      <c r="AJ356" s="3255">
        <v>44041</v>
      </c>
      <c r="AK356" s="3287">
        <f t="shared" si="77"/>
        <v>2020</v>
      </c>
      <c r="AL356" s="3288">
        <f t="shared" si="78"/>
        <v>7</v>
      </c>
      <c r="AM356" s="3226" t="s">
        <v>4433</v>
      </c>
      <c r="AN356" s="3289">
        <v>1300000</v>
      </c>
      <c r="AO356" s="3300"/>
      <c r="AP356" s="3300"/>
      <c r="AQ356" s="3300"/>
      <c r="AR356" s="3292"/>
      <c r="AS356" s="3292"/>
      <c r="AT356" s="3292"/>
      <c r="AU356" s="3293"/>
      <c r="AV356" s="3293"/>
      <c r="AW356" s="3294"/>
      <c r="AX356" s="3236"/>
      <c r="AY356" s="3244"/>
      <c r="AZ356" s="3325" t="s">
        <v>4441</v>
      </c>
      <c r="BA356" s="3296" t="str">
        <f t="shared" si="79"/>
        <v>签约</v>
      </c>
      <c r="BB356" s="3226"/>
      <c r="BC356" s="3226"/>
      <c r="BD356" s="3292"/>
      <c r="BE356" s="3297" t="s">
        <v>4465</v>
      </c>
      <c r="BG356" s="3297"/>
      <c r="BI356" s="3297">
        <f>IFERROR(VLOOKUP(B356,[3]Sheet2!A$1:C$65536,2,FALSE),0)</f>
        <v>1300000</v>
      </c>
      <c r="BJ356" s="3297" t="str">
        <f>IFERROR(VLOOKUP(B356,[3]Sheet2!A$1:C$65536,3,FALSE),0)</f>
        <v>中国银行湾里支行</v>
      </c>
      <c r="BL356" s="3261">
        <f>BI356-AN356</f>
        <v>0</v>
      </c>
    </row>
    <row r="357" spans="1:64" s="3261" customFormat="1" ht="20.25" customHeight="1">
      <c r="A357" s="3226">
        <v>355</v>
      </c>
      <c r="B357" s="3250" t="s">
        <v>4898</v>
      </c>
      <c r="C357" s="3227" t="s">
        <v>3333</v>
      </c>
      <c r="D357" s="3251" t="s">
        <v>4899</v>
      </c>
      <c r="E357" s="3229">
        <v>44045</v>
      </c>
      <c r="F357" s="3230">
        <v>50000</v>
      </c>
      <c r="G357" s="3231">
        <v>134.21</v>
      </c>
      <c r="H357" s="3231" t="str">
        <f t="shared" si="68"/>
        <v>普通住宅</v>
      </c>
      <c r="I357" s="3230">
        <v>2019005</v>
      </c>
      <c r="J357" s="3229"/>
      <c r="K357" s="3284" t="str">
        <f t="shared" si="69"/>
        <v/>
      </c>
      <c r="L357" s="3230"/>
      <c r="M357" s="3235">
        <f t="shared" si="70"/>
        <v>0</v>
      </c>
      <c r="N357" s="3236"/>
      <c r="O357" s="3244"/>
      <c r="P357" s="3244"/>
      <c r="Q357" s="3244"/>
      <c r="R357" s="3244">
        <f t="shared" si="72"/>
        <v>50000</v>
      </c>
      <c r="S357" s="3244"/>
      <c r="T357" s="3236"/>
      <c r="U357" s="3236"/>
      <c r="V357" s="3236"/>
      <c r="W357" s="3236"/>
      <c r="X357" s="3244">
        <f t="shared" si="74"/>
        <v>50000</v>
      </c>
      <c r="Y357" s="3244">
        <f t="shared" si="75"/>
        <v>-50000</v>
      </c>
      <c r="Z357" s="3285" t="e">
        <f t="shared" si="76"/>
        <v>#DIV/0!</v>
      </c>
      <c r="AA357" s="3226" t="s">
        <v>3318</v>
      </c>
      <c r="AB357" s="3226"/>
      <c r="AC357" s="3226"/>
      <c r="AD357" s="3286"/>
      <c r="AE357" s="3286"/>
      <c r="AF357" s="3286"/>
      <c r="AG357" s="3323"/>
      <c r="AH357" s="3255"/>
      <c r="AI357" s="3255"/>
      <c r="AJ357" s="3255"/>
      <c r="AK357" s="3287" t="str">
        <f t="shared" si="77"/>
        <v/>
      </c>
      <c r="AL357" s="3288" t="str">
        <f t="shared" si="78"/>
        <v/>
      </c>
      <c r="AM357" s="3226"/>
      <c r="AN357" s="3289"/>
      <c r="AO357" s="3300"/>
      <c r="AP357" s="3300"/>
      <c r="AQ357" s="3300"/>
      <c r="AR357" s="3292"/>
      <c r="AS357" s="3292"/>
      <c r="AT357" s="3292"/>
      <c r="AU357" s="3293"/>
      <c r="AV357" s="3293"/>
      <c r="AW357" s="3294"/>
      <c r="AX357" s="3236"/>
      <c r="AY357" s="3244"/>
      <c r="AZ357" s="3325"/>
      <c r="BA357" s="3296" t="str">
        <f t="shared" si="79"/>
        <v>认购</v>
      </c>
      <c r="BB357" s="3226"/>
      <c r="BC357" s="3226"/>
      <c r="BD357" s="3292"/>
      <c r="BE357" s="3297"/>
      <c r="BG357" s="3297">
        <f>IFERROR(VLOOKUP(B357,[3]Sheet2!A$1:B$65536,2,FALSE),0)</f>
        <v>0</v>
      </c>
      <c r="BI357" s="3297">
        <f>IFERROR(VLOOKUP(B357,[3]Sheet2!A$1:C$65536,2,FALSE),0)</f>
        <v>0</v>
      </c>
      <c r="BJ357" s="3297">
        <f>IFERROR(VLOOKUP(B357,[3]Sheet2!A$1:C$65536,3,FALSE),0)</f>
        <v>0</v>
      </c>
    </row>
    <row r="358" spans="1:64" s="3261" customFormat="1" ht="20.25" customHeight="1">
      <c r="A358" s="3226">
        <v>356</v>
      </c>
      <c r="B358" s="3250" t="s">
        <v>3856</v>
      </c>
      <c r="C358" s="3227" t="s">
        <v>3333</v>
      </c>
      <c r="D358" s="3251" t="s">
        <v>3857</v>
      </c>
      <c r="E358" s="3229">
        <v>44033</v>
      </c>
      <c r="F358" s="3230">
        <v>50000</v>
      </c>
      <c r="G358" s="3231">
        <v>134.21</v>
      </c>
      <c r="H358" s="3231" t="str">
        <f t="shared" si="68"/>
        <v>普通住宅</v>
      </c>
      <c r="I358" s="3230">
        <v>2074349</v>
      </c>
      <c r="J358" s="3229">
        <v>44043</v>
      </c>
      <c r="K358" s="3284">
        <f t="shared" si="69"/>
        <v>7</v>
      </c>
      <c r="L358" s="3230">
        <v>2074349</v>
      </c>
      <c r="M358" s="3235">
        <f t="shared" si="70"/>
        <v>15455.994337232694</v>
      </c>
      <c r="N358" s="3236">
        <v>574349</v>
      </c>
      <c r="O358" s="3244"/>
      <c r="P358" s="3244"/>
      <c r="Q358" s="3244"/>
      <c r="R358" s="3244">
        <f t="shared" si="72"/>
        <v>624349</v>
      </c>
      <c r="S358" s="3244"/>
      <c r="T358" s="3236"/>
      <c r="U358" s="3236"/>
      <c r="V358" s="3236"/>
      <c r="W358" s="3236"/>
      <c r="X358" s="3244">
        <f t="shared" si="74"/>
        <v>624349</v>
      </c>
      <c r="Y358" s="3244">
        <f t="shared" si="75"/>
        <v>1450000</v>
      </c>
      <c r="Z358" s="3285">
        <f t="shared" si="76"/>
        <v>0.3009855140094555</v>
      </c>
      <c r="AA358" s="3226" t="s">
        <v>3319</v>
      </c>
      <c r="AB358" s="3226" t="s">
        <v>4587</v>
      </c>
      <c r="AC358" s="3226" t="s">
        <v>4698</v>
      </c>
      <c r="AD358" s="3286" t="s">
        <v>4773</v>
      </c>
      <c r="AE358" s="3286" t="s">
        <v>4774</v>
      </c>
      <c r="AF358" s="3286"/>
      <c r="AG358" s="3323"/>
      <c r="AH358" s="3255"/>
      <c r="AI358" s="3255"/>
      <c r="AJ358" s="3255"/>
      <c r="AK358" s="3287" t="str">
        <f t="shared" si="77"/>
        <v/>
      </c>
      <c r="AL358" s="3288" t="str">
        <f t="shared" si="78"/>
        <v/>
      </c>
      <c r="AM358" s="3226"/>
      <c r="AN358" s="3289"/>
      <c r="AO358" s="3300"/>
      <c r="AP358" s="3300"/>
      <c r="AQ358" s="3300"/>
      <c r="AR358" s="3292"/>
      <c r="AS358" s="3292"/>
      <c r="AT358" s="3292"/>
      <c r="AU358" s="3293"/>
      <c r="AV358" s="3293"/>
      <c r="AW358" s="3294"/>
      <c r="AX358" s="3236"/>
      <c r="AY358" s="3244"/>
      <c r="AZ358" s="3325" t="s">
        <v>4882</v>
      </c>
      <c r="BA358" s="3296" t="str">
        <f t="shared" si="79"/>
        <v>签约</v>
      </c>
      <c r="BB358" s="3226"/>
      <c r="BC358" s="3226"/>
      <c r="BD358" s="3292"/>
      <c r="BE358" s="3297" t="s">
        <v>4696</v>
      </c>
      <c r="BG358" s="3297">
        <f>IFERROR(VLOOKUP(B358,[3]Sheet2!A$1:B$65536,2,FALSE),0)</f>
        <v>0</v>
      </c>
      <c r="BI358" s="3297">
        <f>IFERROR(VLOOKUP(B358,[3]Sheet2!A$1:C$65536,2,FALSE),0)</f>
        <v>0</v>
      </c>
      <c r="BJ358" s="3297">
        <f>IFERROR(VLOOKUP(B358,[3]Sheet2!A$1:C$65536,3,FALSE),0)</f>
        <v>0</v>
      </c>
    </row>
    <row r="359" spans="1:64" s="3261" customFormat="1" ht="20.25" customHeight="1">
      <c r="A359" s="3226">
        <v>357</v>
      </c>
      <c r="B359" s="3250" t="s">
        <v>3858</v>
      </c>
      <c r="C359" s="3227" t="s">
        <v>3333</v>
      </c>
      <c r="D359" s="3251" t="s">
        <v>3859</v>
      </c>
      <c r="E359" s="3229">
        <v>44029</v>
      </c>
      <c r="F359" s="3230">
        <v>50000</v>
      </c>
      <c r="G359" s="3231">
        <v>134.31</v>
      </c>
      <c r="H359" s="3231" t="str">
        <f t="shared" si="68"/>
        <v>普通住宅</v>
      </c>
      <c r="I359" s="3230">
        <v>2103572</v>
      </c>
      <c r="J359" s="3229">
        <v>44029</v>
      </c>
      <c r="K359" s="3284">
        <f t="shared" si="69"/>
        <v>7</v>
      </c>
      <c r="L359" s="3230">
        <v>2083572</v>
      </c>
      <c r="M359" s="3235">
        <f t="shared" si="70"/>
        <v>15513.15613133795</v>
      </c>
      <c r="N359" s="3236">
        <v>583572</v>
      </c>
      <c r="O359" s="3244"/>
      <c r="P359" s="3244"/>
      <c r="Q359" s="3244"/>
      <c r="R359" s="3244">
        <f t="shared" si="72"/>
        <v>633572</v>
      </c>
      <c r="S359" s="3244"/>
      <c r="T359" s="3236"/>
      <c r="U359" s="3236"/>
      <c r="V359" s="3236">
        <v>1450000</v>
      </c>
      <c r="W359" s="3236"/>
      <c r="X359" s="3244">
        <f t="shared" si="74"/>
        <v>2083572</v>
      </c>
      <c r="Y359" s="3244">
        <f t="shared" si="75"/>
        <v>0</v>
      </c>
      <c r="Z359" s="3285">
        <f t="shared" si="76"/>
        <v>1</v>
      </c>
      <c r="AA359" s="3226" t="s">
        <v>3319</v>
      </c>
      <c r="AB359" s="3226" t="s">
        <v>4587</v>
      </c>
      <c r="AC359" s="3226" t="s">
        <v>4698</v>
      </c>
      <c r="AD359" s="3286" t="s">
        <v>4539</v>
      </c>
      <c r="AE359" s="3286" t="s">
        <v>4427</v>
      </c>
      <c r="AF359" s="3286"/>
      <c r="AG359" s="3323"/>
      <c r="AH359" s="3255">
        <v>44028</v>
      </c>
      <c r="AI359" s="3255">
        <v>44032</v>
      </c>
      <c r="AJ359" s="3255">
        <v>44046</v>
      </c>
      <c r="AK359" s="3287">
        <f t="shared" si="77"/>
        <v>2020</v>
      </c>
      <c r="AL359" s="3288">
        <f t="shared" si="78"/>
        <v>8</v>
      </c>
      <c r="AM359" s="3226" t="s">
        <v>4701</v>
      </c>
      <c r="AN359" s="3289">
        <v>1450000</v>
      </c>
      <c r="AO359" s="3300"/>
      <c r="AP359" s="3300"/>
      <c r="AQ359" s="3300"/>
      <c r="AR359" s="3292"/>
      <c r="AS359" s="3292"/>
      <c r="AT359" s="3292"/>
      <c r="AU359" s="3293"/>
      <c r="AV359" s="3293"/>
      <c r="AW359" s="3294"/>
      <c r="AX359" s="3236"/>
      <c r="AY359" s="3244"/>
      <c r="AZ359" s="3325" t="s">
        <v>4441</v>
      </c>
      <c r="BA359" s="3296" t="str">
        <f t="shared" si="79"/>
        <v>签约</v>
      </c>
      <c r="BB359" s="3226"/>
      <c r="BC359" s="3226"/>
      <c r="BD359" s="3292"/>
      <c r="BE359" s="3297" t="s">
        <v>4465</v>
      </c>
      <c r="BG359" s="3297">
        <f>IFERROR(VLOOKUP(B359,[3]Sheet2!A$1:B$65536,2,FALSE),0)</f>
        <v>0</v>
      </c>
      <c r="BI359" s="3297">
        <f>IFERROR(VLOOKUP(B359,[3]Sheet2!A$1:C$65536,2,FALSE),0)</f>
        <v>0</v>
      </c>
      <c r="BJ359" s="3297">
        <f>IFERROR(VLOOKUP(B359,[3]Sheet2!A$1:C$65536,3,FALSE),0)</f>
        <v>0</v>
      </c>
    </row>
    <row r="360" spans="1:64" s="3261" customFormat="1" ht="20.25" customHeight="1">
      <c r="A360" s="3226">
        <v>358</v>
      </c>
      <c r="B360" s="3250" t="s">
        <v>3860</v>
      </c>
      <c r="C360" s="3227" t="s">
        <v>3333</v>
      </c>
      <c r="D360" s="3251" t="s">
        <v>3861</v>
      </c>
      <c r="E360" s="3229">
        <v>44023</v>
      </c>
      <c r="F360" s="3230">
        <v>50000</v>
      </c>
      <c r="G360" s="3231">
        <v>134.31</v>
      </c>
      <c r="H360" s="3231" t="str">
        <f t="shared" si="68"/>
        <v>普通住宅</v>
      </c>
      <c r="I360" s="3230">
        <v>2131265</v>
      </c>
      <c r="J360" s="3229">
        <v>44028</v>
      </c>
      <c r="K360" s="3284">
        <f t="shared" si="69"/>
        <v>7</v>
      </c>
      <c r="L360" s="3230">
        <v>2111265</v>
      </c>
      <c r="M360" s="3235">
        <f t="shared" si="70"/>
        <v>15719.343310252401</v>
      </c>
      <c r="N360" s="3236">
        <v>961265</v>
      </c>
      <c r="O360" s="3244"/>
      <c r="P360" s="3244"/>
      <c r="Q360" s="3244"/>
      <c r="R360" s="3244">
        <f t="shared" si="72"/>
        <v>1011265</v>
      </c>
      <c r="S360" s="3244"/>
      <c r="T360" s="3236"/>
      <c r="U360" s="3236"/>
      <c r="V360" s="3236">
        <v>1100000</v>
      </c>
      <c r="W360" s="3236"/>
      <c r="X360" s="3244">
        <f t="shared" si="74"/>
        <v>2111265</v>
      </c>
      <c r="Y360" s="3244">
        <f t="shared" si="75"/>
        <v>0</v>
      </c>
      <c r="Z360" s="3285">
        <f t="shared" si="76"/>
        <v>1</v>
      </c>
      <c r="AA360" s="3226" t="s">
        <v>3319</v>
      </c>
      <c r="AB360" s="3226" t="s">
        <v>4587</v>
      </c>
      <c r="AC360" s="3226" t="s">
        <v>4698</v>
      </c>
      <c r="AD360" s="3286" t="s">
        <v>4539</v>
      </c>
      <c r="AE360" s="3286" t="s">
        <v>4427</v>
      </c>
      <c r="AF360" s="3286"/>
      <c r="AG360" s="3323"/>
      <c r="AH360" s="3255">
        <v>44029</v>
      </c>
      <c r="AI360" s="3255">
        <v>44032</v>
      </c>
      <c r="AJ360" s="3255">
        <v>44036</v>
      </c>
      <c r="AK360" s="3287">
        <f t="shared" si="77"/>
        <v>2020</v>
      </c>
      <c r="AL360" s="3288">
        <f t="shared" si="78"/>
        <v>7</v>
      </c>
      <c r="AM360" s="3226" t="s">
        <v>4739</v>
      </c>
      <c r="AN360" s="3289">
        <v>1100000</v>
      </c>
      <c r="AO360" s="3300"/>
      <c r="AP360" s="3300"/>
      <c r="AQ360" s="3300"/>
      <c r="AR360" s="3292"/>
      <c r="AS360" s="3292"/>
      <c r="AT360" s="3292"/>
      <c r="AU360" s="3293"/>
      <c r="AV360" s="3293"/>
      <c r="AW360" s="3294"/>
      <c r="AX360" s="3236"/>
      <c r="AY360" s="3244"/>
      <c r="AZ360" s="3325" t="s">
        <v>4507</v>
      </c>
      <c r="BA360" s="3296" t="str">
        <f t="shared" si="79"/>
        <v>签约</v>
      </c>
      <c r="BB360" s="3226"/>
      <c r="BC360" s="3226"/>
      <c r="BD360" s="3292"/>
      <c r="BE360" s="3297" t="s">
        <v>4465</v>
      </c>
      <c r="BG360" s="3297">
        <f>IFERROR(VLOOKUP(B360,[3]Sheet2!A$1:B$65536,2,FALSE),0)</f>
        <v>0</v>
      </c>
      <c r="BI360" s="3297">
        <f>IFERROR(VLOOKUP(B360,[3]Sheet2!A$1:C$65536,2,FALSE),0)</f>
        <v>0</v>
      </c>
      <c r="BJ360" s="3297">
        <f>IFERROR(VLOOKUP(B360,[3]Sheet2!A$1:C$65536,3,FALSE),0)</f>
        <v>0</v>
      </c>
    </row>
    <row r="361" spans="1:64" s="3261" customFormat="1" ht="20.25" customHeight="1">
      <c r="A361" s="3226">
        <v>359</v>
      </c>
      <c r="B361" s="3250" t="s">
        <v>3862</v>
      </c>
      <c r="C361" s="3227" t="s">
        <v>3333</v>
      </c>
      <c r="D361" s="3251" t="s">
        <v>3863</v>
      </c>
      <c r="E361" s="3229">
        <v>44023</v>
      </c>
      <c r="F361" s="3230">
        <v>50000</v>
      </c>
      <c r="G361" s="3231">
        <v>134.31</v>
      </c>
      <c r="H361" s="3231" t="str">
        <f t="shared" si="68"/>
        <v>普通住宅</v>
      </c>
      <c r="I361" s="3230">
        <v>2158958</v>
      </c>
      <c r="J361" s="3229">
        <v>44028</v>
      </c>
      <c r="K361" s="3284">
        <f t="shared" si="69"/>
        <v>7</v>
      </c>
      <c r="L361" s="3230">
        <v>2158958</v>
      </c>
      <c r="M361" s="3235">
        <f t="shared" si="70"/>
        <v>16074.439728985184</v>
      </c>
      <c r="N361" s="3236">
        <v>598958</v>
      </c>
      <c r="O361" s="3244"/>
      <c r="P361" s="3244"/>
      <c r="Q361" s="3244"/>
      <c r="R361" s="3244">
        <f t="shared" si="72"/>
        <v>648958</v>
      </c>
      <c r="S361" s="3244"/>
      <c r="T361" s="3236"/>
      <c r="U361" s="3236"/>
      <c r="V361" s="3236"/>
      <c r="W361" s="3236"/>
      <c r="X361" s="3244">
        <f t="shared" si="74"/>
        <v>648958</v>
      </c>
      <c r="Y361" s="3244">
        <f t="shared" si="75"/>
        <v>1510000</v>
      </c>
      <c r="Z361" s="3285">
        <f t="shared" si="76"/>
        <v>0.30058852464939106</v>
      </c>
      <c r="AA361" s="3226" t="s">
        <v>3319</v>
      </c>
      <c r="AB361" s="3226" t="s">
        <v>4587</v>
      </c>
      <c r="AC361" s="3226" t="s">
        <v>4698</v>
      </c>
      <c r="AD361" s="3286" t="s">
        <v>4773</v>
      </c>
      <c r="AE361" s="3286" t="s">
        <v>4774</v>
      </c>
      <c r="AF361" s="3286"/>
      <c r="AG361" s="3323"/>
      <c r="AH361" s="3255"/>
      <c r="AI361" s="3255"/>
      <c r="AJ361" s="3255"/>
      <c r="AK361" s="3287" t="str">
        <f t="shared" si="77"/>
        <v/>
      </c>
      <c r="AL361" s="3288" t="str">
        <f t="shared" si="78"/>
        <v/>
      </c>
      <c r="AM361" s="3226"/>
      <c r="AN361" s="3289"/>
      <c r="AO361" s="3300"/>
      <c r="AP361" s="3300"/>
      <c r="AQ361" s="3300"/>
      <c r="AR361" s="3292"/>
      <c r="AS361" s="3292"/>
      <c r="AT361" s="3292"/>
      <c r="AU361" s="3293"/>
      <c r="AV361" s="3293"/>
      <c r="AW361" s="3294"/>
      <c r="AX361" s="3236"/>
      <c r="AY361" s="3244"/>
      <c r="AZ361" s="3325" t="s">
        <v>4885</v>
      </c>
      <c r="BA361" s="3296" t="str">
        <f t="shared" si="79"/>
        <v>签约</v>
      </c>
      <c r="BB361" s="3226"/>
      <c r="BC361" s="3226"/>
      <c r="BD361" s="3292"/>
      <c r="BE361" s="3297" t="s">
        <v>4696</v>
      </c>
      <c r="BG361" s="3297">
        <f>IFERROR(VLOOKUP(B361,[3]Sheet2!A$1:B$65536,2,FALSE),0)</f>
        <v>0</v>
      </c>
      <c r="BI361" s="3297">
        <f>IFERROR(VLOOKUP(B361,[3]Sheet2!A$1:C$65536,2,FALSE),0)</f>
        <v>0</v>
      </c>
      <c r="BJ361" s="3297">
        <f>IFERROR(VLOOKUP(B361,[3]Sheet2!A$1:C$65536,3,FALSE),0)</f>
        <v>0</v>
      </c>
    </row>
    <row r="362" spans="1:64" s="3261" customFormat="1" ht="20.25" customHeight="1">
      <c r="A362" s="3226">
        <v>360</v>
      </c>
      <c r="B362" s="3250" t="s">
        <v>3864</v>
      </c>
      <c r="C362" s="3227" t="s">
        <v>3333</v>
      </c>
      <c r="D362" s="3251" t="s">
        <v>3865</v>
      </c>
      <c r="E362" s="3229">
        <v>44025</v>
      </c>
      <c r="F362" s="3230">
        <v>50000</v>
      </c>
      <c r="G362" s="3231">
        <v>134.31</v>
      </c>
      <c r="H362" s="3231" t="str">
        <f t="shared" si="68"/>
        <v>普通住宅</v>
      </c>
      <c r="I362" s="3230">
        <v>2186651</v>
      </c>
      <c r="J362" s="3229">
        <v>44029</v>
      </c>
      <c r="K362" s="3284">
        <f t="shared" si="69"/>
        <v>7</v>
      </c>
      <c r="L362" s="3230">
        <v>2166651</v>
      </c>
      <c r="M362" s="3235">
        <f t="shared" si="70"/>
        <v>16131.717668081305</v>
      </c>
      <c r="N362" s="3236">
        <v>756651</v>
      </c>
      <c r="O362" s="3244"/>
      <c r="P362" s="3244"/>
      <c r="Q362" s="3244"/>
      <c r="R362" s="3244">
        <f t="shared" si="72"/>
        <v>806651</v>
      </c>
      <c r="S362" s="3244"/>
      <c r="T362" s="3236"/>
      <c r="U362" s="3236"/>
      <c r="V362" s="3236">
        <v>1360000</v>
      </c>
      <c r="W362" s="3236"/>
      <c r="X362" s="3244">
        <f t="shared" si="74"/>
        <v>2166651</v>
      </c>
      <c r="Y362" s="3244">
        <f t="shared" si="75"/>
        <v>0</v>
      </c>
      <c r="Z362" s="3285">
        <f t="shared" si="76"/>
        <v>1</v>
      </c>
      <c r="AA362" s="3226" t="s">
        <v>3319</v>
      </c>
      <c r="AB362" s="3226" t="s">
        <v>4587</v>
      </c>
      <c r="AC362" s="3226" t="s">
        <v>4698</v>
      </c>
      <c r="AD362" s="3286" t="s">
        <v>4539</v>
      </c>
      <c r="AE362" s="3286" t="s">
        <v>4427</v>
      </c>
      <c r="AF362" s="3286"/>
      <c r="AG362" s="3323"/>
      <c r="AH362" s="3255">
        <v>44028</v>
      </c>
      <c r="AI362" s="3255">
        <v>44034</v>
      </c>
      <c r="AJ362" s="3255">
        <v>44039</v>
      </c>
      <c r="AK362" s="3287">
        <f t="shared" si="77"/>
        <v>2020</v>
      </c>
      <c r="AL362" s="3288">
        <f t="shared" si="78"/>
        <v>7</v>
      </c>
      <c r="AM362" s="3226" t="s">
        <v>4881</v>
      </c>
      <c r="AN362" s="3289">
        <v>1360000</v>
      </c>
      <c r="AO362" s="3300"/>
      <c r="AP362" s="3300"/>
      <c r="AQ362" s="3300"/>
      <c r="AR362" s="3292"/>
      <c r="AS362" s="3292"/>
      <c r="AT362" s="3292"/>
      <c r="AU362" s="3293"/>
      <c r="AV362" s="3293"/>
      <c r="AW362" s="3294"/>
      <c r="AX362" s="3236"/>
      <c r="AY362" s="3244"/>
      <c r="AZ362" s="3325" t="s">
        <v>4507</v>
      </c>
      <c r="BA362" s="3296" t="str">
        <f t="shared" si="79"/>
        <v>签约</v>
      </c>
      <c r="BB362" s="3226"/>
      <c r="BC362" s="3226"/>
      <c r="BD362" s="3292"/>
      <c r="BE362" s="3297" t="s">
        <v>4465</v>
      </c>
      <c r="BG362" s="3297">
        <f>IFERROR(VLOOKUP(B362,[3]Sheet2!A$1:B$65536,2,FALSE),0)</f>
        <v>0</v>
      </c>
      <c r="BI362" s="3297">
        <f>IFERROR(VLOOKUP(B362,[3]Sheet2!A$1:C$65536,2,FALSE),0)</f>
        <v>0</v>
      </c>
      <c r="BJ362" s="3297">
        <f>IFERROR(VLOOKUP(B362,[3]Sheet2!A$1:C$65536,3,FALSE),0)</f>
        <v>0</v>
      </c>
    </row>
    <row r="363" spans="1:64" s="3261" customFormat="1" ht="20.25" customHeight="1">
      <c r="A363" s="3226">
        <v>361</v>
      </c>
      <c r="B363" s="3250" t="s">
        <v>3866</v>
      </c>
      <c r="C363" s="3227" t="s">
        <v>3333</v>
      </c>
      <c r="D363" s="3251" t="s">
        <v>3867</v>
      </c>
      <c r="E363" s="3229">
        <v>44023</v>
      </c>
      <c r="F363" s="3230">
        <v>50000</v>
      </c>
      <c r="G363" s="3231">
        <v>134.31</v>
      </c>
      <c r="H363" s="3231" t="str">
        <f t="shared" si="68"/>
        <v>普通住宅</v>
      </c>
      <c r="I363" s="3230">
        <v>2214343</v>
      </c>
      <c r="J363" s="3229">
        <v>44029</v>
      </c>
      <c r="K363" s="3284">
        <f t="shared" si="69"/>
        <v>7</v>
      </c>
      <c r="L363" s="3230">
        <v>2194343</v>
      </c>
      <c r="M363" s="3235">
        <f t="shared" si="70"/>
        <v>16337.897401533764</v>
      </c>
      <c r="N363" s="3236">
        <f>500000+114343+930000</f>
        <v>1544343</v>
      </c>
      <c r="O363" s="3244"/>
      <c r="P363" s="3244"/>
      <c r="Q363" s="3244"/>
      <c r="R363" s="3244">
        <f t="shared" si="72"/>
        <v>1594343</v>
      </c>
      <c r="S363" s="3244"/>
      <c r="T363" s="3236"/>
      <c r="U363" s="3236"/>
      <c r="V363" s="3236"/>
      <c r="W363" s="3236"/>
      <c r="X363" s="3244">
        <f t="shared" si="74"/>
        <v>1594343</v>
      </c>
      <c r="Y363" s="3244">
        <f t="shared" si="75"/>
        <v>600000</v>
      </c>
      <c r="Z363" s="3285">
        <f t="shared" si="76"/>
        <v>0.72656963838378963</v>
      </c>
      <c r="AA363" s="3226" t="s">
        <v>3319</v>
      </c>
      <c r="AB363" s="3226" t="s">
        <v>4587</v>
      </c>
      <c r="AC363" s="3226" t="s">
        <v>4698</v>
      </c>
      <c r="AD363" s="3286" t="s">
        <v>4773</v>
      </c>
      <c r="AE363" s="3286" t="s">
        <v>4774</v>
      </c>
      <c r="AF363" s="3286"/>
      <c r="AG363" s="3323"/>
      <c r="AH363" s="3255"/>
      <c r="AI363" s="3255"/>
      <c r="AJ363" s="3255"/>
      <c r="AK363" s="3287" t="str">
        <f t="shared" si="77"/>
        <v/>
      </c>
      <c r="AL363" s="3288" t="str">
        <f t="shared" si="78"/>
        <v/>
      </c>
      <c r="AM363" s="3226"/>
      <c r="AN363" s="3289"/>
      <c r="AO363" s="3300"/>
      <c r="AP363" s="3300"/>
      <c r="AQ363" s="3300"/>
      <c r="AR363" s="3292"/>
      <c r="AS363" s="3292"/>
      <c r="AT363" s="3292"/>
      <c r="AU363" s="3293"/>
      <c r="AV363" s="3293"/>
      <c r="AW363" s="3294"/>
      <c r="AX363" s="3236"/>
      <c r="AY363" s="3244"/>
      <c r="AZ363" s="3325" t="s">
        <v>4437</v>
      </c>
      <c r="BA363" s="3296" t="str">
        <f t="shared" si="79"/>
        <v>签约</v>
      </c>
      <c r="BB363" s="3226"/>
      <c r="BC363" s="3226"/>
      <c r="BD363" s="3292"/>
      <c r="BE363" s="3297" t="s">
        <v>4449</v>
      </c>
      <c r="BG363" s="3297">
        <f>IFERROR(VLOOKUP(B363,[3]Sheet2!A$1:B$65536,2,FALSE),0)</f>
        <v>0</v>
      </c>
      <c r="BI363" s="3297">
        <f>IFERROR(VLOOKUP(B363,[3]Sheet2!A$1:C$65536,2,FALSE),0)</f>
        <v>0</v>
      </c>
      <c r="BJ363" s="3297">
        <f>IFERROR(VLOOKUP(B363,[3]Sheet2!A$1:C$65536,3,FALSE),0)</f>
        <v>0</v>
      </c>
    </row>
    <row r="364" spans="1:64" s="3261" customFormat="1" ht="20.25" customHeight="1">
      <c r="A364" s="3226">
        <v>362</v>
      </c>
      <c r="B364" s="3250" t="s">
        <v>3868</v>
      </c>
      <c r="C364" s="3227" t="s">
        <v>3333</v>
      </c>
      <c r="D364" s="3251" t="s">
        <v>3869</v>
      </c>
      <c r="E364" s="3229">
        <v>44023</v>
      </c>
      <c r="F364" s="3230">
        <v>30000</v>
      </c>
      <c r="G364" s="3231">
        <v>134.31</v>
      </c>
      <c r="H364" s="3231" t="str">
        <f t="shared" si="68"/>
        <v>普通住宅</v>
      </c>
      <c r="I364" s="3230">
        <v>2242036</v>
      </c>
      <c r="J364" s="3229">
        <v>44041</v>
      </c>
      <c r="K364" s="3284">
        <f t="shared" si="69"/>
        <v>7</v>
      </c>
      <c r="L364" s="3230">
        <v>2222036</v>
      </c>
      <c r="M364" s="3235">
        <f t="shared" si="70"/>
        <v>16544.084580448216</v>
      </c>
      <c r="N364" s="3236">
        <v>1192036</v>
      </c>
      <c r="O364" s="3244"/>
      <c r="P364" s="3244"/>
      <c r="Q364" s="3244"/>
      <c r="R364" s="3244">
        <f t="shared" si="72"/>
        <v>1222036</v>
      </c>
      <c r="S364" s="3244"/>
      <c r="T364" s="3236"/>
      <c r="U364" s="3236"/>
      <c r="V364" s="3236"/>
      <c r="W364" s="3236"/>
      <c r="X364" s="3244">
        <f t="shared" si="74"/>
        <v>1222036</v>
      </c>
      <c r="Y364" s="3244">
        <f t="shared" si="75"/>
        <v>1000000</v>
      </c>
      <c r="Z364" s="3285">
        <f t="shared" si="76"/>
        <v>0.54996228683963722</v>
      </c>
      <c r="AA364" s="3226" t="s">
        <v>3319</v>
      </c>
      <c r="AB364" s="3226" t="s">
        <v>4587</v>
      </c>
      <c r="AC364" s="3226" t="s">
        <v>4698</v>
      </c>
      <c r="AD364" s="3286" t="s">
        <v>4773</v>
      </c>
      <c r="AE364" s="3286" t="s">
        <v>4774</v>
      </c>
      <c r="AF364" s="3286"/>
      <c r="AG364" s="3323"/>
      <c r="AH364" s="3255"/>
      <c r="AI364" s="3255"/>
      <c r="AJ364" s="3255"/>
      <c r="AK364" s="3287" t="str">
        <f t="shared" si="77"/>
        <v/>
      </c>
      <c r="AL364" s="3288" t="str">
        <f t="shared" si="78"/>
        <v/>
      </c>
      <c r="AM364" s="3226"/>
      <c r="AN364" s="3289"/>
      <c r="AO364" s="3300"/>
      <c r="AP364" s="3300"/>
      <c r="AQ364" s="3300"/>
      <c r="AR364" s="3292"/>
      <c r="AS364" s="3292"/>
      <c r="AT364" s="3292"/>
      <c r="AU364" s="3293"/>
      <c r="AV364" s="3293"/>
      <c r="AW364" s="3294"/>
      <c r="AX364" s="3236"/>
      <c r="AY364" s="3244"/>
      <c r="AZ364" s="3325" t="s">
        <v>4894</v>
      </c>
      <c r="BA364" s="3296" t="str">
        <f t="shared" si="79"/>
        <v>签约</v>
      </c>
      <c r="BB364" s="3226"/>
      <c r="BC364" s="3226"/>
      <c r="BD364" s="3292"/>
      <c r="BE364" s="3297" t="s">
        <v>4465</v>
      </c>
      <c r="BG364" s="3297">
        <f>IFERROR(VLOOKUP(B364,[3]Sheet2!A$1:B$65536,2,FALSE),0)</f>
        <v>0</v>
      </c>
      <c r="BI364" s="3297">
        <f>IFERROR(VLOOKUP(B364,[3]Sheet2!A$1:C$65536,2,FALSE),0)</f>
        <v>0</v>
      </c>
      <c r="BJ364" s="3297">
        <f>IFERROR(VLOOKUP(B364,[3]Sheet2!A$1:C$65536,3,FALSE),0)</f>
        <v>0</v>
      </c>
    </row>
    <row r="365" spans="1:64" s="3261" customFormat="1" ht="20.25" customHeight="1">
      <c r="A365" s="3226">
        <v>363</v>
      </c>
      <c r="B365" s="3250" t="s">
        <v>3870</v>
      </c>
      <c r="C365" s="3227" t="s">
        <v>3333</v>
      </c>
      <c r="D365" s="3251" t="s">
        <v>3871</v>
      </c>
      <c r="E365" s="3229">
        <v>44028</v>
      </c>
      <c r="F365" s="3230">
        <v>0</v>
      </c>
      <c r="G365" s="3231">
        <v>134.31</v>
      </c>
      <c r="H365" s="3231" t="str">
        <f t="shared" si="68"/>
        <v>普通住宅</v>
      </c>
      <c r="I365" s="3230">
        <v>2269729</v>
      </c>
      <c r="J365" s="3229">
        <v>44028</v>
      </c>
      <c r="K365" s="3284">
        <f t="shared" si="69"/>
        <v>7</v>
      </c>
      <c r="L365" s="3230">
        <v>2269729</v>
      </c>
      <c r="M365" s="3235">
        <f t="shared" si="70"/>
        <v>16899.180999181001</v>
      </c>
      <c r="N365" s="3236">
        <f>639729+50000</f>
        <v>689729</v>
      </c>
      <c r="O365" s="3244"/>
      <c r="P365" s="3244"/>
      <c r="Q365" s="3244"/>
      <c r="R365" s="3244">
        <f t="shared" si="72"/>
        <v>689729</v>
      </c>
      <c r="S365" s="3244"/>
      <c r="T365" s="3236"/>
      <c r="U365" s="3236"/>
      <c r="V365" s="3236">
        <v>1580000</v>
      </c>
      <c r="W365" s="3236"/>
      <c r="X365" s="3244">
        <f t="shared" si="74"/>
        <v>2269729</v>
      </c>
      <c r="Y365" s="3244">
        <f t="shared" si="75"/>
        <v>0</v>
      </c>
      <c r="Z365" s="3285">
        <f t="shared" si="76"/>
        <v>1</v>
      </c>
      <c r="AA365" s="3226" t="s">
        <v>3319</v>
      </c>
      <c r="AB365" s="3226" t="s">
        <v>4587</v>
      </c>
      <c r="AC365" s="3226" t="s">
        <v>4698</v>
      </c>
      <c r="AD365" s="3286" t="s">
        <v>4539</v>
      </c>
      <c r="AE365" s="3286" t="s">
        <v>4427</v>
      </c>
      <c r="AF365" s="3286"/>
      <c r="AG365" s="3323"/>
      <c r="AH365" s="3255">
        <v>44028</v>
      </c>
      <c r="AI365" s="3255">
        <v>44032</v>
      </c>
      <c r="AJ365" s="3255">
        <v>44043</v>
      </c>
      <c r="AK365" s="3287">
        <f t="shared" si="77"/>
        <v>2020</v>
      </c>
      <c r="AL365" s="3288">
        <f t="shared" si="78"/>
        <v>7</v>
      </c>
      <c r="AM365" s="3226" t="s">
        <v>4777</v>
      </c>
      <c r="AN365" s="3289">
        <v>1580000</v>
      </c>
      <c r="AO365" s="3300"/>
      <c r="AP365" s="3300"/>
      <c r="AQ365" s="3300"/>
      <c r="AR365" s="3292"/>
      <c r="AS365" s="3292"/>
      <c r="AT365" s="3292"/>
      <c r="AU365" s="3293"/>
      <c r="AV365" s="3293"/>
      <c r="AW365" s="3294"/>
      <c r="AX365" s="3236"/>
      <c r="AY365" s="3244"/>
      <c r="AZ365" s="3325" t="s">
        <v>4880</v>
      </c>
      <c r="BA365" s="3296" t="str">
        <f t="shared" si="79"/>
        <v>签约</v>
      </c>
      <c r="BB365" s="3226"/>
      <c r="BC365" s="3226"/>
      <c r="BD365" s="3292"/>
      <c r="BE365" s="3297" t="s">
        <v>4465</v>
      </c>
      <c r="BG365" s="3297">
        <f>IFERROR(VLOOKUP(B365,[3]Sheet2!A$1:B$65536,2,FALSE),0)</f>
        <v>0</v>
      </c>
      <c r="BI365" s="3297">
        <f>IFERROR(VLOOKUP(B365,[3]Sheet2!A$1:C$65536,2,FALSE),0)</f>
        <v>0</v>
      </c>
      <c r="BJ365" s="3297">
        <f>IFERROR(VLOOKUP(B365,[3]Sheet2!A$1:C$65536,3,FALSE),0)</f>
        <v>0</v>
      </c>
    </row>
    <row r="366" spans="1:64" s="3261" customFormat="1" ht="20.25" customHeight="1">
      <c r="A366" s="3226">
        <v>364</v>
      </c>
      <c r="B366" s="3250" t="s">
        <v>3872</v>
      </c>
      <c r="C366" s="3227" t="s">
        <v>3333</v>
      </c>
      <c r="D366" s="3251" t="s">
        <v>3873</v>
      </c>
      <c r="E366" s="3229">
        <v>44024</v>
      </c>
      <c r="F366" s="3230">
        <v>50000</v>
      </c>
      <c r="G366" s="3231">
        <v>134.31</v>
      </c>
      <c r="H366" s="3231" t="str">
        <f t="shared" si="68"/>
        <v>普通住宅</v>
      </c>
      <c r="I366" s="3230">
        <v>2172804</v>
      </c>
      <c r="J366" s="3229">
        <v>44028</v>
      </c>
      <c r="K366" s="3284">
        <f t="shared" si="69"/>
        <v>7</v>
      </c>
      <c r="L366" s="3230">
        <v>2172804</v>
      </c>
      <c r="M366" s="3235">
        <f t="shared" si="70"/>
        <v>16177.529595711414</v>
      </c>
      <c r="N366" s="3236">
        <f>602804+440000</f>
        <v>1042804</v>
      </c>
      <c r="O366" s="3244"/>
      <c r="P366" s="3244"/>
      <c r="Q366" s="3244"/>
      <c r="R366" s="3244">
        <f t="shared" si="72"/>
        <v>1092804</v>
      </c>
      <c r="S366" s="3244"/>
      <c r="T366" s="3236"/>
      <c r="U366" s="3236"/>
      <c r="V366" s="3236"/>
      <c r="W366" s="3236"/>
      <c r="X366" s="3244">
        <f t="shared" si="74"/>
        <v>1092804</v>
      </c>
      <c r="Y366" s="3244">
        <f t="shared" si="75"/>
        <v>1080000</v>
      </c>
      <c r="Z366" s="3285">
        <f t="shared" si="76"/>
        <v>0.50294642314723281</v>
      </c>
      <c r="AA366" s="3226" t="s">
        <v>3319</v>
      </c>
      <c r="AB366" s="3226" t="s">
        <v>4587</v>
      </c>
      <c r="AC366" s="3226" t="s">
        <v>4698</v>
      </c>
      <c r="AD366" s="3286" t="s">
        <v>4773</v>
      </c>
      <c r="AE366" s="3286" t="s">
        <v>4774</v>
      </c>
      <c r="AF366" s="3286"/>
      <c r="AG366" s="3323"/>
      <c r="AH366" s="3255"/>
      <c r="AI366" s="3255"/>
      <c r="AJ366" s="3255"/>
      <c r="AK366" s="3287" t="str">
        <f t="shared" si="77"/>
        <v/>
      </c>
      <c r="AL366" s="3288" t="str">
        <f t="shared" si="78"/>
        <v/>
      </c>
      <c r="AM366" s="3226"/>
      <c r="AN366" s="3289"/>
      <c r="AO366" s="3300"/>
      <c r="AP366" s="3300"/>
      <c r="AQ366" s="3300"/>
      <c r="AR366" s="3292"/>
      <c r="AS366" s="3292"/>
      <c r="AT366" s="3292"/>
      <c r="AU366" s="3293"/>
      <c r="AV366" s="3293"/>
      <c r="AW366" s="3294"/>
      <c r="AX366" s="3236"/>
      <c r="AY366" s="3244"/>
      <c r="AZ366" s="3325" t="s">
        <v>4885</v>
      </c>
      <c r="BA366" s="3296" t="str">
        <f t="shared" si="79"/>
        <v>签约</v>
      </c>
      <c r="BB366" s="3226"/>
      <c r="BC366" s="3226"/>
      <c r="BD366" s="3292"/>
      <c r="BE366" s="3297" t="s">
        <v>4696</v>
      </c>
      <c r="BG366" s="3297">
        <f>IFERROR(VLOOKUP(B366,[3]Sheet2!A$1:B$65536,2,FALSE),0)</f>
        <v>0</v>
      </c>
      <c r="BI366" s="3297">
        <f>IFERROR(VLOOKUP(B366,[3]Sheet2!A$1:C$65536,2,FALSE),0)</f>
        <v>0</v>
      </c>
      <c r="BJ366" s="3297">
        <f>IFERROR(VLOOKUP(B366,[3]Sheet2!A$1:C$65536,3,FALSE),0)</f>
        <v>0</v>
      </c>
    </row>
    <row r="367" spans="1:64" s="3261" customFormat="1" ht="20.25" customHeight="1">
      <c r="A367" s="3226">
        <v>365</v>
      </c>
      <c r="B367" s="3250" t="s">
        <v>3874</v>
      </c>
      <c r="C367" s="3227" t="s">
        <v>3333</v>
      </c>
      <c r="D367" s="3251" t="s">
        <v>3875</v>
      </c>
      <c r="E367" s="3229">
        <v>44023</v>
      </c>
      <c r="F367" s="3230">
        <v>50000</v>
      </c>
      <c r="G367" s="3231">
        <v>134.31</v>
      </c>
      <c r="H367" s="3231" t="str">
        <f t="shared" si="68"/>
        <v>普通住宅</v>
      </c>
      <c r="I367" s="3230">
        <v>2015127</v>
      </c>
      <c r="J367" s="3229">
        <v>44027</v>
      </c>
      <c r="K367" s="3284">
        <f t="shared" si="69"/>
        <v>7</v>
      </c>
      <c r="L367" s="3230">
        <v>1995127</v>
      </c>
      <c r="M367" s="3235">
        <f t="shared" si="70"/>
        <v>14854.642245551337</v>
      </c>
      <c r="N367" s="3236">
        <v>555127</v>
      </c>
      <c r="O367" s="3244"/>
      <c r="P367" s="3244"/>
      <c r="Q367" s="3244"/>
      <c r="R367" s="3244">
        <f t="shared" si="72"/>
        <v>605127</v>
      </c>
      <c r="S367" s="3244"/>
      <c r="T367" s="3236"/>
      <c r="U367" s="3236"/>
      <c r="V367" s="3236">
        <v>1390000</v>
      </c>
      <c r="W367" s="3236"/>
      <c r="X367" s="3244">
        <f t="shared" si="74"/>
        <v>1995127</v>
      </c>
      <c r="Y367" s="3244">
        <f t="shared" si="75"/>
        <v>0</v>
      </c>
      <c r="Z367" s="3285">
        <f t="shared" si="76"/>
        <v>1</v>
      </c>
      <c r="AA367" s="3226" t="s">
        <v>3319</v>
      </c>
      <c r="AB367" s="3226" t="s">
        <v>4587</v>
      </c>
      <c r="AC367" s="3226" t="s">
        <v>4698</v>
      </c>
      <c r="AD367" s="3286" t="s">
        <v>4539</v>
      </c>
      <c r="AE367" s="3286" t="s">
        <v>4427</v>
      </c>
      <c r="AF367" s="3286"/>
      <c r="AG367" s="3323"/>
      <c r="AH367" s="3255">
        <v>44027</v>
      </c>
      <c r="AI367" s="3255">
        <v>44032</v>
      </c>
      <c r="AJ367" s="3255">
        <v>44035</v>
      </c>
      <c r="AK367" s="3287">
        <f t="shared" si="77"/>
        <v>2020</v>
      </c>
      <c r="AL367" s="3288">
        <f t="shared" si="78"/>
        <v>7</v>
      </c>
      <c r="AM367" s="3226" t="s">
        <v>4881</v>
      </c>
      <c r="AN367" s="3289">
        <v>1390000</v>
      </c>
      <c r="AO367" s="3300"/>
      <c r="AP367" s="3300"/>
      <c r="AQ367" s="3300"/>
      <c r="AR367" s="3292"/>
      <c r="AS367" s="3292"/>
      <c r="AT367" s="3292"/>
      <c r="AU367" s="3293"/>
      <c r="AV367" s="3293"/>
      <c r="AW367" s="3294"/>
      <c r="AX367" s="3236"/>
      <c r="AY367" s="3244"/>
      <c r="AZ367" s="3325" t="s">
        <v>4735</v>
      </c>
      <c r="BA367" s="3296" t="str">
        <f t="shared" si="79"/>
        <v>签约</v>
      </c>
      <c r="BB367" s="3226"/>
      <c r="BC367" s="3226"/>
      <c r="BD367" s="3292"/>
      <c r="BE367" s="3297" t="s">
        <v>4449</v>
      </c>
      <c r="BG367" s="3297">
        <f>IFERROR(VLOOKUP(B367,[3]Sheet2!A$1:B$65536,2,FALSE),0)</f>
        <v>0</v>
      </c>
      <c r="BI367" s="3297">
        <f>IFERROR(VLOOKUP(B367,[3]Sheet2!A$1:C$65536,2,FALSE),0)</f>
        <v>0</v>
      </c>
      <c r="BJ367" s="3297">
        <f>IFERROR(VLOOKUP(B367,[3]Sheet2!A$1:C$65536,3,FALSE),0)</f>
        <v>0</v>
      </c>
    </row>
    <row r="368" spans="1:64" s="3261" customFormat="1" ht="20.25" customHeight="1">
      <c r="A368" s="3226">
        <v>366</v>
      </c>
      <c r="B368" s="3250" t="s">
        <v>3876</v>
      </c>
      <c r="C368" s="3227" t="s">
        <v>3333</v>
      </c>
      <c r="D368" s="3251" t="s">
        <v>3877</v>
      </c>
      <c r="E368" s="3229">
        <v>44023</v>
      </c>
      <c r="F368" s="3230">
        <v>50000</v>
      </c>
      <c r="G368" s="3231">
        <v>134.31</v>
      </c>
      <c r="H368" s="3231" t="str">
        <f t="shared" si="68"/>
        <v>普通住宅</v>
      </c>
      <c r="I368" s="3230">
        <v>2070512</v>
      </c>
      <c r="J368" s="3229">
        <v>44029</v>
      </c>
      <c r="K368" s="3284">
        <f t="shared" si="69"/>
        <v>7</v>
      </c>
      <c r="L368" s="3230">
        <v>2050512</v>
      </c>
      <c r="M368" s="3235">
        <f t="shared" si="70"/>
        <v>15267.009157918248</v>
      </c>
      <c r="N368" s="3236">
        <f>570512+830000</f>
        <v>1400512</v>
      </c>
      <c r="O368" s="3244"/>
      <c r="P368" s="3244"/>
      <c r="Q368" s="3244"/>
      <c r="R368" s="3244">
        <f t="shared" si="72"/>
        <v>1450512</v>
      </c>
      <c r="S368" s="3244"/>
      <c r="T368" s="3236"/>
      <c r="U368" s="3236"/>
      <c r="V368" s="3236"/>
      <c r="W368" s="3236"/>
      <c r="X368" s="3244">
        <f t="shared" si="74"/>
        <v>1450512</v>
      </c>
      <c r="Y368" s="3244">
        <f t="shared" si="75"/>
        <v>600000</v>
      </c>
      <c r="Z368" s="3285">
        <f t="shared" si="76"/>
        <v>0.70739015426391072</v>
      </c>
      <c r="AA368" s="3226" t="s">
        <v>3319</v>
      </c>
      <c r="AB368" s="3226" t="s">
        <v>4587</v>
      </c>
      <c r="AC368" s="3226" t="s">
        <v>4698</v>
      </c>
      <c r="AD368" s="3286" t="s">
        <v>4773</v>
      </c>
      <c r="AE368" s="3286" t="s">
        <v>4774</v>
      </c>
      <c r="AF368" s="3286"/>
      <c r="AG368" s="3323"/>
      <c r="AH368" s="3255"/>
      <c r="AI368" s="3255"/>
      <c r="AJ368" s="3255"/>
      <c r="AK368" s="3287" t="str">
        <f t="shared" si="77"/>
        <v/>
      </c>
      <c r="AL368" s="3288" t="str">
        <f t="shared" si="78"/>
        <v/>
      </c>
      <c r="AM368" s="3226"/>
      <c r="AN368" s="3289"/>
      <c r="AO368" s="3300"/>
      <c r="AP368" s="3300"/>
      <c r="AQ368" s="3300"/>
      <c r="AR368" s="3292"/>
      <c r="AS368" s="3292"/>
      <c r="AT368" s="3292"/>
      <c r="AU368" s="3293"/>
      <c r="AV368" s="3293"/>
      <c r="AW368" s="3294"/>
      <c r="AX368" s="3236"/>
      <c r="AY368" s="3244"/>
      <c r="AZ368" s="3325" t="s">
        <v>4445</v>
      </c>
      <c r="BA368" s="3296" t="str">
        <f t="shared" si="79"/>
        <v>签约</v>
      </c>
      <c r="BB368" s="3226"/>
      <c r="BC368" s="3226"/>
      <c r="BD368" s="3292"/>
      <c r="BE368" s="3297" t="s">
        <v>4696</v>
      </c>
      <c r="BG368" s="3297">
        <f>IFERROR(VLOOKUP(B368,[3]Sheet2!A$1:B$65536,2,FALSE),0)</f>
        <v>0</v>
      </c>
      <c r="BI368" s="3297">
        <f>IFERROR(VLOOKUP(B368,[3]Sheet2!A$1:C$65536,2,FALSE),0)</f>
        <v>0</v>
      </c>
      <c r="BJ368" s="3297">
        <f>IFERROR(VLOOKUP(B368,[3]Sheet2!A$1:C$65536,3,FALSE),0)</f>
        <v>0</v>
      </c>
    </row>
    <row r="369" spans="1:62" s="3261" customFormat="1" ht="20.25" customHeight="1">
      <c r="A369" s="3226">
        <v>367</v>
      </c>
      <c r="B369" s="3250" t="s">
        <v>3878</v>
      </c>
      <c r="C369" s="3227" t="s">
        <v>3333</v>
      </c>
      <c r="D369" s="3251" t="s">
        <v>3879</v>
      </c>
      <c r="E369" s="3229">
        <v>44023</v>
      </c>
      <c r="F369" s="3230">
        <v>50000</v>
      </c>
      <c r="G369" s="3231">
        <v>134.31</v>
      </c>
      <c r="H369" s="3231" t="str">
        <f t="shared" si="68"/>
        <v>普通住宅</v>
      </c>
      <c r="I369" s="3230">
        <v>2098205</v>
      </c>
      <c r="J369" s="3229">
        <v>44028</v>
      </c>
      <c r="K369" s="3284">
        <f t="shared" si="69"/>
        <v>7</v>
      </c>
      <c r="L369" s="3230">
        <v>2078205</v>
      </c>
      <c r="M369" s="3235">
        <f t="shared" si="70"/>
        <v>15473.1963368327</v>
      </c>
      <c r="N369" s="3236">
        <v>578205</v>
      </c>
      <c r="O369" s="3244"/>
      <c r="P369" s="3244"/>
      <c r="Q369" s="3244"/>
      <c r="R369" s="3244">
        <f t="shared" si="72"/>
        <v>628205</v>
      </c>
      <c r="S369" s="3244"/>
      <c r="T369" s="3236"/>
      <c r="U369" s="3236"/>
      <c r="V369" s="3236">
        <v>1450000</v>
      </c>
      <c r="W369" s="3236"/>
      <c r="X369" s="3244">
        <f t="shared" si="74"/>
        <v>2078205</v>
      </c>
      <c r="Y369" s="3244">
        <f t="shared" si="75"/>
        <v>0</v>
      </c>
      <c r="Z369" s="3285">
        <f t="shared" si="76"/>
        <v>1</v>
      </c>
      <c r="AA369" s="3226" t="s">
        <v>3319</v>
      </c>
      <c r="AB369" s="3226" t="s">
        <v>4587</v>
      </c>
      <c r="AC369" s="3226" t="s">
        <v>4698</v>
      </c>
      <c r="AD369" s="3286" t="s">
        <v>4539</v>
      </c>
      <c r="AE369" s="3286" t="s">
        <v>4427</v>
      </c>
      <c r="AF369" s="3286"/>
      <c r="AG369" s="3323"/>
      <c r="AH369" s="3255">
        <v>44028</v>
      </c>
      <c r="AI369" s="3255">
        <v>44034</v>
      </c>
      <c r="AJ369" s="3255">
        <v>44047</v>
      </c>
      <c r="AK369" s="3287">
        <f t="shared" si="77"/>
        <v>2020</v>
      </c>
      <c r="AL369" s="3288">
        <f t="shared" si="78"/>
        <v>8</v>
      </c>
      <c r="AM369" s="3226" t="s">
        <v>4792</v>
      </c>
      <c r="AN369" s="3289">
        <v>1450000</v>
      </c>
      <c r="AO369" s="3300"/>
      <c r="AP369" s="3300"/>
      <c r="AQ369" s="3300"/>
      <c r="AR369" s="3292"/>
      <c r="AS369" s="3292"/>
      <c r="AT369" s="3292"/>
      <c r="AU369" s="3293"/>
      <c r="AV369" s="3293"/>
      <c r="AW369" s="3294"/>
      <c r="AX369" s="3236"/>
      <c r="AY369" s="3244"/>
      <c r="AZ369" s="3325" t="s">
        <v>4886</v>
      </c>
      <c r="BA369" s="3296" t="str">
        <f t="shared" si="79"/>
        <v>签约</v>
      </c>
      <c r="BB369" s="3226"/>
      <c r="BC369" s="3226"/>
      <c r="BD369" s="3292"/>
      <c r="BE369" s="3297" t="s">
        <v>4696</v>
      </c>
      <c r="BG369" s="3297">
        <f>IFERROR(VLOOKUP(B369,[3]Sheet2!A$1:B$65536,2,FALSE),0)</f>
        <v>0</v>
      </c>
      <c r="BI369" s="3297">
        <f>IFERROR(VLOOKUP(B369,[3]Sheet2!A$1:C$65536,2,FALSE),0)</f>
        <v>0</v>
      </c>
      <c r="BJ369" s="3297">
        <f>IFERROR(VLOOKUP(B369,[3]Sheet2!A$1:C$65536,3,FALSE),0)</f>
        <v>0</v>
      </c>
    </row>
    <row r="370" spans="1:62" s="3261" customFormat="1" ht="20.25" customHeight="1">
      <c r="A370" s="3226">
        <v>368</v>
      </c>
      <c r="B370" s="3250" t="s">
        <v>3880</v>
      </c>
      <c r="C370" s="3227" t="s">
        <v>3333</v>
      </c>
      <c r="D370" s="3251" t="s">
        <v>3881</v>
      </c>
      <c r="E370" s="3229">
        <v>44024</v>
      </c>
      <c r="F370" s="3230">
        <v>50000</v>
      </c>
      <c r="G370" s="3231">
        <v>134.31</v>
      </c>
      <c r="H370" s="3231" t="str">
        <f t="shared" si="68"/>
        <v>普通住宅</v>
      </c>
      <c r="I370" s="3230">
        <v>2125898</v>
      </c>
      <c r="J370" s="3229">
        <v>44043</v>
      </c>
      <c r="K370" s="3284">
        <f t="shared" si="69"/>
        <v>7</v>
      </c>
      <c r="L370" s="3230">
        <v>2105898</v>
      </c>
      <c r="M370" s="3235">
        <f t="shared" si="70"/>
        <v>15679.383515747151</v>
      </c>
      <c r="N370" s="3236">
        <f>250000+345898</f>
        <v>595898</v>
      </c>
      <c r="O370" s="3244"/>
      <c r="P370" s="3244"/>
      <c r="Q370" s="3244"/>
      <c r="R370" s="3244">
        <f t="shared" si="72"/>
        <v>645898</v>
      </c>
      <c r="S370" s="3244"/>
      <c r="T370" s="3236"/>
      <c r="U370" s="3236"/>
      <c r="V370" s="3236"/>
      <c r="W370" s="3236"/>
      <c r="X370" s="3244">
        <f t="shared" si="74"/>
        <v>645898</v>
      </c>
      <c r="Y370" s="3244">
        <f t="shared" si="75"/>
        <v>1460000</v>
      </c>
      <c r="Z370" s="3285">
        <f t="shared" si="76"/>
        <v>0.30670906188238939</v>
      </c>
      <c r="AA370" s="3226" t="s">
        <v>3319</v>
      </c>
      <c r="AB370" s="3226" t="s">
        <v>4587</v>
      </c>
      <c r="AC370" s="3226" t="s">
        <v>4698</v>
      </c>
      <c r="AD370" s="3286" t="s">
        <v>4773</v>
      </c>
      <c r="AE370" s="3286" t="s">
        <v>4774</v>
      </c>
      <c r="AF370" s="3286"/>
      <c r="AG370" s="3323"/>
      <c r="AH370" s="3255"/>
      <c r="AI370" s="3255"/>
      <c r="AJ370" s="3255"/>
      <c r="AK370" s="3287" t="str">
        <f t="shared" si="77"/>
        <v/>
      </c>
      <c r="AL370" s="3288" t="str">
        <f t="shared" si="78"/>
        <v/>
      </c>
      <c r="AM370" s="3226"/>
      <c r="AN370" s="3289"/>
      <c r="AO370" s="3300"/>
      <c r="AP370" s="3300"/>
      <c r="AQ370" s="3300"/>
      <c r="AR370" s="3292"/>
      <c r="AS370" s="3292"/>
      <c r="AT370" s="3292"/>
      <c r="AU370" s="3293"/>
      <c r="AV370" s="3293"/>
      <c r="AW370" s="3294"/>
      <c r="AX370" s="3236"/>
      <c r="AY370" s="3244"/>
      <c r="AZ370" s="3325" t="s">
        <v>4429</v>
      </c>
      <c r="BA370" s="3296" t="str">
        <f t="shared" si="79"/>
        <v>签约</v>
      </c>
      <c r="BB370" s="3226"/>
      <c r="BC370" s="3226"/>
      <c r="BD370" s="3292"/>
      <c r="BE370" s="3297" t="s">
        <v>4424</v>
      </c>
      <c r="BG370" s="3297">
        <f>IFERROR(VLOOKUP(B370,[3]Sheet2!A$1:B$65536,2,FALSE),0)</f>
        <v>0</v>
      </c>
      <c r="BI370" s="3297">
        <f>IFERROR(VLOOKUP(B370,[3]Sheet2!A$1:C$65536,2,FALSE),0)</f>
        <v>0</v>
      </c>
      <c r="BJ370" s="3297">
        <f>IFERROR(VLOOKUP(B370,[3]Sheet2!A$1:C$65536,3,FALSE),0)</f>
        <v>0</v>
      </c>
    </row>
    <row r="371" spans="1:62" s="3261" customFormat="1" ht="20.25" customHeight="1">
      <c r="A371" s="3226">
        <v>369</v>
      </c>
      <c r="B371" s="3250" t="s">
        <v>3882</v>
      </c>
      <c r="C371" s="3227" t="s">
        <v>3333</v>
      </c>
      <c r="D371" s="3251" t="s">
        <v>3883</v>
      </c>
      <c r="E371" s="3229">
        <v>44023</v>
      </c>
      <c r="F371" s="3230">
        <v>50000</v>
      </c>
      <c r="G371" s="3231">
        <v>134.31</v>
      </c>
      <c r="H371" s="3231" t="str">
        <f t="shared" si="68"/>
        <v>普通住宅</v>
      </c>
      <c r="I371" s="3230">
        <v>2153591</v>
      </c>
      <c r="J371" s="3229">
        <v>44030</v>
      </c>
      <c r="K371" s="3284">
        <f t="shared" si="69"/>
        <v>7</v>
      </c>
      <c r="L371" s="3230">
        <v>2133591</v>
      </c>
      <c r="M371" s="3235">
        <f t="shared" si="70"/>
        <v>15885.570694661603</v>
      </c>
      <c r="N371" s="3236">
        <v>600000</v>
      </c>
      <c r="O371" s="3244"/>
      <c r="P371" s="3244"/>
      <c r="Q371" s="3244"/>
      <c r="R371" s="3244">
        <f t="shared" si="72"/>
        <v>650000</v>
      </c>
      <c r="S371" s="3244"/>
      <c r="T371" s="3236"/>
      <c r="U371" s="3236"/>
      <c r="V371" s="3236"/>
      <c r="W371" s="3236"/>
      <c r="X371" s="3244">
        <f t="shared" si="74"/>
        <v>650000</v>
      </c>
      <c r="Y371" s="3244">
        <f t="shared" si="75"/>
        <v>1483591</v>
      </c>
      <c r="Z371" s="3285">
        <f t="shared" si="76"/>
        <v>0.3046507039071687</v>
      </c>
      <c r="AA371" s="3226" t="s">
        <v>3319</v>
      </c>
      <c r="AB371" s="3226" t="s">
        <v>4587</v>
      </c>
      <c r="AC371" s="3226" t="s">
        <v>4698</v>
      </c>
      <c r="AD371" s="3286" t="s">
        <v>4773</v>
      </c>
      <c r="AE371" s="3286" t="s">
        <v>4774</v>
      </c>
      <c r="AF371" s="3286"/>
      <c r="AG371" s="3323"/>
      <c r="AH371" s="3255"/>
      <c r="AI371" s="3255"/>
      <c r="AJ371" s="3255"/>
      <c r="AK371" s="3287" t="str">
        <f t="shared" si="77"/>
        <v/>
      </c>
      <c r="AL371" s="3288" t="str">
        <f t="shared" si="78"/>
        <v/>
      </c>
      <c r="AM371" s="3226"/>
      <c r="AN371" s="3289"/>
      <c r="AO371" s="3300"/>
      <c r="AP371" s="3300"/>
      <c r="AQ371" s="3300"/>
      <c r="AR371" s="3292"/>
      <c r="AS371" s="3292"/>
      <c r="AT371" s="3292"/>
      <c r="AU371" s="3293"/>
      <c r="AV371" s="3293"/>
      <c r="AW371" s="3294"/>
      <c r="AX371" s="3236"/>
      <c r="AY371" s="3244"/>
      <c r="AZ371" s="3325" t="s">
        <v>4894</v>
      </c>
      <c r="BA371" s="3296" t="str">
        <f t="shared" si="79"/>
        <v>签约</v>
      </c>
      <c r="BB371" s="3226"/>
      <c r="BC371" s="3226"/>
      <c r="BD371" s="3292"/>
      <c r="BE371" s="3297" t="s">
        <v>4449</v>
      </c>
      <c r="BG371" s="3297">
        <f>IFERROR(VLOOKUP(B371,[3]Sheet2!A$1:B$65536,2,FALSE),0)</f>
        <v>0</v>
      </c>
      <c r="BI371" s="3297">
        <f>IFERROR(VLOOKUP(B371,[3]Sheet2!A$1:C$65536,2,FALSE),0)</f>
        <v>0</v>
      </c>
      <c r="BJ371" s="3297">
        <f>IFERROR(VLOOKUP(B371,[3]Sheet2!A$1:C$65536,3,FALSE),0)</f>
        <v>0</v>
      </c>
    </row>
    <row r="372" spans="1:62" s="3261" customFormat="1" ht="20.25" customHeight="1">
      <c r="A372" s="3226">
        <v>370</v>
      </c>
      <c r="B372" s="3250" t="s">
        <v>3884</v>
      </c>
      <c r="C372" s="3227" t="s">
        <v>3333</v>
      </c>
      <c r="D372" s="3251" t="s">
        <v>3885</v>
      </c>
      <c r="E372" s="3229">
        <v>44030</v>
      </c>
      <c r="F372" s="3230">
        <v>50000</v>
      </c>
      <c r="G372" s="3231">
        <v>134.31</v>
      </c>
      <c r="H372" s="3231" t="str">
        <f t="shared" si="68"/>
        <v>普通住宅</v>
      </c>
      <c r="I372" s="3230">
        <v>2181284</v>
      </c>
      <c r="J372" s="3229">
        <v>44030</v>
      </c>
      <c r="K372" s="3284">
        <f t="shared" si="69"/>
        <v>7</v>
      </c>
      <c r="L372" s="3230">
        <v>2161284</v>
      </c>
      <c r="M372" s="3235">
        <f t="shared" si="70"/>
        <v>16091.757873576054</v>
      </c>
      <c r="N372" s="3236">
        <v>2111284</v>
      </c>
      <c r="O372" s="3244"/>
      <c r="P372" s="3244"/>
      <c r="Q372" s="3244"/>
      <c r="R372" s="3244">
        <f t="shared" si="72"/>
        <v>2161284</v>
      </c>
      <c r="S372" s="3244"/>
      <c r="T372" s="3236"/>
      <c r="U372" s="3236"/>
      <c r="V372" s="3236"/>
      <c r="W372" s="3236"/>
      <c r="X372" s="3244">
        <f t="shared" si="74"/>
        <v>2161284</v>
      </c>
      <c r="Y372" s="3244">
        <f t="shared" si="75"/>
        <v>0</v>
      </c>
      <c r="Z372" s="3285">
        <f t="shared" si="76"/>
        <v>1</v>
      </c>
      <c r="AA372" s="3226" t="s">
        <v>3319</v>
      </c>
      <c r="AB372" s="3226" t="s">
        <v>4676</v>
      </c>
      <c r="AC372" s="3226"/>
      <c r="AD372" s="3286"/>
      <c r="AE372" s="3286"/>
      <c r="AF372" s="3286"/>
      <c r="AG372" s="3323"/>
      <c r="AH372" s="3255"/>
      <c r="AI372" s="3255"/>
      <c r="AJ372" s="3255"/>
      <c r="AK372" s="3287" t="str">
        <f t="shared" si="77"/>
        <v/>
      </c>
      <c r="AL372" s="3288" t="str">
        <f t="shared" si="78"/>
        <v/>
      </c>
      <c r="AM372" s="3226"/>
      <c r="AN372" s="3289"/>
      <c r="AO372" s="3300"/>
      <c r="AP372" s="3300"/>
      <c r="AQ372" s="3300"/>
      <c r="AR372" s="3292"/>
      <c r="AS372" s="3292"/>
      <c r="AT372" s="3292"/>
      <c r="AU372" s="3293"/>
      <c r="AV372" s="3293"/>
      <c r="AW372" s="3294"/>
      <c r="AX372" s="3236"/>
      <c r="AY372" s="3244"/>
      <c r="AZ372" s="3325" t="s">
        <v>4445</v>
      </c>
      <c r="BA372" s="3296" t="str">
        <f t="shared" si="79"/>
        <v>签约</v>
      </c>
      <c r="BB372" s="3226"/>
      <c r="BC372" s="3226"/>
      <c r="BD372" s="3292"/>
      <c r="BE372" s="3297" t="s">
        <v>4696</v>
      </c>
      <c r="BG372" s="3297">
        <f>IFERROR(VLOOKUP(B372,[3]Sheet2!A$1:B$65536,2,FALSE),0)</f>
        <v>0</v>
      </c>
      <c r="BI372" s="3297">
        <f>IFERROR(VLOOKUP(B372,[3]Sheet2!A$1:C$65536,2,FALSE),0)</f>
        <v>0</v>
      </c>
      <c r="BJ372" s="3297">
        <f>IFERROR(VLOOKUP(B372,[3]Sheet2!A$1:C$65536,3,FALSE),0)</f>
        <v>0</v>
      </c>
    </row>
    <row r="373" spans="1:62" s="3261" customFormat="1" ht="20.25" customHeight="1">
      <c r="A373" s="3226">
        <v>371</v>
      </c>
      <c r="B373" s="3250" t="s">
        <v>3886</v>
      </c>
      <c r="C373" s="3227" t="s">
        <v>3333</v>
      </c>
      <c r="D373" s="3251" t="s">
        <v>3887</v>
      </c>
      <c r="E373" s="3229">
        <v>44023</v>
      </c>
      <c r="F373" s="3230">
        <v>30000</v>
      </c>
      <c r="G373" s="3231">
        <v>134.31</v>
      </c>
      <c r="H373" s="3231" t="str">
        <f t="shared" si="68"/>
        <v>普通住宅</v>
      </c>
      <c r="I373" s="3230">
        <v>2208976</v>
      </c>
      <c r="J373" s="3229">
        <v>44035</v>
      </c>
      <c r="K373" s="3284">
        <f t="shared" si="69"/>
        <v>7</v>
      </c>
      <c r="L373" s="3230">
        <v>2188976</v>
      </c>
      <c r="M373" s="3235">
        <f t="shared" si="70"/>
        <v>16297.937607028516</v>
      </c>
      <c r="N373" s="3236">
        <v>628976</v>
      </c>
      <c r="O373" s="3244"/>
      <c r="P373" s="3244"/>
      <c r="Q373" s="3244"/>
      <c r="R373" s="3244">
        <f t="shared" si="72"/>
        <v>658976</v>
      </c>
      <c r="S373" s="3244"/>
      <c r="T373" s="3236"/>
      <c r="U373" s="3236"/>
      <c r="V373" s="3236"/>
      <c r="W373" s="3236"/>
      <c r="X373" s="3244">
        <f t="shared" si="74"/>
        <v>658976</v>
      </c>
      <c r="Y373" s="3244">
        <f t="shared" si="75"/>
        <v>1530000</v>
      </c>
      <c r="Z373" s="3285">
        <f t="shared" si="76"/>
        <v>0.30104304478441063</v>
      </c>
      <c r="AA373" s="3226" t="s">
        <v>3319</v>
      </c>
      <c r="AB373" s="3226" t="s">
        <v>4587</v>
      </c>
      <c r="AC373" s="3226" t="s">
        <v>4698</v>
      </c>
      <c r="AD373" s="3286" t="s">
        <v>4773</v>
      </c>
      <c r="AE373" s="3286" t="s">
        <v>4774</v>
      </c>
      <c r="AF373" s="3286"/>
      <c r="AG373" s="3323"/>
      <c r="AH373" s="3255"/>
      <c r="AI373" s="3255"/>
      <c r="AJ373" s="3255"/>
      <c r="AK373" s="3287" t="str">
        <f t="shared" si="77"/>
        <v/>
      </c>
      <c r="AL373" s="3288" t="str">
        <f t="shared" si="78"/>
        <v/>
      </c>
      <c r="AM373" s="3226"/>
      <c r="AN373" s="3289"/>
      <c r="AO373" s="3300"/>
      <c r="AP373" s="3300"/>
      <c r="AQ373" s="3300"/>
      <c r="AR373" s="3292"/>
      <c r="AS373" s="3292"/>
      <c r="AT373" s="3292"/>
      <c r="AU373" s="3293"/>
      <c r="AV373" s="3293"/>
      <c r="AW373" s="3294"/>
      <c r="AX373" s="3236"/>
      <c r="AY373" s="3244"/>
      <c r="AZ373" s="3325" t="s">
        <v>4894</v>
      </c>
      <c r="BA373" s="3296" t="str">
        <f t="shared" si="79"/>
        <v>签约</v>
      </c>
      <c r="BB373" s="3226"/>
      <c r="BC373" s="3226"/>
      <c r="BD373" s="3292"/>
      <c r="BE373" s="3297" t="s">
        <v>4449</v>
      </c>
      <c r="BG373" s="3297">
        <f>IFERROR(VLOOKUP(B373,[3]Sheet2!A$1:B$65536,2,FALSE),0)</f>
        <v>0</v>
      </c>
      <c r="BI373" s="3297">
        <f>IFERROR(VLOOKUP(B373,[3]Sheet2!A$1:C$65536,2,FALSE),0)</f>
        <v>0</v>
      </c>
      <c r="BJ373" s="3297">
        <f>IFERROR(VLOOKUP(B373,[3]Sheet2!A$1:C$65536,3,FALSE),0)</f>
        <v>0</v>
      </c>
    </row>
    <row r="374" spans="1:62" s="3261" customFormat="1" ht="20.25" customHeight="1">
      <c r="A374" s="3226">
        <v>372</v>
      </c>
      <c r="B374" s="3250" t="s">
        <v>3888</v>
      </c>
      <c r="C374" s="3227" t="s">
        <v>3333</v>
      </c>
      <c r="D374" s="3251" t="s">
        <v>3889</v>
      </c>
      <c r="E374" s="3229">
        <v>44023</v>
      </c>
      <c r="F374" s="3230">
        <v>50000</v>
      </c>
      <c r="G374" s="3231">
        <v>134.31</v>
      </c>
      <c r="H374" s="3231" t="str">
        <f t="shared" si="68"/>
        <v>普通住宅</v>
      </c>
      <c r="I374" s="3230">
        <v>2236669</v>
      </c>
      <c r="J374" s="3229">
        <v>44030</v>
      </c>
      <c r="K374" s="3284">
        <f t="shared" si="69"/>
        <v>7</v>
      </c>
      <c r="L374" s="3230">
        <v>2216669</v>
      </c>
      <c r="M374" s="3235">
        <f t="shared" si="70"/>
        <v>16504.124785942968</v>
      </c>
      <c r="N374" s="3236">
        <v>616669</v>
      </c>
      <c r="O374" s="3244"/>
      <c r="P374" s="3244"/>
      <c r="Q374" s="3244"/>
      <c r="R374" s="3244">
        <f t="shared" si="72"/>
        <v>666669</v>
      </c>
      <c r="S374" s="3244"/>
      <c r="T374" s="3236"/>
      <c r="U374" s="3236"/>
      <c r="V374" s="3236"/>
      <c r="W374" s="3236"/>
      <c r="X374" s="3244">
        <f t="shared" si="74"/>
        <v>666669</v>
      </c>
      <c r="Y374" s="3244">
        <f t="shared" si="75"/>
        <v>1550000</v>
      </c>
      <c r="Z374" s="3285">
        <f t="shared" si="76"/>
        <v>0.30075261574912626</v>
      </c>
      <c r="AA374" s="3226" t="s">
        <v>3319</v>
      </c>
      <c r="AB374" s="3226" t="s">
        <v>4587</v>
      </c>
      <c r="AC374" s="3226" t="s">
        <v>4698</v>
      </c>
      <c r="AD374" s="3286" t="s">
        <v>4773</v>
      </c>
      <c r="AE374" s="3286" t="s">
        <v>4774</v>
      </c>
      <c r="AF374" s="3286"/>
      <c r="AG374" s="3323"/>
      <c r="AH374" s="3255"/>
      <c r="AI374" s="3255"/>
      <c r="AJ374" s="3255"/>
      <c r="AK374" s="3287" t="str">
        <f t="shared" si="77"/>
        <v/>
      </c>
      <c r="AL374" s="3288" t="str">
        <f t="shared" si="78"/>
        <v/>
      </c>
      <c r="AM374" s="3226"/>
      <c r="AN374" s="3289"/>
      <c r="AO374" s="3300"/>
      <c r="AP374" s="3300"/>
      <c r="AQ374" s="3300"/>
      <c r="AR374" s="3292"/>
      <c r="AS374" s="3292"/>
      <c r="AT374" s="3292"/>
      <c r="AU374" s="3293"/>
      <c r="AV374" s="3293"/>
      <c r="AW374" s="3294"/>
      <c r="AX374" s="3236"/>
      <c r="AY374" s="3244"/>
      <c r="AZ374" s="3325" t="s">
        <v>4894</v>
      </c>
      <c r="BA374" s="3296" t="str">
        <f t="shared" si="79"/>
        <v>签约</v>
      </c>
      <c r="BB374" s="3226"/>
      <c r="BC374" s="3226"/>
      <c r="BD374" s="3292"/>
      <c r="BE374" s="3297" t="s">
        <v>4449</v>
      </c>
      <c r="BG374" s="3297">
        <f>IFERROR(VLOOKUP(B374,[3]Sheet2!A$1:B$65536,2,FALSE),0)</f>
        <v>0</v>
      </c>
      <c r="BI374" s="3297">
        <f>IFERROR(VLOOKUP(B374,[3]Sheet2!A$1:C$65536,2,FALSE),0)</f>
        <v>0</v>
      </c>
      <c r="BJ374" s="3297">
        <f>IFERROR(VLOOKUP(B374,[3]Sheet2!A$1:C$65536,3,FALSE),0)</f>
        <v>0</v>
      </c>
    </row>
    <row r="375" spans="1:62" s="3261" customFormat="1" ht="20.25" customHeight="1">
      <c r="A375" s="3226">
        <v>373</v>
      </c>
      <c r="B375" s="3250" t="s">
        <v>3890</v>
      </c>
      <c r="C375" s="3227" t="s">
        <v>3333</v>
      </c>
      <c r="D375" s="3251" t="s">
        <v>3891</v>
      </c>
      <c r="E375" s="3229">
        <v>44023</v>
      </c>
      <c r="F375" s="3230">
        <v>50000</v>
      </c>
      <c r="G375" s="3231">
        <v>134.31</v>
      </c>
      <c r="H375" s="3231" t="str">
        <f t="shared" si="68"/>
        <v>普通住宅</v>
      </c>
      <c r="I375" s="3230">
        <v>2264362</v>
      </c>
      <c r="J375" s="3229">
        <v>44029</v>
      </c>
      <c r="K375" s="3284">
        <f t="shared" si="69"/>
        <v>7</v>
      </c>
      <c r="L375" s="3230">
        <v>2244362</v>
      </c>
      <c r="M375" s="3235">
        <f t="shared" si="70"/>
        <v>16710.311964857417</v>
      </c>
      <c r="N375" s="3236">
        <f>804362+300000</f>
        <v>1104362</v>
      </c>
      <c r="O375" s="3244"/>
      <c r="P375" s="3244"/>
      <c r="Q375" s="3244"/>
      <c r="R375" s="3244">
        <f t="shared" si="72"/>
        <v>1154362</v>
      </c>
      <c r="S375" s="3244"/>
      <c r="T375" s="3236"/>
      <c r="U375" s="3236"/>
      <c r="V375" s="3236"/>
      <c r="W375" s="3236"/>
      <c r="X375" s="3244">
        <f t="shared" si="74"/>
        <v>1154362</v>
      </c>
      <c r="Y375" s="3244">
        <f t="shared" si="75"/>
        <v>1090000</v>
      </c>
      <c r="Z375" s="3285">
        <f t="shared" si="76"/>
        <v>0.51433859600189269</v>
      </c>
      <c r="AA375" s="3226" t="s">
        <v>3319</v>
      </c>
      <c r="AB375" s="3226" t="s">
        <v>4587</v>
      </c>
      <c r="AC375" s="3226" t="s">
        <v>4698</v>
      </c>
      <c r="AD375" s="3286" t="s">
        <v>4773</v>
      </c>
      <c r="AE375" s="3286" t="s">
        <v>4774</v>
      </c>
      <c r="AF375" s="3286"/>
      <c r="AG375" s="3323"/>
      <c r="AH375" s="3255"/>
      <c r="AI375" s="3255"/>
      <c r="AJ375" s="3255"/>
      <c r="AK375" s="3287" t="str">
        <f t="shared" si="77"/>
        <v/>
      </c>
      <c r="AL375" s="3288" t="str">
        <f t="shared" si="78"/>
        <v/>
      </c>
      <c r="AM375" s="3226"/>
      <c r="AN375" s="3289"/>
      <c r="AO375" s="3300"/>
      <c r="AP375" s="3300"/>
      <c r="AQ375" s="3300"/>
      <c r="AR375" s="3292"/>
      <c r="AS375" s="3292"/>
      <c r="AT375" s="3292"/>
      <c r="AU375" s="3293"/>
      <c r="AV375" s="3293"/>
      <c r="AW375" s="3294"/>
      <c r="AX375" s="3236"/>
      <c r="AY375" s="3244"/>
      <c r="AZ375" s="3325" t="s">
        <v>4894</v>
      </c>
      <c r="BA375" s="3296" t="str">
        <f t="shared" si="79"/>
        <v>签约</v>
      </c>
      <c r="BB375" s="3226"/>
      <c r="BC375" s="3226"/>
      <c r="BD375" s="3292"/>
      <c r="BE375" s="3297" t="s">
        <v>4367</v>
      </c>
      <c r="BG375" s="3297">
        <f>IFERROR(VLOOKUP(B375,[3]Sheet2!A$1:B$65536,2,FALSE),0)</f>
        <v>0</v>
      </c>
      <c r="BI375" s="3297">
        <f>IFERROR(VLOOKUP(B375,[3]Sheet2!A$1:C$65536,2,FALSE),0)</f>
        <v>0</v>
      </c>
      <c r="BJ375" s="3297">
        <f>IFERROR(VLOOKUP(B375,[3]Sheet2!A$1:C$65536,3,FALSE),0)</f>
        <v>0</v>
      </c>
    </row>
    <row r="376" spans="1:62" s="3261" customFormat="1" ht="20.25" customHeight="1">
      <c r="A376" s="3226">
        <v>374</v>
      </c>
      <c r="B376" s="3250" t="s">
        <v>3892</v>
      </c>
      <c r="C376" s="3227" t="s">
        <v>3333</v>
      </c>
      <c r="D376" s="3251" t="s">
        <v>3893</v>
      </c>
      <c r="E376" s="3229">
        <v>44023</v>
      </c>
      <c r="F376" s="3230">
        <v>50000</v>
      </c>
      <c r="G376" s="3231">
        <v>134.31</v>
      </c>
      <c r="H376" s="3231" t="str">
        <f t="shared" si="68"/>
        <v>普通住宅</v>
      </c>
      <c r="I376" s="3230">
        <v>2167437</v>
      </c>
      <c r="J376" s="3229">
        <v>44029</v>
      </c>
      <c r="K376" s="3284">
        <f t="shared" si="69"/>
        <v>7</v>
      </c>
      <c r="L376" s="3230">
        <v>2147437</v>
      </c>
      <c r="M376" s="3235">
        <f t="shared" si="70"/>
        <v>15988.660561387835</v>
      </c>
      <c r="N376" s="3236">
        <f>597437+1500000</f>
        <v>2097437</v>
      </c>
      <c r="O376" s="3244"/>
      <c r="P376" s="3244"/>
      <c r="Q376" s="3244"/>
      <c r="R376" s="3244">
        <f t="shared" si="72"/>
        <v>2147437</v>
      </c>
      <c r="S376" s="3244"/>
      <c r="T376" s="3236"/>
      <c r="U376" s="3236"/>
      <c r="V376" s="3236"/>
      <c r="W376" s="3236"/>
      <c r="X376" s="3244">
        <f t="shared" si="74"/>
        <v>2147437</v>
      </c>
      <c r="Y376" s="3244">
        <f t="shared" si="75"/>
        <v>0</v>
      </c>
      <c r="Z376" s="3285">
        <f t="shared" si="76"/>
        <v>1</v>
      </c>
      <c r="AA376" s="3226" t="s">
        <v>3319</v>
      </c>
      <c r="AB376" s="3226" t="s">
        <v>4676</v>
      </c>
      <c r="AC376" s="3226"/>
      <c r="AD376" s="3286"/>
      <c r="AE376" s="3286"/>
      <c r="AF376" s="3286"/>
      <c r="AG376" s="3323"/>
      <c r="AH376" s="3255"/>
      <c r="AI376" s="3255"/>
      <c r="AJ376" s="3255"/>
      <c r="AK376" s="3287" t="str">
        <f t="shared" si="77"/>
        <v/>
      </c>
      <c r="AL376" s="3288" t="str">
        <f t="shared" si="78"/>
        <v/>
      </c>
      <c r="AM376" s="3226"/>
      <c r="AN376" s="3289"/>
      <c r="AO376" s="3300"/>
      <c r="AP376" s="3300"/>
      <c r="AQ376" s="3300"/>
      <c r="AR376" s="3292"/>
      <c r="AS376" s="3292"/>
      <c r="AT376" s="3292"/>
      <c r="AU376" s="3293"/>
      <c r="AV376" s="3293"/>
      <c r="AW376" s="3294"/>
      <c r="AX376" s="3236"/>
      <c r="AY376" s="3244"/>
      <c r="AZ376" s="3325" t="s">
        <v>4445</v>
      </c>
      <c r="BA376" s="3296" t="str">
        <f t="shared" si="79"/>
        <v>签约</v>
      </c>
      <c r="BB376" s="3226"/>
      <c r="BC376" s="3226"/>
      <c r="BD376" s="3292"/>
      <c r="BE376" s="3297" t="s">
        <v>4367</v>
      </c>
      <c r="BG376" s="3297">
        <f>IFERROR(VLOOKUP(B376,[3]Sheet2!A$1:B$65536,2,FALSE),0)</f>
        <v>0</v>
      </c>
      <c r="BI376" s="3297">
        <f>IFERROR(VLOOKUP(B376,[3]Sheet2!A$1:C$65536,2,FALSE),0)</f>
        <v>0</v>
      </c>
      <c r="BJ376" s="3297">
        <f>IFERROR(VLOOKUP(B376,[3]Sheet2!A$1:C$65536,3,FALSE),0)</f>
        <v>0</v>
      </c>
    </row>
    <row r="377" spans="1:62" s="3261" customFormat="1" ht="20.25" customHeight="1">
      <c r="A377" s="3226">
        <v>375</v>
      </c>
      <c r="B377" s="3250" t="s">
        <v>3894</v>
      </c>
      <c r="C377" s="3227" t="s">
        <v>3333</v>
      </c>
      <c r="D377" s="3251" t="s">
        <v>3895</v>
      </c>
      <c r="E377" s="3229">
        <v>44029</v>
      </c>
      <c r="F377" s="3230">
        <v>50000</v>
      </c>
      <c r="G377" s="3231">
        <v>134.31</v>
      </c>
      <c r="H377" s="3231" t="str">
        <f t="shared" si="68"/>
        <v>普通住宅</v>
      </c>
      <c r="I377" s="3230">
        <v>2009760</v>
      </c>
      <c r="J377" s="3229">
        <v>44029</v>
      </c>
      <c r="K377" s="3284">
        <f t="shared" si="69"/>
        <v>7</v>
      </c>
      <c r="L377" s="3230">
        <v>1989760</v>
      </c>
      <c r="M377" s="3235">
        <f t="shared" si="70"/>
        <v>14814.682451046086</v>
      </c>
      <c r="N377" s="3236">
        <v>549760</v>
      </c>
      <c r="O377" s="3244"/>
      <c r="P377" s="3244"/>
      <c r="Q377" s="3244"/>
      <c r="R377" s="3244">
        <f t="shared" si="72"/>
        <v>599760</v>
      </c>
      <c r="S377" s="3244"/>
      <c r="T377" s="3236"/>
      <c r="U377" s="3236"/>
      <c r="V377" s="3236">
        <v>1390000</v>
      </c>
      <c r="W377" s="3236"/>
      <c r="X377" s="3244">
        <f t="shared" si="74"/>
        <v>1989760</v>
      </c>
      <c r="Y377" s="3244">
        <f t="shared" si="75"/>
        <v>0</v>
      </c>
      <c r="Z377" s="3285">
        <f t="shared" si="76"/>
        <v>1</v>
      </c>
      <c r="AA377" s="3226" t="s">
        <v>3319</v>
      </c>
      <c r="AB377" s="3226" t="s">
        <v>4587</v>
      </c>
      <c r="AC377" s="3226" t="s">
        <v>4698</v>
      </c>
      <c r="AD377" s="3286" t="s">
        <v>4539</v>
      </c>
      <c r="AE377" s="3286" t="s">
        <v>4427</v>
      </c>
      <c r="AF377" s="3286"/>
      <c r="AG377" s="3323"/>
      <c r="AH377" s="3255">
        <v>44029</v>
      </c>
      <c r="AI377" s="3255">
        <v>44032</v>
      </c>
      <c r="AJ377" s="3255">
        <v>44039</v>
      </c>
      <c r="AK377" s="3287">
        <f t="shared" si="77"/>
        <v>2020</v>
      </c>
      <c r="AL377" s="3288">
        <f t="shared" si="78"/>
        <v>7</v>
      </c>
      <c r="AM377" s="3226" t="s">
        <v>4777</v>
      </c>
      <c r="AN377" s="3289">
        <v>1390000</v>
      </c>
      <c r="AO377" s="3300"/>
      <c r="AP377" s="3300"/>
      <c r="AQ377" s="3300"/>
      <c r="AR377" s="3292"/>
      <c r="AS377" s="3292"/>
      <c r="AT377" s="3292"/>
      <c r="AU377" s="3293"/>
      <c r="AV377" s="3293"/>
      <c r="AW377" s="3294"/>
      <c r="AX377" s="3236"/>
      <c r="AY377" s="3244"/>
      <c r="AZ377" s="3325" t="s">
        <v>4892</v>
      </c>
      <c r="BA377" s="3296" t="str">
        <f t="shared" si="79"/>
        <v>签约</v>
      </c>
      <c r="BB377" s="3226"/>
      <c r="BC377" s="3226"/>
      <c r="BD377" s="3292"/>
      <c r="BE377" s="3297" t="s">
        <v>4367</v>
      </c>
      <c r="BG377" s="3297">
        <f>IFERROR(VLOOKUP(B377,[3]Sheet2!A$1:B$65536,2,FALSE),0)</f>
        <v>0</v>
      </c>
      <c r="BI377" s="3297">
        <f>IFERROR(VLOOKUP(B377,[3]Sheet2!A$1:C$65536,2,FALSE),0)</f>
        <v>0</v>
      </c>
      <c r="BJ377" s="3297">
        <f>IFERROR(VLOOKUP(B377,[3]Sheet2!A$1:C$65536,3,FALSE),0)</f>
        <v>0</v>
      </c>
    </row>
    <row r="378" spans="1:62" s="3261" customFormat="1" ht="20.25" customHeight="1">
      <c r="A378" s="3226">
        <v>376</v>
      </c>
      <c r="B378" s="3250" t="s">
        <v>3896</v>
      </c>
      <c r="C378" s="3227" t="s">
        <v>3333</v>
      </c>
      <c r="D378" s="3251" t="s">
        <v>3897</v>
      </c>
      <c r="E378" s="3229">
        <v>44023</v>
      </c>
      <c r="F378" s="3230">
        <v>50000</v>
      </c>
      <c r="G378" s="3231">
        <v>134.31</v>
      </c>
      <c r="H378" s="3231" t="str">
        <f t="shared" si="68"/>
        <v>普通住宅</v>
      </c>
      <c r="I378" s="3230">
        <v>2065145</v>
      </c>
      <c r="J378" s="3229">
        <v>44027</v>
      </c>
      <c r="K378" s="3284">
        <f t="shared" si="69"/>
        <v>7</v>
      </c>
      <c r="L378" s="3230">
        <v>2045145</v>
      </c>
      <c r="M378" s="3235">
        <f t="shared" si="70"/>
        <v>15227.049363413</v>
      </c>
      <c r="N378" s="3236">
        <v>565145</v>
      </c>
      <c r="O378" s="3244"/>
      <c r="P378" s="3244"/>
      <c r="Q378" s="3244"/>
      <c r="R378" s="3244">
        <f t="shared" si="72"/>
        <v>615145</v>
      </c>
      <c r="S378" s="3244"/>
      <c r="T378" s="3236"/>
      <c r="U378" s="3236"/>
      <c r="V378" s="3236">
        <v>1430000</v>
      </c>
      <c r="W378" s="3236"/>
      <c r="X378" s="3244">
        <f t="shared" si="74"/>
        <v>2045145</v>
      </c>
      <c r="Y378" s="3244">
        <f t="shared" si="75"/>
        <v>0</v>
      </c>
      <c r="Z378" s="3285">
        <f t="shared" si="76"/>
        <v>1</v>
      </c>
      <c r="AA378" s="3226" t="s">
        <v>3319</v>
      </c>
      <c r="AB378" s="3226" t="s">
        <v>4587</v>
      </c>
      <c r="AC378" s="3226" t="s">
        <v>4698</v>
      </c>
      <c r="AD378" s="3286" t="s">
        <v>4539</v>
      </c>
      <c r="AE378" s="3286" t="s">
        <v>4427</v>
      </c>
      <c r="AF378" s="3286"/>
      <c r="AG378" s="3323"/>
      <c r="AH378" s="3255">
        <v>44028</v>
      </c>
      <c r="AI378" s="3255">
        <v>44034</v>
      </c>
      <c r="AJ378" s="3255">
        <v>44039</v>
      </c>
      <c r="AK378" s="3287">
        <f t="shared" si="77"/>
        <v>2020</v>
      </c>
      <c r="AL378" s="3288">
        <f t="shared" si="78"/>
        <v>7</v>
      </c>
      <c r="AM378" s="3226" t="s">
        <v>4890</v>
      </c>
      <c r="AN378" s="3289">
        <v>1430000</v>
      </c>
      <c r="AO378" s="3300"/>
      <c r="AP378" s="3300"/>
      <c r="AQ378" s="3300"/>
      <c r="AR378" s="3292"/>
      <c r="AS378" s="3292"/>
      <c r="AT378" s="3292"/>
      <c r="AU378" s="3293"/>
      <c r="AV378" s="3293"/>
      <c r="AW378" s="3294"/>
      <c r="AX378" s="3236"/>
      <c r="AY378" s="3244"/>
      <c r="AZ378" s="3325" t="s">
        <v>4895</v>
      </c>
      <c r="BA378" s="3296" t="str">
        <f t="shared" si="79"/>
        <v>签约</v>
      </c>
      <c r="BB378" s="3226"/>
      <c r="BC378" s="3226"/>
      <c r="BD378" s="3292"/>
      <c r="BE378" s="3297" t="s">
        <v>4465</v>
      </c>
      <c r="BG378" s="3297">
        <f>IFERROR(VLOOKUP(B378,[3]Sheet2!A$1:B$65536,2,FALSE),0)</f>
        <v>0</v>
      </c>
      <c r="BI378" s="3297">
        <f>IFERROR(VLOOKUP(B378,[3]Sheet2!A$1:C$65536,2,FALSE),0)</f>
        <v>0</v>
      </c>
      <c r="BJ378" s="3297">
        <f>IFERROR(VLOOKUP(B378,[3]Sheet2!A$1:C$65536,3,FALSE),0)</f>
        <v>0</v>
      </c>
    </row>
    <row r="379" spans="1:62" s="3261" customFormat="1" ht="20.25" customHeight="1">
      <c r="A379" s="3226">
        <v>377</v>
      </c>
      <c r="B379" s="3250" t="s">
        <v>3898</v>
      </c>
      <c r="C379" s="3227" t="s">
        <v>3333</v>
      </c>
      <c r="D379" s="3251" t="s">
        <v>3899</v>
      </c>
      <c r="E379" s="3229">
        <v>44026</v>
      </c>
      <c r="F379" s="3230">
        <v>50000</v>
      </c>
      <c r="G379" s="3231">
        <v>134.31</v>
      </c>
      <c r="H379" s="3231" t="str">
        <f t="shared" si="68"/>
        <v>普通住宅</v>
      </c>
      <c r="I379" s="3230">
        <v>2092838</v>
      </c>
      <c r="J379" s="3229">
        <v>44026</v>
      </c>
      <c r="K379" s="3284">
        <f t="shared" si="69"/>
        <v>7</v>
      </c>
      <c r="L379" s="3230">
        <v>2072838</v>
      </c>
      <c r="M379" s="3235">
        <f t="shared" si="70"/>
        <v>15433.236542327451</v>
      </c>
      <c r="N379" s="3236">
        <v>2022838</v>
      </c>
      <c r="O379" s="3244"/>
      <c r="P379" s="3244"/>
      <c r="Q379" s="3244"/>
      <c r="R379" s="3244">
        <f t="shared" si="72"/>
        <v>2072838</v>
      </c>
      <c r="S379" s="3244"/>
      <c r="T379" s="3236"/>
      <c r="U379" s="3236"/>
      <c r="V379" s="3236"/>
      <c r="W379" s="3236"/>
      <c r="X379" s="3244">
        <f t="shared" si="74"/>
        <v>2072838</v>
      </c>
      <c r="Y379" s="3244">
        <f t="shared" si="75"/>
        <v>0</v>
      </c>
      <c r="Z379" s="3285">
        <f t="shared" si="76"/>
        <v>1</v>
      </c>
      <c r="AA379" s="3226" t="s">
        <v>3319</v>
      </c>
      <c r="AB379" s="3226" t="s">
        <v>4676</v>
      </c>
      <c r="AC379" s="3226"/>
      <c r="AD379" s="3286"/>
      <c r="AE379" s="3286"/>
      <c r="AF379" s="3286"/>
      <c r="AG379" s="3323"/>
      <c r="AH379" s="3255"/>
      <c r="AI379" s="3255"/>
      <c r="AJ379" s="3255"/>
      <c r="AK379" s="3287" t="str">
        <f t="shared" si="77"/>
        <v/>
      </c>
      <c r="AL379" s="3288" t="str">
        <f t="shared" si="78"/>
        <v/>
      </c>
      <c r="AM379" s="3226"/>
      <c r="AN379" s="3289"/>
      <c r="AO379" s="3300"/>
      <c r="AP379" s="3300"/>
      <c r="AQ379" s="3300"/>
      <c r="AR379" s="3292"/>
      <c r="AS379" s="3292"/>
      <c r="AT379" s="3292"/>
      <c r="AU379" s="3293"/>
      <c r="AV379" s="3293"/>
      <c r="AW379" s="3294"/>
      <c r="AX379" s="3236"/>
      <c r="AY379" s="3244"/>
      <c r="AZ379" s="3325" t="s">
        <v>4441</v>
      </c>
      <c r="BA379" s="3296" t="str">
        <f t="shared" si="79"/>
        <v>签约</v>
      </c>
      <c r="BB379" s="3226"/>
      <c r="BC379" s="3226"/>
      <c r="BD379" s="3292"/>
      <c r="BE379" s="3297" t="s">
        <v>4367</v>
      </c>
      <c r="BG379" s="3297">
        <f>IFERROR(VLOOKUP(B379,[3]Sheet2!A$1:B$65536,2,FALSE),0)</f>
        <v>0</v>
      </c>
      <c r="BI379" s="3297">
        <f>IFERROR(VLOOKUP(B379,[3]Sheet2!A$1:C$65536,2,FALSE),0)</f>
        <v>0</v>
      </c>
      <c r="BJ379" s="3297">
        <f>IFERROR(VLOOKUP(B379,[3]Sheet2!A$1:C$65536,3,FALSE),0)</f>
        <v>0</v>
      </c>
    </row>
    <row r="380" spans="1:62" s="3261" customFormat="1" ht="20.25" customHeight="1">
      <c r="A380" s="3226">
        <v>378</v>
      </c>
      <c r="B380" s="3250" t="s">
        <v>3900</v>
      </c>
      <c r="C380" s="3227" t="s">
        <v>3333</v>
      </c>
      <c r="D380" s="3251" t="s">
        <v>3901</v>
      </c>
      <c r="E380" s="3229">
        <v>44023</v>
      </c>
      <c r="F380" s="3230">
        <v>50000</v>
      </c>
      <c r="G380" s="3231">
        <v>134.31</v>
      </c>
      <c r="H380" s="3231" t="str">
        <f t="shared" si="68"/>
        <v>普通住宅</v>
      </c>
      <c r="I380" s="3230">
        <v>2120531</v>
      </c>
      <c r="J380" s="3229">
        <v>44026</v>
      </c>
      <c r="K380" s="3284">
        <f t="shared" si="69"/>
        <v>7</v>
      </c>
      <c r="L380" s="3230">
        <v>2100531</v>
      </c>
      <c r="M380" s="3235">
        <f t="shared" si="70"/>
        <v>15639.423721241903</v>
      </c>
      <c r="N380" s="3236">
        <v>580531</v>
      </c>
      <c r="O380" s="3244"/>
      <c r="P380" s="3244"/>
      <c r="Q380" s="3244"/>
      <c r="R380" s="3244">
        <f t="shared" si="72"/>
        <v>630531</v>
      </c>
      <c r="S380" s="3244"/>
      <c r="T380" s="3236"/>
      <c r="U380" s="3236"/>
      <c r="V380" s="3236">
        <v>1470000</v>
      </c>
      <c r="W380" s="3236"/>
      <c r="X380" s="3244">
        <f t="shared" si="74"/>
        <v>2100531</v>
      </c>
      <c r="Y380" s="3244">
        <f t="shared" si="75"/>
        <v>0</v>
      </c>
      <c r="Z380" s="3285">
        <f t="shared" si="76"/>
        <v>1</v>
      </c>
      <c r="AA380" s="3226" t="s">
        <v>3319</v>
      </c>
      <c r="AB380" s="3226" t="s">
        <v>4587</v>
      </c>
      <c r="AC380" s="3226" t="s">
        <v>4698</v>
      </c>
      <c r="AD380" s="3286" t="s">
        <v>4539</v>
      </c>
      <c r="AE380" s="3286" t="s">
        <v>4427</v>
      </c>
      <c r="AF380" s="3286"/>
      <c r="AG380" s="3323"/>
      <c r="AH380" s="3255">
        <v>44026</v>
      </c>
      <c r="AI380" s="3255">
        <v>44034</v>
      </c>
      <c r="AJ380" s="3255">
        <v>44039</v>
      </c>
      <c r="AK380" s="3287">
        <f t="shared" si="77"/>
        <v>2020</v>
      </c>
      <c r="AL380" s="3288">
        <f t="shared" si="78"/>
        <v>7</v>
      </c>
      <c r="AM380" s="3226" t="s">
        <v>4890</v>
      </c>
      <c r="AN380" s="3289">
        <v>1470000</v>
      </c>
      <c r="AO380" s="3300"/>
      <c r="AP380" s="3300"/>
      <c r="AQ380" s="3300"/>
      <c r="AR380" s="3292"/>
      <c r="AS380" s="3292"/>
      <c r="AT380" s="3292"/>
      <c r="AU380" s="3293"/>
      <c r="AV380" s="3293"/>
      <c r="AW380" s="3294"/>
      <c r="AX380" s="3236"/>
      <c r="AY380" s="3244"/>
      <c r="AZ380" s="3325" t="s">
        <v>4429</v>
      </c>
      <c r="BA380" s="3296" t="str">
        <f t="shared" si="79"/>
        <v>签约</v>
      </c>
      <c r="BB380" s="3226"/>
      <c r="BC380" s="3226"/>
      <c r="BD380" s="3292"/>
      <c r="BE380" s="3297" t="s">
        <v>4367</v>
      </c>
      <c r="BG380" s="3297">
        <f>IFERROR(VLOOKUP(B380,[3]Sheet2!A$1:B$65536,2,FALSE),0)</f>
        <v>0</v>
      </c>
      <c r="BI380" s="3297">
        <f>IFERROR(VLOOKUP(B380,[3]Sheet2!A$1:C$65536,2,FALSE),0)</f>
        <v>0</v>
      </c>
      <c r="BJ380" s="3297">
        <f>IFERROR(VLOOKUP(B380,[3]Sheet2!A$1:C$65536,3,FALSE),0)</f>
        <v>0</v>
      </c>
    </row>
    <row r="381" spans="1:62" s="3261" customFormat="1" ht="20.25" customHeight="1">
      <c r="A381" s="3226">
        <v>379</v>
      </c>
      <c r="B381" s="3250" t="s">
        <v>3902</v>
      </c>
      <c r="C381" s="3227" t="s">
        <v>3333</v>
      </c>
      <c r="D381" s="3251" t="s">
        <v>3903</v>
      </c>
      <c r="E381" s="3229">
        <v>44023</v>
      </c>
      <c r="F381" s="3230">
        <v>50000</v>
      </c>
      <c r="G381" s="3231">
        <v>134.31</v>
      </c>
      <c r="H381" s="3231" t="str">
        <f t="shared" si="68"/>
        <v>普通住宅</v>
      </c>
      <c r="I381" s="3230">
        <v>2148224</v>
      </c>
      <c r="J381" s="3229">
        <v>44029</v>
      </c>
      <c r="K381" s="3284">
        <f t="shared" si="69"/>
        <v>7</v>
      </c>
      <c r="L381" s="3230">
        <v>2128224</v>
      </c>
      <c r="M381" s="3235">
        <f t="shared" si="70"/>
        <v>15845.610900156355</v>
      </c>
      <c r="N381" s="3236">
        <v>598224</v>
      </c>
      <c r="O381" s="3244"/>
      <c r="P381" s="3244"/>
      <c r="Q381" s="3244"/>
      <c r="R381" s="3244">
        <f t="shared" si="72"/>
        <v>648224</v>
      </c>
      <c r="S381" s="3244"/>
      <c r="T381" s="3236"/>
      <c r="U381" s="3236"/>
      <c r="V381" s="3236">
        <v>1480000</v>
      </c>
      <c r="W381" s="3236"/>
      <c r="X381" s="3244">
        <f t="shared" si="74"/>
        <v>2128224</v>
      </c>
      <c r="Y381" s="3244">
        <f t="shared" si="75"/>
        <v>0</v>
      </c>
      <c r="Z381" s="3285">
        <f t="shared" si="76"/>
        <v>1</v>
      </c>
      <c r="AA381" s="3226" t="s">
        <v>3319</v>
      </c>
      <c r="AB381" s="3226" t="s">
        <v>4587</v>
      </c>
      <c r="AC381" s="3226" t="s">
        <v>4698</v>
      </c>
      <c r="AD381" s="3286" t="s">
        <v>4539</v>
      </c>
      <c r="AE381" s="3286" t="s">
        <v>4427</v>
      </c>
      <c r="AF381" s="3286"/>
      <c r="AG381" s="3323"/>
      <c r="AH381" s="3255">
        <v>44028</v>
      </c>
      <c r="AI381" s="3255">
        <v>44032</v>
      </c>
      <c r="AJ381" s="3255">
        <v>44036</v>
      </c>
      <c r="AK381" s="3287">
        <f t="shared" si="77"/>
        <v>2020</v>
      </c>
      <c r="AL381" s="3288">
        <f t="shared" si="78"/>
        <v>7</v>
      </c>
      <c r="AM381" s="3226" t="s">
        <v>4881</v>
      </c>
      <c r="AN381" s="3289">
        <v>1480000</v>
      </c>
      <c r="AO381" s="3300"/>
      <c r="AP381" s="3300"/>
      <c r="AQ381" s="3300"/>
      <c r="AR381" s="3292"/>
      <c r="AS381" s="3292"/>
      <c r="AT381" s="3292"/>
      <c r="AU381" s="3293"/>
      <c r="AV381" s="3293"/>
      <c r="AW381" s="3294"/>
      <c r="AX381" s="3236"/>
      <c r="AY381" s="3244"/>
      <c r="AZ381" s="3325" t="s">
        <v>4894</v>
      </c>
      <c r="BA381" s="3296" t="str">
        <f t="shared" si="79"/>
        <v>签约</v>
      </c>
      <c r="BB381" s="3226"/>
      <c r="BC381" s="3226"/>
      <c r="BD381" s="3292"/>
      <c r="BE381" s="3297" t="s">
        <v>4367</v>
      </c>
      <c r="BG381" s="3297">
        <f>IFERROR(VLOOKUP(B381,[3]Sheet2!A$1:B$65536,2,FALSE),0)</f>
        <v>0</v>
      </c>
      <c r="BI381" s="3297">
        <f>IFERROR(VLOOKUP(B381,[3]Sheet2!A$1:C$65536,2,FALSE),0)</f>
        <v>0</v>
      </c>
      <c r="BJ381" s="3297">
        <f>IFERROR(VLOOKUP(B381,[3]Sheet2!A$1:C$65536,3,FALSE),0)</f>
        <v>0</v>
      </c>
    </row>
    <row r="382" spans="1:62" s="3261" customFormat="1" ht="20.25" customHeight="1">
      <c r="A382" s="3226">
        <v>380</v>
      </c>
      <c r="B382" s="3250" t="s">
        <v>3904</v>
      </c>
      <c r="C382" s="3227" t="s">
        <v>3333</v>
      </c>
      <c r="D382" s="3251" t="s">
        <v>3905</v>
      </c>
      <c r="E382" s="3229">
        <v>44023</v>
      </c>
      <c r="F382" s="3230">
        <v>50000</v>
      </c>
      <c r="G382" s="3231">
        <v>134.31</v>
      </c>
      <c r="H382" s="3231" t="str">
        <f t="shared" si="68"/>
        <v>普通住宅</v>
      </c>
      <c r="I382" s="3230">
        <v>2175916</v>
      </c>
      <c r="J382" s="3229">
        <v>44028</v>
      </c>
      <c r="K382" s="3284">
        <f t="shared" si="69"/>
        <v>7</v>
      </c>
      <c r="L382" s="3230">
        <v>2155916</v>
      </c>
      <c r="M382" s="3235">
        <f t="shared" si="70"/>
        <v>16051.790633608814</v>
      </c>
      <c r="N382" s="3236">
        <v>605916</v>
      </c>
      <c r="O382" s="3244"/>
      <c r="P382" s="3244"/>
      <c r="Q382" s="3244"/>
      <c r="R382" s="3244">
        <f t="shared" si="72"/>
        <v>655916</v>
      </c>
      <c r="S382" s="3244"/>
      <c r="T382" s="3236"/>
      <c r="U382" s="3236"/>
      <c r="V382" s="3236">
        <v>1500000</v>
      </c>
      <c r="W382" s="3236"/>
      <c r="X382" s="3244">
        <f t="shared" si="74"/>
        <v>2155916</v>
      </c>
      <c r="Y382" s="3244">
        <f t="shared" si="75"/>
        <v>0</v>
      </c>
      <c r="Z382" s="3285">
        <f t="shared" si="76"/>
        <v>1</v>
      </c>
      <c r="AA382" s="3226" t="s">
        <v>3319</v>
      </c>
      <c r="AB382" s="3226" t="s">
        <v>4587</v>
      </c>
      <c r="AC382" s="3226" t="s">
        <v>4698</v>
      </c>
      <c r="AD382" s="3286" t="s">
        <v>4539</v>
      </c>
      <c r="AE382" s="3286" t="s">
        <v>4427</v>
      </c>
      <c r="AF382" s="3286"/>
      <c r="AG382" s="3323"/>
      <c r="AH382" s="3255">
        <v>44028</v>
      </c>
      <c r="AI382" s="3255">
        <v>44032</v>
      </c>
      <c r="AJ382" s="3255">
        <v>44043</v>
      </c>
      <c r="AK382" s="3287">
        <f t="shared" si="77"/>
        <v>2020</v>
      </c>
      <c r="AL382" s="3288">
        <f t="shared" si="78"/>
        <v>7</v>
      </c>
      <c r="AM382" s="3226" t="s">
        <v>4634</v>
      </c>
      <c r="AN382" s="3289">
        <v>1500000</v>
      </c>
      <c r="AO382" s="3300"/>
      <c r="AP382" s="3300"/>
      <c r="AQ382" s="3300"/>
      <c r="AR382" s="3292"/>
      <c r="AS382" s="3292"/>
      <c r="AT382" s="3292"/>
      <c r="AU382" s="3293"/>
      <c r="AV382" s="3293"/>
      <c r="AW382" s="3294"/>
      <c r="AX382" s="3236"/>
      <c r="AY382" s="3244"/>
      <c r="AZ382" s="3325" t="s">
        <v>4892</v>
      </c>
      <c r="BA382" s="3296" t="str">
        <f t="shared" si="79"/>
        <v>签约</v>
      </c>
      <c r="BB382" s="3226"/>
      <c r="BC382" s="3226"/>
      <c r="BD382" s="3292"/>
      <c r="BE382" s="3297" t="s">
        <v>4367</v>
      </c>
      <c r="BG382" s="3297">
        <f>IFERROR(VLOOKUP(B382,[3]Sheet2!A$1:B$65536,2,FALSE),0)</f>
        <v>0</v>
      </c>
      <c r="BI382" s="3297">
        <f>IFERROR(VLOOKUP(B382,[3]Sheet2!A$1:C$65536,2,FALSE),0)</f>
        <v>0</v>
      </c>
      <c r="BJ382" s="3297">
        <f>IFERROR(VLOOKUP(B382,[3]Sheet2!A$1:C$65536,3,FALSE),0)</f>
        <v>0</v>
      </c>
    </row>
    <row r="383" spans="1:62" s="3261" customFormat="1" ht="20.25" customHeight="1">
      <c r="A383" s="3226">
        <v>381</v>
      </c>
      <c r="B383" s="3250" t="s">
        <v>3906</v>
      </c>
      <c r="C383" s="3227" t="s">
        <v>3333</v>
      </c>
      <c r="D383" s="3251" t="s">
        <v>3907</v>
      </c>
      <c r="E383" s="3229">
        <v>44023</v>
      </c>
      <c r="F383" s="3230">
        <v>50000</v>
      </c>
      <c r="G383" s="3231">
        <v>134.31</v>
      </c>
      <c r="H383" s="3231" t="str">
        <f t="shared" si="68"/>
        <v>普通住宅</v>
      </c>
      <c r="I383" s="3230">
        <v>2203609</v>
      </c>
      <c r="J383" s="3229">
        <v>44027</v>
      </c>
      <c r="K383" s="3284">
        <f t="shared" si="69"/>
        <v>7</v>
      </c>
      <c r="L383" s="3230">
        <v>2183609</v>
      </c>
      <c r="M383" s="3235">
        <f t="shared" si="70"/>
        <v>16257.977812523266</v>
      </c>
      <c r="N383" s="3236">
        <v>2133609</v>
      </c>
      <c r="O383" s="3244"/>
      <c r="P383" s="3244"/>
      <c r="Q383" s="3244"/>
      <c r="R383" s="3244">
        <f t="shared" si="72"/>
        <v>2183609</v>
      </c>
      <c r="S383" s="3244"/>
      <c r="T383" s="3236"/>
      <c r="U383" s="3236"/>
      <c r="V383" s="3236"/>
      <c r="W383" s="3236"/>
      <c r="X383" s="3244">
        <f t="shared" si="74"/>
        <v>2183609</v>
      </c>
      <c r="Y383" s="3244">
        <f t="shared" si="75"/>
        <v>0</v>
      </c>
      <c r="Z383" s="3285">
        <f t="shared" si="76"/>
        <v>1</v>
      </c>
      <c r="AA383" s="3226" t="s">
        <v>3319</v>
      </c>
      <c r="AB383" s="3226" t="s">
        <v>4676</v>
      </c>
      <c r="AC383" s="3226"/>
      <c r="AD383" s="3286"/>
      <c r="AE383" s="3286"/>
      <c r="AF383" s="3286"/>
      <c r="AG383" s="3323"/>
      <c r="AH383" s="3255"/>
      <c r="AI383" s="3255"/>
      <c r="AJ383" s="3255"/>
      <c r="AK383" s="3287" t="str">
        <f t="shared" si="77"/>
        <v/>
      </c>
      <c r="AL383" s="3288" t="str">
        <f t="shared" si="78"/>
        <v/>
      </c>
      <c r="AM383" s="3226"/>
      <c r="AN383" s="3289"/>
      <c r="AO383" s="3300"/>
      <c r="AP383" s="3300"/>
      <c r="AQ383" s="3300"/>
      <c r="AR383" s="3292"/>
      <c r="AS383" s="3292"/>
      <c r="AT383" s="3292"/>
      <c r="AU383" s="3293"/>
      <c r="AV383" s="3293"/>
      <c r="AW383" s="3294"/>
      <c r="AX383" s="3236"/>
      <c r="AY383" s="3244"/>
      <c r="AZ383" s="3325" t="s">
        <v>4445</v>
      </c>
      <c r="BA383" s="3296" t="str">
        <f t="shared" si="79"/>
        <v>签约</v>
      </c>
      <c r="BB383" s="3226"/>
      <c r="BC383" s="3226"/>
      <c r="BD383" s="3292"/>
      <c r="BE383" s="3297" t="s">
        <v>4696</v>
      </c>
      <c r="BG383" s="3297">
        <f>IFERROR(VLOOKUP(B383,[3]Sheet2!A$1:B$65536,2,FALSE),0)</f>
        <v>0</v>
      </c>
      <c r="BI383" s="3297">
        <f>IFERROR(VLOOKUP(B383,[3]Sheet2!A$1:C$65536,2,FALSE),0)</f>
        <v>0</v>
      </c>
      <c r="BJ383" s="3297">
        <f>IFERROR(VLOOKUP(B383,[3]Sheet2!A$1:C$65536,3,FALSE),0)</f>
        <v>0</v>
      </c>
    </row>
    <row r="384" spans="1:62" s="3261" customFormat="1" ht="20.25" customHeight="1">
      <c r="A384" s="3226">
        <v>382</v>
      </c>
      <c r="B384" s="3250" t="s">
        <v>3908</v>
      </c>
      <c r="C384" s="3227" t="s">
        <v>3333</v>
      </c>
      <c r="D384" s="3251" t="s">
        <v>3909</v>
      </c>
      <c r="E384" s="3229">
        <v>44023</v>
      </c>
      <c r="F384" s="3230">
        <v>50000</v>
      </c>
      <c r="G384" s="3231">
        <v>134.31</v>
      </c>
      <c r="H384" s="3231" t="str">
        <f t="shared" si="68"/>
        <v>普通住宅</v>
      </c>
      <c r="I384" s="3230">
        <v>2231302</v>
      </c>
      <c r="J384" s="3229">
        <v>44027</v>
      </c>
      <c r="K384" s="3284">
        <f t="shared" si="69"/>
        <v>7</v>
      </c>
      <c r="L384" s="3230">
        <v>2211302</v>
      </c>
      <c r="M384" s="3235">
        <f t="shared" si="70"/>
        <v>16464.164991437719</v>
      </c>
      <c r="N384" s="3236">
        <v>621302</v>
      </c>
      <c r="O384" s="3244"/>
      <c r="P384" s="3244"/>
      <c r="Q384" s="3244"/>
      <c r="R384" s="3244">
        <f t="shared" si="72"/>
        <v>671302</v>
      </c>
      <c r="S384" s="3244"/>
      <c r="T384" s="3236"/>
      <c r="U384" s="3236"/>
      <c r="V384" s="3236"/>
      <c r="W384" s="3236"/>
      <c r="X384" s="3244">
        <f t="shared" si="74"/>
        <v>671302</v>
      </c>
      <c r="Y384" s="3244">
        <f t="shared" si="75"/>
        <v>1540000</v>
      </c>
      <c r="Z384" s="3285">
        <f t="shared" si="76"/>
        <v>0.30357771123075905</v>
      </c>
      <c r="AA384" s="3226" t="s">
        <v>3319</v>
      </c>
      <c r="AB384" s="3226" t="s">
        <v>4587</v>
      </c>
      <c r="AC384" s="3226" t="s">
        <v>4698</v>
      </c>
      <c r="AD384" s="3286" t="s">
        <v>4773</v>
      </c>
      <c r="AE384" s="3286" t="s">
        <v>4774</v>
      </c>
      <c r="AF384" s="3286"/>
      <c r="AG384" s="3323"/>
      <c r="AH384" s="3255"/>
      <c r="AI384" s="3255"/>
      <c r="AJ384" s="3255"/>
      <c r="AK384" s="3287" t="str">
        <f t="shared" si="77"/>
        <v/>
      </c>
      <c r="AL384" s="3288" t="str">
        <f t="shared" si="78"/>
        <v/>
      </c>
      <c r="AM384" s="3226"/>
      <c r="AN384" s="3289"/>
      <c r="AO384" s="3300"/>
      <c r="AP384" s="3300"/>
      <c r="AQ384" s="3300"/>
      <c r="AR384" s="3292"/>
      <c r="AS384" s="3292"/>
      <c r="AT384" s="3292"/>
      <c r="AU384" s="3293"/>
      <c r="AV384" s="3293"/>
      <c r="AW384" s="3294"/>
      <c r="AX384" s="3236"/>
      <c r="AY384" s="3244"/>
      <c r="AZ384" s="3325" t="s">
        <v>4445</v>
      </c>
      <c r="BA384" s="3296" t="str">
        <f t="shared" si="79"/>
        <v>签约</v>
      </c>
      <c r="BB384" s="3226"/>
      <c r="BC384" s="3226"/>
      <c r="BD384" s="3292"/>
      <c r="BE384" s="3297" t="s">
        <v>4465</v>
      </c>
      <c r="BG384" s="3297">
        <f>IFERROR(VLOOKUP(B384,[3]Sheet2!A$1:B$65536,2,FALSE),0)</f>
        <v>0</v>
      </c>
      <c r="BI384" s="3297">
        <f>IFERROR(VLOOKUP(B384,[3]Sheet2!A$1:C$65536,2,FALSE),0)</f>
        <v>0</v>
      </c>
      <c r="BJ384" s="3297">
        <f>IFERROR(VLOOKUP(B384,[3]Sheet2!A$1:C$65536,3,FALSE),0)</f>
        <v>0</v>
      </c>
    </row>
    <row r="385" spans="1:64" s="3261" customFormat="1" ht="20.25" customHeight="1">
      <c r="A385" s="3226">
        <v>383</v>
      </c>
      <c r="B385" s="3250" t="s">
        <v>3910</v>
      </c>
      <c r="C385" s="3227" t="s">
        <v>3333</v>
      </c>
      <c r="D385" s="3251" t="s">
        <v>3911</v>
      </c>
      <c r="E385" s="3229">
        <v>44029</v>
      </c>
      <c r="F385" s="3230">
        <v>50000</v>
      </c>
      <c r="G385" s="3231">
        <v>134.31</v>
      </c>
      <c r="H385" s="3231" t="str">
        <f t="shared" si="68"/>
        <v>普通住宅</v>
      </c>
      <c r="I385" s="3230">
        <v>2258995</v>
      </c>
      <c r="J385" s="3229">
        <v>44029</v>
      </c>
      <c r="K385" s="3284">
        <f t="shared" si="69"/>
        <v>7</v>
      </c>
      <c r="L385" s="3230">
        <v>2258995</v>
      </c>
      <c r="M385" s="3235">
        <f t="shared" si="70"/>
        <v>16819.2614101705</v>
      </c>
      <c r="N385" s="3236">
        <f>628995+1580000</f>
        <v>2208995</v>
      </c>
      <c r="O385" s="3244"/>
      <c r="P385" s="3244"/>
      <c r="Q385" s="3244"/>
      <c r="R385" s="3244">
        <f t="shared" si="72"/>
        <v>2258995</v>
      </c>
      <c r="S385" s="3244"/>
      <c r="T385" s="3236"/>
      <c r="U385" s="3236"/>
      <c r="V385" s="3236"/>
      <c r="W385" s="3236"/>
      <c r="X385" s="3244">
        <f t="shared" si="74"/>
        <v>2258995</v>
      </c>
      <c r="Y385" s="3244">
        <f t="shared" si="75"/>
        <v>0</v>
      </c>
      <c r="Z385" s="3285">
        <f t="shared" si="76"/>
        <v>1</v>
      </c>
      <c r="AA385" s="3226" t="s">
        <v>3319</v>
      </c>
      <c r="AB385" s="3226" t="s">
        <v>4676</v>
      </c>
      <c r="AC385" s="3226"/>
      <c r="AD385" s="3286"/>
      <c r="AE385" s="3286"/>
      <c r="AF385" s="3286"/>
      <c r="AG385" s="3323"/>
      <c r="AH385" s="3255"/>
      <c r="AI385" s="3255"/>
      <c r="AJ385" s="3255"/>
      <c r="AK385" s="3287" t="str">
        <f t="shared" si="77"/>
        <v/>
      </c>
      <c r="AL385" s="3288" t="str">
        <f t="shared" si="78"/>
        <v/>
      </c>
      <c r="AM385" s="3226"/>
      <c r="AN385" s="3289"/>
      <c r="AO385" s="3300"/>
      <c r="AP385" s="3300"/>
      <c r="AQ385" s="3300"/>
      <c r="AR385" s="3292"/>
      <c r="AS385" s="3292"/>
      <c r="AT385" s="3292"/>
      <c r="AU385" s="3293"/>
      <c r="AV385" s="3293"/>
      <c r="AW385" s="3294"/>
      <c r="AX385" s="3236"/>
      <c r="AY385" s="3244"/>
      <c r="AZ385" s="3325" t="s">
        <v>4885</v>
      </c>
      <c r="BA385" s="3296" t="str">
        <f t="shared" si="79"/>
        <v>签约</v>
      </c>
      <c r="BB385" s="3226"/>
      <c r="BC385" s="3226"/>
      <c r="BD385" s="3292"/>
      <c r="BE385" s="3297" t="s">
        <v>4465</v>
      </c>
      <c r="BG385" s="3297">
        <f>IFERROR(VLOOKUP(B385,[3]Sheet2!A$1:B$65536,2,FALSE),0)</f>
        <v>0</v>
      </c>
      <c r="BI385" s="3297">
        <f>IFERROR(VLOOKUP(B385,[3]Sheet2!A$1:C$65536,2,FALSE),0)</f>
        <v>0</v>
      </c>
      <c r="BJ385" s="3297">
        <f>IFERROR(VLOOKUP(B385,[3]Sheet2!A$1:C$65536,3,FALSE),0)</f>
        <v>0</v>
      </c>
    </row>
    <row r="386" spans="1:64" s="3261" customFormat="1" ht="20.25" customHeight="1">
      <c r="A386" s="3226">
        <v>384</v>
      </c>
      <c r="B386" s="3250" t="s">
        <v>3912</v>
      </c>
      <c r="C386" s="3227" t="s">
        <v>3333</v>
      </c>
      <c r="D386" s="3251" t="s">
        <v>3913</v>
      </c>
      <c r="E386" s="3229">
        <v>44023</v>
      </c>
      <c r="F386" s="3230">
        <v>50000</v>
      </c>
      <c r="G386" s="3231">
        <v>134.31</v>
      </c>
      <c r="H386" s="3231" t="str">
        <f t="shared" si="68"/>
        <v>普通住宅</v>
      </c>
      <c r="I386" s="3230">
        <v>2162070</v>
      </c>
      <c r="J386" s="3229">
        <v>44027</v>
      </c>
      <c r="K386" s="3284">
        <f t="shared" si="69"/>
        <v>7</v>
      </c>
      <c r="L386" s="3230">
        <v>2142070</v>
      </c>
      <c r="M386" s="3235">
        <f t="shared" si="70"/>
        <v>15948.700766882585</v>
      </c>
      <c r="N386" s="3236">
        <v>2092070</v>
      </c>
      <c r="O386" s="3244"/>
      <c r="P386" s="3244"/>
      <c r="Q386" s="3244"/>
      <c r="R386" s="3244">
        <f t="shared" si="72"/>
        <v>2142070</v>
      </c>
      <c r="S386" s="3244"/>
      <c r="T386" s="3236"/>
      <c r="U386" s="3236"/>
      <c r="V386" s="3236"/>
      <c r="W386" s="3236"/>
      <c r="X386" s="3244">
        <f t="shared" si="74"/>
        <v>2142070</v>
      </c>
      <c r="Y386" s="3244">
        <f t="shared" si="75"/>
        <v>0</v>
      </c>
      <c r="Z386" s="3285">
        <f t="shared" si="76"/>
        <v>1</v>
      </c>
      <c r="AA386" s="3226" t="s">
        <v>3319</v>
      </c>
      <c r="AB386" s="3226" t="s">
        <v>4676</v>
      </c>
      <c r="AC386" s="3226"/>
      <c r="AD386" s="3286"/>
      <c r="AE386" s="3286"/>
      <c r="AF386" s="3286"/>
      <c r="AG386" s="3323"/>
      <c r="AH386" s="3255"/>
      <c r="AI386" s="3255"/>
      <c r="AJ386" s="3255"/>
      <c r="AK386" s="3287" t="str">
        <f t="shared" si="77"/>
        <v/>
      </c>
      <c r="AL386" s="3288" t="str">
        <f t="shared" si="78"/>
        <v/>
      </c>
      <c r="AM386" s="3226"/>
      <c r="AN386" s="3289"/>
      <c r="AO386" s="3300"/>
      <c r="AP386" s="3300"/>
      <c r="AQ386" s="3300"/>
      <c r="AR386" s="3292"/>
      <c r="AS386" s="3292"/>
      <c r="AT386" s="3292"/>
      <c r="AU386" s="3293"/>
      <c r="AV386" s="3293"/>
      <c r="AW386" s="3294"/>
      <c r="AX386" s="3236"/>
      <c r="AY386" s="3244"/>
      <c r="AZ386" s="3325" t="s">
        <v>4900</v>
      </c>
      <c r="BA386" s="3296" t="str">
        <f t="shared" si="79"/>
        <v>签约</v>
      </c>
      <c r="BB386" s="3226"/>
      <c r="BC386" s="3226"/>
      <c r="BD386" s="3292"/>
      <c r="BE386" s="3297" t="s">
        <v>4465</v>
      </c>
      <c r="BG386" s="3297">
        <f>IFERROR(VLOOKUP(B386,[3]Sheet2!A$1:B$65536,2,FALSE),0)</f>
        <v>0</v>
      </c>
      <c r="BI386" s="3297">
        <f>IFERROR(VLOOKUP(B386,[3]Sheet2!A$1:C$65536,2,FALSE),0)</f>
        <v>0</v>
      </c>
      <c r="BJ386" s="3297">
        <f>IFERROR(VLOOKUP(B386,[3]Sheet2!A$1:C$65536,3,FALSE),0)</f>
        <v>0</v>
      </c>
    </row>
    <row r="387" spans="1:64" s="3261" customFormat="1" ht="20.25" customHeight="1">
      <c r="A387" s="3226">
        <v>385</v>
      </c>
      <c r="B387" s="3250" t="s">
        <v>3914</v>
      </c>
      <c r="C387" s="3227" t="s">
        <v>3333</v>
      </c>
      <c r="D387" s="3251" t="s">
        <v>3915</v>
      </c>
      <c r="E387" s="3229">
        <v>44023</v>
      </c>
      <c r="F387" s="3230">
        <v>50000</v>
      </c>
      <c r="G387" s="3231">
        <v>137.22999999999999</v>
      </c>
      <c r="H387" s="3231" t="str">
        <f t="shared" si="68"/>
        <v>普通住宅</v>
      </c>
      <c r="I387" s="3230">
        <v>2189987</v>
      </c>
      <c r="J387" s="3229">
        <v>44028</v>
      </c>
      <c r="K387" s="3284">
        <f t="shared" si="69"/>
        <v>7</v>
      </c>
      <c r="L387" s="3230">
        <v>2169987</v>
      </c>
      <c r="M387" s="3235">
        <f t="shared" si="70"/>
        <v>15812.774174743134</v>
      </c>
      <c r="N387" s="3236">
        <v>619987</v>
      </c>
      <c r="O387" s="3244"/>
      <c r="P387" s="3244"/>
      <c r="Q387" s="3244"/>
      <c r="R387" s="3244">
        <f t="shared" si="72"/>
        <v>669987</v>
      </c>
      <c r="S387" s="3244"/>
      <c r="T387" s="3236"/>
      <c r="U387" s="3236"/>
      <c r="V387" s="3236">
        <v>1500000</v>
      </c>
      <c r="W387" s="3236"/>
      <c r="X387" s="3244">
        <f t="shared" si="74"/>
        <v>2169987</v>
      </c>
      <c r="Y387" s="3244">
        <f t="shared" si="75"/>
        <v>0</v>
      </c>
      <c r="Z387" s="3285">
        <f t="shared" si="76"/>
        <v>1</v>
      </c>
      <c r="AA387" s="3226" t="s">
        <v>3319</v>
      </c>
      <c r="AB387" s="3226" t="s">
        <v>4587</v>
      </c>
      <c r="AC387" s="3226" t="s">
        <v>4698</v>
      </c>
      <c r="AD387" s="3286" t="s">
        <v>4539</v>
      </c>
      <c r="AE387" s="3286" t="s">
        <v>4427</v>
      </c>
      <c r="AF387" s="3286"/>
      <c r="AG387" s="3323"/>
      <c r="AH387" s="3255">
        <v>44029</v>
      </c>
      <c r="AI387" s="3255">
        <v>44034</v>
      </c>
      <c r="AJ387" s="3255">
        <v>44039</v>
      </c>
      <c r="AK387" s="3287">
        <f t="shared" si="77"/>
        <v>2020</v>
      </c>
      <c r="AL387" s="3288">
        <f t="shared" si="78"/>
        <v>7</v>
      </c>
      <c r="AM387" s="3226" t="s">
        <v>4739</v>
      </c>
      <c r="AN387" s="3289">
        <v>1500000</v>
      </c>
      <c r="AO387" s="3300"/>
      <c r="AP387" s="3300"/>
      <c r="AQ387" s="3300"/>
      <c r="AR387" s="3292"/>
      <c r="AS387" s="3292"/>
      <c r="AT387" s="3292"/>
      <c r="AU387" s="3293"/>
      <c r="AV387" s="3293"/>
      <c r="AW387" s="3294"/>
      <c r="AX387" s="3236"/>
      <c r="AY387" s="3244"/>
      <c r="AZ387" s="3325" t="s">
        <v>4437</v>
      </c>
      <c r="BA387" s="3296" t="str">
        <f t="shared" si="79"/>
        <v>签约</v>
      </c>
      <c r="BB387" s="3226"/>
      <c r="BC387" s="3226"/>
      <c r="BD387" s="3292"/>
      <c r="BE387" s="3297" t="s">
        <v>4367</v>
      </c>
      <c r="BG387" s="3297">
        <f>IFERROR(VLOOKUP(B387,[3]Sheet2!A$1:B$65536,2,FALSE),0)</f>
        <v>0</v>
      </c>
      <c r="BI387" s="3297">
        <f>IFERROR(VLOOKUP(B387,[3]Sheet2!A$1:C$65536,2,FALSE),0)</f>
        <v>0</v>
      </c>
      <c r="BJ387" s="3297">
        <f>IFERROR(VLOOKUP(B387,[3]Sheet2!A$1:C$65536,3,FALSE),0)</f>
        <v>0</v>
      </c>
    </row>
    <row r="388" spans="1:64" s="3261" customFormat="1" ht="20.25" customHeight="1">
      <c r="A388" s="3226">
        <v>386</v>
      </c>
      <c r="B388" s="3250" t="s">
        <v>3916</v>
      </c>
      <c r="C388" s="3227" t="s">
        <v>3333</v>
      </c>
      <c r="D388" s="3251" t="s">
        <v>3917</v>
      </c>
      <c r="E388" s="3229">
        <v>44023</v>
      </c>
      <c r="F388" s="3230">
        <v>50000</v>
      </c>
      <c r="G388" s="3231">
        <v>137.22999999999999</v>
      </c>
      <c r="H388" s="3231" t="str">
        <f t="shared" ref="H388:H451" si="80">IF(G388&lt;144,"普通住宅","非普通住宅")</f>
        <v>普通住宅</v>
      </c>
      <c r="I388" s="3230">
        <v>2218281</v>
      </c>
      <c r="J388" s="3229">
        <v>44026</v>
      </c>
      <c r="K388" s="3284">
        <f t="shared" ref="K388:K451" si="81">IF(ISBLANK(J388),"",MONTH(J388))</f>
        <v>7</v>
      </c>
      <c r="L388" s="3230">
        <v>2198281</v>
      </c>
      <c r="M388" s="3235">
        <f t="shared" ref="M388:M451" si="82">L388/G388</f>
        <v>16018.953581578373</v>
      </c>
      <c r="N388" s="3236">
        <f>1255000+293281</f>
        <v>1548281</v>
      </c>
      <c r="O388" s="3244"/>
      <c r="P388" s="3244"/>
      <c r="Q388" s="3244"/>
      <c r="R388" s="3244">
        <f t="shared" ref="R388:R451" si="83">F388+N388</f>
        <v>1598281</v>
      </c>
      <c r="S388" s="3244"/>
      <c r="T388" s="3236"/>
      <c r="U388" s="3236"/>
      <c r="V388" s="3236"/>
      <c r="W388" s="3236"/>
      <c r="X388" s="3244">
        <f t="shared" ref="X388:X451" si="84">R388+V388+W388</f>
        <v>1598281</v>
      </c>
      <c r="Y388" s="3244">
        <f t="shared" ref="Y388:Y451" si="85">L388-X388</f>
        <v>600000</v>
      </c>
      <c r="Z388" s="3285">
        <f t="shared" ref="Z388:Z451" si="86">X388/L388</f>
        <v>0.7270594614610234</v>
      </c>
      <c r="AA388" s="3226" t="s">
        <v>3319</v>
      </c>
      <c r="AB388" s="3226" t="s">
        <v>4587</v>
      </c>
      <c r="AC388" s="3226" t="s">
        <v>4698</v>
      </c>
      <c r="AD388" s="3286" t="s">
        <v>4773</v>
      </c>
      <c r="AE388" s="3286" t="s">
        <v>4774</v>
      </c>
      <c r="AF388" s="3286"/>
      <c r="AG388" s="3323"/>
      <c r="AH388" s="3255"/>
      <c r="AI388" s="3255"/>
      <c r="AJ388" s="3255"/>
      <c r="AK388" s="3287" t="str">
        <f t="shared" ref="AK388:AK451" si="87">IF(ISBLANK(AJ388),"",YEAR(AJ388))</f>
        <v/>
      </c>
      <c r="AL388" s="3288" t="str">
        <f t="shared" ref="AL388:AL451" si="88">IF(ISBLANK(AJ388),"",MONTH(AJ388))</f>
        <v/>
      </c>
      <c r="AM388" s="3226"/>
      <c r="AN388" s="3289"/>
      <c r="AO388" s="3300"/>
      <c r="AP388" s="3300"/>
      <c r="AQ388" s="3300"/>
      <c r="AR388" s="3292"/>
      <c r="AS388" s="3292"/>
      <c r="AT388" s="3292"/>
      <c r="AU388" s="3293"/>
      <c r="AV388" s="3293"/>
      <c r="AW388" s="3294"/>
      <c r="AX388" s="3236"/>
      <c r="AY388" s="3244"/>
      <c r="AZ388" s="3325" t="s">
        <v>4507</v>
      </c>
      <c r="BA388" s="3296" t="str">
        <f t="shared" ref="BA388:BA451" si="89">IF(E388=0,"未售",IF(J388&gt;0,"签约","认购"))</f>
        <v>签约</v>
      </c>
      <c r="BB388" s="3226"/>
      <c r="BC388" s="3226"/>
      <c r="BD388" s="3292"/>
      <c r="BE388" s="3297" t="s">
        <v>4465</v>
      </c>
      <c r="BG388" s="3297">
        <f>IFERROR(VLOOKUP(B388,[3]Sheet2!A$1:B$65536,2,FALSE),0)</f>
        <v>0</v>
      </c>
      <c r="BI388" s="3297">
        <f>IFERROR(VLOOKUP(B388,[3]Sheet2!A$1:C$65536,2,FALSE),0)</f>
        <v>0</v>
      </c>
      <c r="BJ388" s="3297">
        <f>IFERROR(VLOOKUP(B388,[3]Sheet2!A$1:C$65536,3,FALSE),0)</f>
        <v>0</v>
      </c>
    </row>
    <row r="389" spans="1:64" s="3261" customFormat="1" ht="20.25" customHeight="1">
      <c r="A389" s="3226">
        <v>387</v>
      </c>
      <c r="B389" s="3250" t="s">
        <v>3918</v>
      </c>
      <c r="C389" s="3227" t="s">
        <v>3333</v>
      </c>
      <c r="D389" s="3251" t="s">
        <v>3919</v>
      </c>
      <c r="E389" s="3229">
        <v>44023</v>
      </c>
      <c r="F389" s="3230">
        <v>50000</v>
      </c>
      <c r="G389" s="3231">
        <v>137.22999999999999</v>
      </c>
      <c r="H389" s="3231" t="str">
        <f t="shared" si="80"/>
        <v>普通住宅</v>
      </c>
      <c r="I389" s="3230">
        <v>2246576</v>
      </c>
      <c r="J389" s="3229">
        <v>44027</v>
      </c>
      <c r="K389" s="3284">
        <f t="shared" si="81"/>
        <v>7</v>
      </c>
      <c r="L389" s="3230">
        <v>2226576</v>
      </c>
      <c r="M389" s="3235">
        <f t="shared" si="82"/>
        <v>16225.140275449976</v>
      </c>
      <c r="N389" s="3236">
        <v>676576</v>
      </c>
      <c r="O389" s="3244"/>
      <c r="P389" s="3244"/>
      <c r="Q389" s="3244"/>
      <c r="R389" s="3244">
        <f t="shared" si="83"/>
        <v>726576</v>
      </c>
      <c r="S389" s="3244"/>
      <c r="T389" s="3236"/>
      <c r="U389" s="3236"/>
      <c r="V389" s="3236"/>
      <c r="W389" s="3236"/>
      <c r="X389" s="3244">
        <f t="shared" si="84"/>
        <v>726576</v>
      </c>
      <c r="Y389" s="3244">
        <f t="shared" si="85"/>
        <v>1500000</v>
      </c>
      <c r="Z389" s="3285">
        <f t="shared" si="86"/>
        <v>0.32631987410265806</v>
      </c>
      <c r="AA389" s="3226" t="s">
        <v>3319</v>
      </c>
      <c r="AB389" s="3226" t="s">
        <v>4587</v>
      </c>
      <c r="AC389" s="3226" t="s">
        <v>4698</v>
      </c>
      <c r="AD389" s="3286" t="s">
        <v>4773</v>
      </c>
      <c r="AE389" s="3286" t="s">
        <v>4877</v>
      </c>
      <c r="AF389" s="3286"/>
      <c r="AG389" s="3323"/>
      <c r="AH389" s="3255">
        <v>44028</v>
      </c>
      <c r="AI389" s="3255"/>
      <c r="AJ389" s="3255"/>
      <c r="AK389" s="3287" t="str">
        <f t="shared" si="87"/>
        <v/>
      </c>
      <c r="AL389" s="3288" t="str">
        <f t="shared" si="88"/>
        <v/>
      </c>
      <c r="AM389" s="3226" t="s">
        <v>4634</v>
      </c>
      <c r="AN389" s="3289">
        <v>1500000</v>
      </c>
      <c r="AO389" s="3300"/>
      <c r="AP389" s="3300"/>
      <c r="AQ389" s="3300"/>
      <c r="AR389" s="3292"/>
      <c r="AS389" s="3292"/>
      <c r="AT389" s="3292"/>
      <c r="AU389" s="3293"/>
      <c r="AV389" s="3293"/>
      <c r="AW389" s="3294"/>
      <c r="AX389" s="3236"/>
      <c r="AY389" s="3244"/>
      <c r="AZ389" s="3325" t="s">
        <v>4886</v>
      </c>
      <c r="BA389" s="3296" t="str">
        <f t="shared" si="89"/>
        <v>签约</v>
      </c>
      <c r="BB389" s="3226"/>
      <c r="BC389" s="3226"/>
      <c r="BD389" s="3292"/>
      <c r="BE389" s="3297" t="s">
        <v>4367</v>
      </c>
      <c r="BG389" s="3297">
        <f>IFERROR(VLOOKUP(B389,[3]Sheet2!A$1:B$65536,2,FALSE),0)</f>
        <v>0</v>
      </c>
      <c r="BI389" s="3297">
        <f>IFERROR(VLOOKUP(B389,[3]Sheet2!A$1:C$65536,2,FALSE),0)</f>
        <v>0</v>
      </c>
      <c r="BJ389" s="3297">
        <f>IFERROR(VLOOKUP(B389,[3]Sheet2!A$1:C$65536,3,FALSE),0)</f>
        <v>0</v>
      </c>
    </row>
    <row r="390" spans="1:64" s="3261" customFormat="1" ht="20.25" customHeight="1">
      <c r="A390" s="3226">
        <v>388</v>
      </c>
      <c r="B390" s="3250" t="s">
        <v>3920</v>
      </c>
      <c r="C390" s="3227" t="s">
        <v>3333</v>
      </c>
      <c r="D390" s="3251" t="s">
        <v>3921</v>
      </c>
      <c r="E390" s="3229">
        <v>44023</v>
      </c>
      <c r="F390" s="3230">
        <v>50000</v>
      </c>
      <c r="G390" s="3231">
        <v>137.22999999999999</v>
      </c>
      <c r="H390" s="3231" t="str">
        <f t="shared" si="80"/>
        <v>普通住宅</v>
      </c>
      <c r="I390" s="3230">
        <v>2274871</v>
      </c>
      <c r="J390" s="3229">
        <v>44028</v>
      </c>
      <c r="K390" s="3284">
        <f t="shared" si="81"/>
        <v>7</v>
      </c>
      <c r="L390" s="3230">
        <v>2254871</v>
      </c>
      <c r="M390" s="3235">
        <f t="shared" si="82"/>
        <v>16431.326969321577</v>
      </c>
      <c r="N390" s="3236">
        <v>1504871</v>
      </c>
      <c r="O390" s="3244"/>
      <c r="P390" s="3244"/>
      <c r="Q390" s="3244"/>
      <c r="R390" s="3244">
        <f t="shared" si="83"/>
        <v>1554871</v>
      </c>
      <c r="S390" s="3244"/>
      <c r="T390" s="3236"/>
      <c r="U390" s="3236"/>
      <c r="V390" s="3236">
        <v>700000</v>
      </c>
      <c r="W390" s="3236"/>
      <c r="X390" s="3244">
        <f t="shared" si="84"/>
        <v>2254871</v>
      </c>
      <c r="Y390" s="3244">
        <f t="shared" si="85"/>
        <v>0</v>
      </c>
      <c r="Z390" s="3285">
        <f t="shared" si="86"/>
        <v>1</v>
      </c>
      <c r="AA390" s="3226" t="s">
        <v>3319</v>
      </c>
      <c r="AB390" s="3226" t="s">
        <v>4587</v>
      </c>
      <c r="AC390" s="3226" t="s">
        <v>4698</v>
      </c>
      <c r="AD390" s="3286" t="s">
        <v>4539</v>
      </c>
      <c r="AE390" s="3286" t="s">
        <v>4427</v>
      </c>
      <c r="AF390" s="3286"/>
      <c r="AG390" s="3323"/>
      <c r="AH390" s="3255">
        <v>44028</v>
      </c>
      <c r="AI390" s="3255">
        <v>44032</v>
      </c>
      <c r="AJ390" s="3255">
        <v>44041</v>
      </c>
      <c r="AK390" s="3287">
        <f t="shared" si="87"/>
        <v>2020</v>
      </c>
      <c r="AL390" s="3288">
        <f t="shared" si="88"/>
        <v>7</v>
      </c>
      <c r="AM390" s="3226" t="s">
        <v>4433</v>
      </c>
      <c r="AN390" s="3289">
        <v>700000</v>
      </c>
      <c r="AO390" s="3300"/>
      <c r="AP390" s="3300"/>
      <c r="AQ390" s="3300"/>
      <c r="AR390" s="3292"/>
      <c r="AS390" s="3292"/>
      <c r="AT390" s="3292"/>
      <c r="AU390" s="3293"/>
      <c r="AV390" s="3293"/>
      <c r="AW390" s="3294"/>
      <c r="AX390" s="3236"/>
      <c r="AY390" s="3244"/>
      <c r="AZ390" s="3325" t="s">
        <v>4735</v>
      </c>
      <c r="BA390" s="3296" t="str">
        <f t="shared" si="89"/>
        <v>签约</v>
      </c>
      <c r="BB390" s="3226"/>
      <c r="BC390" s="3226"/>
      <c r="BD390" s="3292"/>
      <c r="BE390" s="3297" t="s">
        <v>4449</v>
      </c>
      <c r="BG390" s="3297"/>
      <c r="BI390" s="3297">
        <f>IFERROR(VLOOKUP(B390,[3]Sheet2!A$1:C$65536,2,FALSE),0)</f>
        <v>700000</v>
      </c>
      <c r="BJ390" s="3297" t="str">
        <f>IFERROR(VLOOKUP(B390,[3]Sheet2!A$1:C$65536,3,FALSE),0)</f>
        <v>中国银行湾里支行</v>
      </c>
      <c r="BL390" s="3261">
        <f>BI390-AN390</f>
        <v>0</v>
      </c>
    </row>
    <row r="391" spans="1:64" s="3261" customFormat="1" ht="20.25" customHeight="1">
      <c r="A391" s="3226">
        <v>389</v>
      </c>
      <c r="B391" s="3250" t="s">
        <v>3922</v>
      </c>
      <c r="C391" s="3227" t="s">
        <v>3333</v>
      </c>
      <c r="D391" s="3251" t="s">
        <v>3923</v>
      </c>
      <c r="E391" s="3229">
        <v>44023</v>
      </c>
      <c r="F391" s="3230">
        <v>50000</v>
      </c>
      <c r="G391" s="3231">
        <v>137.22999999999999</v>
      </c>
      <c r="H391" s="3231" t="str">
        <f t="shared" si="80"/>
        <v>普通住宅</v>
      </c>
      <c r="I391" s="3230">
        <v>2303166</v>
      </c>
      <c r="J391" s="3229">
        <v>44028</v>
      </c>
      <c r="K391" s="3284">
        <f t="shared" si="81"/>
        <v>7</v>
      </c>
      <c r="L391" s="3230">
        <v>2283166</v>
      </c>
      <c r="M391" s="3235">
        <f t="shared" si="82"/>
        <v>16637.513663193182</v>
      </c>
      <c r="N391" s="3236">
        <v>643166</v>
      </c>
      <c r="O391" s="3244"/>
      <c r="P391" s="3244"/>
      <c r="Q391" s="3244"/>
      <c r="R391" s="3244">
        <f t="shared" si="83"/>
        <v>693166</v>
      </c>
      <c r="S391" s="3244"/>
      <c r="T391" s="3236"/>
      <c r="U391" s="3236"/>
      <c r="V391" s="3236">
        <v>1590000</v>
      </c>
      <c r="W391" s="3236"/>
      <c r="X391" s="3244">
        <f t="shared" si="84"/>
        <v>2283166</v>
      </c>
      <c r="Y391" s="3244">
        <f t="shared" si="85"/>
        <v>0</v>
      </c>
      <c r="Z391" s="3285">
        <f t="shared" si="86"/>
        <v>1</v>
      </c>
      <c r="AA391" s="3226" t="s">
        <v>3319</v>
      </c>
      <c r="AB391" s="3226" t="s">
        <v>4587</v>
      </c>
      <c r="AC391" s="3226" t="s">
        <v>4698</v>
      </c>
      <c r="AD391" s="3286" t="s">
        <v>4539</v>
      </c>
      <c r="AE391" s="3286" t="s">
        <v>4427</v>
      </c>
      <c r="AF391" s="3286"/>
      <c r="AG391" s="3323"/>
      <c r="AH391" s="3255">
        <v>44027</v>
      </c>
      <c r="AI391" s="3255">
        <v>44032</v>
      </c>
      <c r="AJ391" s="3255">
        <v>44036</v>
      </c>
      <c r="AK391" s="3287">
        <f t="shared" si="87"/>
        <v>2020</v>
      </c>
      <c r="AL391" s="3288">
        <f t="shared" si="88"/>
        <v>7</v>
      </c>
      <c r="AM391" s="3226" t="s">
        <v>4881</v>
      </c>
      <c r="AN391" s="3289">
        <v>1590000</v>
      </c>
      <c r="AO391" s="3300"/>
      <c r="AP391" s="3300"/>
      <c r="AQ391" s="3300"/>
      <c r="AR391" s="3292"/>
      <c r="AS391" s="3292"/>
      <c r="AT391" s="3292"/>
      <c r="AU391" s="3293"/>
      <c r="AV391" s="3293"/>
      <c r="AW391" s="3294"/>
      <c r="AX391" s="3236"/>
      <c r="AY391" s="3244"/>
      <c r="AZ391" s="3325" t="s">
        <v>4735</v>
      </c>
      <c r="BA391" s="3296" t="str">
        <f t="shared" si="89"/>
        <v>签约</v>
      </c>
      <c r="BB391" s="3226"/>
      <c r="BC391" s="3226"/>
      <c r="BD391" s="3292"/>
      <c r="BE391" s="3297" t="s">
        <v>4696</v>
      </c>
      <c r="BG391" s="3297">
        <f>IFERROR(VLOOKUP(B391,[3]Sheet2!A$1:B$65536,2,FALSE),0)</f>
        <v>0</v>
      </c>
      <c r="BI391" s="3297">
        <f>IFERROR(VLOOKUP(B391,[3]Sheet2!A$1:C$65536,2,FALSE),0)</f>
        <v>0</v>
      </c>
      <c r="BJ391" s="3297">
        <f>IFERROR(VLOOKUP(B391,[3]Sheet2!A$1:C$65536,3,FALSE),0)</f>
        <v>0</v>
      </c>
    </row>
    <row r="392" spans="1:64" s="3261" customFormat="1" ht="20.25" customHeight="1">
      <c r="A392" s="3226">
        <v>390</v>
      </c>
      <c r="B392" s="3250" t="s">
        <v>3924</v>
      </c>
      <c r="C392" s="3227" t="s">
        <v>3333</v>
      </c>
      <c r="D392" s="3251" t="s">
        <v>3925</v>
      </c>
      <c r="E392" s="3229">
        <v>44023</v>
      </c>
      <c r="F392" s="3230">
        <v>50000</v>
      </c>
      <c r="G392" s="3231">
        <v>137.22999999999999</v>
      </c>
      <c r="H392" s="3231" t="str">
        <f t="shared" si="80"/>
        <v>普通住宅</v>
      </c>
      <c r="I392" s="3230">
        <v>2331461</v>
      </c>
      <c r="J392" s="3229">
        <v>44028</v>
      </c>
      <c r="K392" s="3284">
        <f t="shared" si="81"/>
        <v>7</v>
      </c>
      <c r="L392" s="3230">
        <v>2311461</v>
      </c>
      <c r="M392" s="3235">
        <f t="shared" si="82"/>
        <v>16843.700357064783</v>
      </c>
      <c r="N392" s="3236">
        <v>711461</v>
      </c>
      <c r="O392" s="3244"/>
      <c r="P392" s="3244"/>
      <c r="Q392" s="3244"/>
      <c r="R392" s="3244">
        <f t="shared" si="83"/>
        <v>761461</v>
      </c>
      <c r="S392" s="3244"/>
      <c r="T392" s="3236"/>
      <c r="U392" s="3236"/>
      <c r="V392" s="3236">
        <v>1550000</v>
      </c>
      <c r="W392" s="3236"/>
      <c r="X392" s="3244">
        <f t="shared" si="84"/>
        <v>2311461</v>
      </c>
      <c r="Y392" s="3244">
        <f t="shared" si="85"/>
        <v>0</v>
      </c>
      <c r="Z392" s="3285">
        <f t="shared" si="86"/>
        <v>1</v>
      </c>
      <c r="AA392" s="3226" t="s">
        <v>3319</v>
      </c>
      <c r="AB392" s="3226" t="s">
        <v>4587</v>
      </c>
      <c r="AC392" s="3226" t="s">
        <v>4698</v>
      </c>
      <c r="AD392" s="3286" t="s">
        <v>4539</v>
      </c>
      <c r="AE392" s="3286" t="s">
        <v>4427</v>
      </c>
      <c r="AF392" s="3286"/>
      <c r="AG392" s="3323"/>
      <c r="AH392" s="3255">
        <v>44028</v>
      </c>
      <c r="AI392" s="3255">
        <v>44037</v>
      </c>
      <c r="AJ392" s="3255">
        <v>44042</v>
      </c>
      <c r="AK392" s="3287">
        <f t="shared" si="87"/>
        <v>2020</v>
      </c>
      <c r="AL392" s="3288">
        <f t="shared" si="88"/>
        <v>7</v>
      </c>
      <c r="AM392" s="3226" t="s">
        <v>4890</v>
      </c>
      <c r="AN392" s="3289">
        <v>1550000</v>
      </c>
      <c r="AO392" s="3300"/>
      <c r="AP392" s="3300"/>
      <c r="AQ392" s="3300"/>
      <c r="AR392" s="3292"/>
      <c r="AS392" s="3292"/>
      <c r="AT392" s="3292"/>
      <c r="AU392" s="3293"/>
      <c r="AV392" s="3293"/>
      <c r="AW392" s="3294"/>
      <c r="AX392" s="3236"/>
      <c r="AY392" s="3244"/>
      <c r="AZ392" s="3325" t="s">
        <v>4448</v>
      </c>
      <c r="BA392" s="3296" t="str">
        <f t="shared" si="89"/>
        <v>签约</v>
      </c>
      <c r="BB392" s="3226"/>
      <c r="BC392" s="3226"/>
      <c r="BD392" s="3292"/>
      <c r="BE392" s="3297" t="s">
        <v>4449</v>
      </c>
      <c r="BG392" s="3297">
        <f>IFERROR(VLOOKUP(B392,[3]Sheet2!A$1:B$65536,2,FALSE),0)</f>
        <v>0</v>
      </c>
      <c r="BI392" s="3297">
        <f>IFERROR(VLOOKUP(B392,[3]Sheet2!A$1:C$65536,2,FALSE),0)</f>
        <v>0</v>
      </c>
      <c r="BJ392" s="3297">
        <f>IFERROR(VLOOKUP(B392,[3]Sheet2!A$1:C$65536,3,FALSE),0)</f>
        <v>0</v>
      </c>
    </row>
    <row r="393" spans="1:64" s="3261" customFormat="1" ht="20.25" customHeight="1">
      <c r="A393" s="3226">
        <v>391</v>
      </c>
      <c r="B393" s="3250" t="s">
        <v>3926</v>
      </c>
      <c r="C393" s="3227" t="s">
        <v>3333</v>
      </c>
      <c r="D393" s="3251" t="s">
        <v>3927</v>
      </c>
      <c r="E393" s="3229">
        <v>44023</v>
      </c>
      <c r="F393" s="3230">
        <v>50000</v>
      </c>
      <c r="G393" s="3231">
        <v>137.22999999999999</v>
      </c>
      <c r="H393" s="3231" t="str">
        <f t="shared" si="80"/>
        <v>普通住宅</v>
      </c>
      <c r="I393" s="3230">
        <v>2359756</v>
      </c>
      <c r="J393" s="3229">
        <v>44036</v>
      </c>
      <c r="K393" s="3284">
        <f t="shared" si="81"/>
        <v>7</v>
      </c>
      <c r="L393" s="3230">
        <v>2339756</v>
      </c>
      <c r="M393" s="3235">
        <f t="shared" si="82"/>
        <v>17049.887050936384</v>
      </c>
      <c r="N393" s="3236">
        <f>300000+1000000+989756</f>
        <v>2289756</v>
      </c>
      <c r="O393" s="3244"/>
      <c r="P393" s="3244"/>
      <c r="Q393" s="3244"/>
      <c r="R393" s="3244">
        <f t="shared" si="83"/>
        <v>2339756</v>
      </c>
      <c r="S393" s="3244"/>
      <c r="T393" s="3236"/>
      <c r="U393" s="3236"/>
      <c r="V393" s="3236"/>
      <c r="W393" s="3236"/>
      <c r="X393" s="3244">
        <f t="shared" si="84"/>
        <v>2339756</v>
      </c>
      <c r="Y393" s="3244">
        <f t="shared" si="85"/>
        <v>0</v>
      </c>
      <c r="Z393" s="3285">
        <f t="shared" si="86"/>
        <v>1</v>
      </c>
      <c r="AA393" s="3226" t="s">
        <v>3319</v>
      </c>
      <c r="AB393" s="3226" t="s">
        <v>4676</v>
      </c>
      <c r="AC393" s="3226"/>
      <c r="AD393" s="3286"/>
      <c r="AE393" s="3286"/>
      <c r="AF393" s="3286"/>
      <c r="AG393" s="3323"/>
      <c r="AH393" s="3255"/>
      <c r="AI393" s="3255"/>
      <c r="AJ393" s="3255"/>
      <c r="AK393" s="3287" t="str">
        <f t="shared" si="87"/>
        <v/>
      </c>
      <c r="AL393" s="3288" t="str">
        <f t="shared" si="88"/>
        <v/>
      </c>
      <c r="AM393" s="3226"/>
      <c r="AN393" s="3289"/>
      <c r="AO393" s="3300"/>
      <c r="AP393" s="3300"/>
      <c r="AQ393" s="3300"/>
      <c r="AR393" s="3292"/>
      <c r="AS393" s="3292"/>
      <c r="AT393" s="3292"/>
      <c r="AU393" s="3293"/>
      <c r="AV393" s="3293"/>
      <c r="AW393" s="3294"/>
      <c r="AX393" s="3236"/>
      <c r="AY393" s="3244"/>
      <c r="AZ393" s="3325" t="s">
        <v>4900</v>
      </c>
      <c r="BA393" s="3296" t="str">
        <f t="shared" si="89"/>
        <v>签约</v>
      </c>
      <c r="BB393" s="3226"/>
      <c r="BC393" s="3226"/>
      <c r="BD393" s="3292"/>
      <c r="BE393" s="3297" t="s">
        <v>4367</v>
      </c>
      <c r="BG393" s="3297">
        <f>IFERROR(VLOOKUP(B393,[3]Sheet2!A$1:B$65536,2,FALSE),0)</f>
        <v>0</v>
      </c>
      <c r="BI393" s="3297">
        <f>IFERROR(VLOOKUP(B393,[3]Sheet2!A$1:C$65536,2,FALSE),0)</f>
        <v>0</v>
      </c>
      <c r="BJ393" s="3297">
        <f>IFERROR(VLOOKUP(B393,[3]Sheet2!A$1:C$65536,3,FALSE),0)</f>
        <v>0</v>
      </c>
    </row>
    <row r="394" spans="1:64" s="3261" customFormat="1" ht="20.25" customHeight="1">
      <c r="A394" s="3226">
        <v>392</v>
      </c>
      <c r="B394" s="3250" t="s">
        <v>3928</v>
      </c>
      <c r="C394" s="3227" t="s">
        <v>3333</v>
      </c>
      <c r="D394" s="3251" t="s">
        <v>3929</v>
      </c>
      <c r="E394" s="3229">
        <v>44023</v>
      </c>
      <c r="F394" s="3230">
        <v>50000</v>
      </c>
      <c r="G394" s="3231">
        <v>137.22999999999999</v>
      </c>
      <c r="H394" s="3231" t="str">
        <f t="shared" si="80"/>
        <v>普通住宅</v>
      </c>
      <c r="I394" s="3230">
        <v>2260724</v>
      </c>
      <c r="J394" s="3229">
        <v>44029</v>
      </c>
      <c r="K394" s="3284">
        <f t="shared" si="81"/>
        <v>7</v>
      </c>
      <c r="L394" s="3230">
        <v>2240724</v>
      </c>
      <c r="M394" s="3235">
        <f t="shared" si="82"/>
        <v>16328.237265903957</v>
      </c>
      <c r="N394" s="3236">
        <f>1340724+50000</f>
        <v>1390724</v>
      </c>
      <c r="O394" s="3244"/>
      <c r="P394" s="3244"/>
      <c r="Q394" s="3244"/>
      <c r="R394" s="3244">
        <f t="shared" si="83"/>
        <v>1440724</v>
      </c>
      <c r="S394" s="3244"/>
      <c r="T394" s="3236"/>
      <c r="U394" s="3236"/>
      <c r="V394" s="3236">
        <v>800000</v>
      </c>
      <c r="W394" s="3236"/>
      <c r="X394" s="3244">
        <f t="shared" si="84"/>
        <v>2240724</v>
      </c>
      <c r="Y394" s="3244">
        <f t="shared" si="85"/>
        <v>0</v>
      </c>
      <c r="Z394" s="3285">
        <f t="shared" si="86"/>
        <v>1</v>
      </c>
      <c r="AA394" s="3226" t="s">
        <v>3319</v>
      </c>
      <c r="AB394" s="3226" t="s">
        <v>4587</v>
      </c>
      <c r="AC394" s="3226" t="s">
        <v>4698</v>
      </c>
      <c r="AD394" s="3286" t="s">
        <v>4539</v>
      </c>
      <c r="AE394" s="3286" t="s">
        <v>4427</v>
      </c>
      <c r="AF394" s="3286"/>
      <c r="AG394" s="3323"/>
      <c r="AH394" s="3255">
        <v>44029</v>
      </c>
      <c r="AI394" s="3255">
        <v>44032</v>
      </c>
      <c r="AJ394" s="3255">
        <v>44041</v>
      </c>
      <c r="AK394" s="3287">
        <f t="shared" si="87"/>
        <v>2020</v>
      </c>
      <c r="AL394" s="3288">
        <f t="shared" si="88"/>
        <v>7</v>
      </c>
      <c r="AM394" s="3226" t="s">
        <v>4433</v>
      </c>
      <c r="AN394" s="3289">
        <v>800000</v>
      </c>
      <c r="AO394" s="3300"/>
      <c r="AP394" s="3300"/>
      <c r="AQ394" s="3300"/>
      <c r="AR394" s="3292"/>
      <c r="AS394" s="3292"/>
      <c r="AT394" s="3292"/>
      <c r="AU394" s="3293"/>
      <c r="AV394" s="3293"/>
      <c r="AW394" s="3294"/>
      <c r="AX394" s="3236"/>
      <c r="AY394" s="3244"/>
      <c r="AZ394" s="3325" t="s">
        <v>4883</v>
      </c>
      <c r="BA394" s="3296" t="str">
        <f t="shared" si="89"/>
        <v>签约</v>
      </c>
      <c r="BB394" s="3226"/>
      <c r="BC394" s="3226"/>
      <c r="BD394" s="3292"/>
      <c r="BE394" s="3297" t="s">
        <v>4449</v>
      </c>
      <c r="BG394" s="3297"/>
      <c r="BI394" s="3297">
        <f>IFERROR(VLOOKUP(B394,[3]Sheet2!A$1:C$65536,2,FALSE),0)</f>
        <v>800000</v>
      </c>
      <c r="BJ394" s="3297" t="str">
        <f>IFERROR(VLOOKUP(B394,[3]Sheet2!A$1:C$65536,3,FALSE),0)</f>
        <v>中国银行湾里支行</v>
      </c>
      <c r="BL394" s="3261">
        <f>BI394-AN394</f>
        <v>0</v>
      </c>
    </row>
    <row r="395" spans="1:64" s="3261" customFormat="1" ht="20.25" customHeight="1">
      <c r="A395" s="3226">
        <v>393</v>
      </c>
      <c r="B395" s="3250" t="s">
        <v>3930</v>
      </c>
      <c r="C395" s="3227" t="s">
        <v>3333</v>
      </c>
      <c r="D395" s="3251" t="s">
        <v>3931</v>
      </c>
      <c r="E395" s="3229">
        <v>44026</v>
      </c>
      <c r="F395" s="3230">
        <v>50000</v>
      </c>
      <c r="G395" s="3231">
        <v>151.44</v>
      </c>
      <c r="H395" s="3231" t="str">
        <f t="shared" si="80"/>
        <v>非普通住宅</v>
      </c>
      <c r="I395" s="3230">
        <v>2177999</v>
      </c>
      <c r="J395" s="3229">
        <v>44026</v>
      </c>
      <c r="K395" s="3284">
        <f t="shared" si="81"/>
        <v>7</v>
      </c>
      <c r="L395" s="3230">
        <v>2157999</v>
      </c>
      <c r="M395" s="3235">
        <f t="shared" si="82"/>
        <v>14249.861331220285</v>
      </c>
      <c r="N395" s="3236">
        <v>597999</v>
      </c>
      <c r="O395" s="3244"/>
      <c r="P395" s="3244"/>
      <c r="Q395" s="3244"/>
      <c r="R395" s="3244">
        <f t="shared" si="83"/>
        <v>647999</v>
      </c>
      <c r="S395" s="3244"/>
      <c r="T395" s="3236"/>
      <c r="U395" s="3236"/>
      <c r="V395" s="3236">
        <v>1510000</v>
      </c>
      <c r="W395" s="3236"/>
      <c r="X395" s="3244">
        <f t="shared" si="84"/>
        <v>2157999</v>
      </c>
      <c r="Y395" s="3244">
        <f t="shared" si="85"/>
        <v>0</v>
      </c>
      <c r="Z395" s="3285">
        <f t="shared" si="86"/>
        <v>1</v>
      </c>
      <c r="AA395" s="3226" t="s">
        <v>3319</v>
      </c>
      <c r="AB395" s="3226" t="s">
        <v>4587</v>
      </c>
      <c r="AC395" s="3226" t="s">
        <v>4698</v>
      </c>
      <c r="AD395" s="3286" t="s">
        <v>4539</v>
      </c>
      <c r="AE395" s="3286" t="s">
        <v>4427</v>
      </c>
      <c r="AF395" s="3286"/>
      <c r="AG395" s="3323"/>
      <c r="AH395" s="3255">
        <v>44026</v>
      </c>
      <c r="AI395" s="3255">
        <v>44034</v>
      </c>
      <c r="AJ395" s="3255">
        <v>44042</v>
      </c>
      <c r="AK395" s="3287">
        <f t="shared" si="87"/>
        <v>2020</v>
      </c>
      <c r="AL395" s="3288">
        <f t="shared" si="88"/>
        <v>7</v>
      </c>
      <c r="AM395" s="3226" t="s">
        <v>4890</v>
      </c>
      <c r="AN395" s="3289">
        <v>1510000</v>
      </c>
      <c r="AO395" s="3300"/>
      <c r="AP395" s="3300"/>
      <c r="AQ395" s="3300"/>
      <c r="AR395" s="3292"/>
      <c r="AS395" s="3292"/>
      <c r="AT395" s="3292"/>
      <c r="AU395" s="3293"/>
      <c r="AV395" s="3293"/>
      <c r="AW395" s="3294"/>
      <c r="AX395" s="3236"/>
      <c r="AY395" s="3244"/>
      <c r="AZ395" s="3325" t="s">
        <v>4445</v>
      </c>
      <c r="BA395" s="3296" t="str">
        <f t="shared" si="89"/>
        <v>签约</v>
      </c>
      <c r="BB395" s="3226"/>
      <c r="BC395" s="3226"/>
      <c r="BD395" s="3292"/>
      <c r="BE395" s="3297" t="s">
        <v>4696</v>
      </c>
      <c r="BG395" s="3297">
        <f>IFERROR(VLOOKUP(B395,[3]Sheet2!A$1:B$65536,2,FALSE),0)</f>
        <v>0</v>
      </c>
      <c r="BI395" s="3297">
        <f>IFERROR(VLOOKUP(B395,[3]Sheet2!A$1:C$65536,2,FALSE),0)</f>
        <v>0</v>
      </c>
      <c r="BJ395" s="3297">
        <f>IFERROR(VLOOKUP(B395,[3]Sheet2!A$1:C$65536,3,FALSE),0)</f>
        <v>0</v>
      </c>
    </row>
    <row r="396" spans="1:64" s="3261" customFormat="1" ht="20.25" customHeight="1">
      <c r="A396" s="3226">
        <v>394</v>
      </c>
      <c r="B396" s="3250" t="s">
        <v>3932</v>
      </c>
      <c r="C396" s="3227" t="s">
        <v>3333</v>
      </c>
      <c r="D396" s="3251" t="s">
        <v>3933</v>
      </c>
      <c r="E396" s="3229">
        <v>44023</v>
      </c>
      <c r="F396" s="3230">
        <v>50000</v>
      </c>
      <c r="G396" s="3231">
        <v>151.44</v>
      </c>
      <c r="H396" s="3231" t="str">
        <f t="shared" si="80"/>
        <v>非普通住宅</v>
      </c>
      <c r="I396" s="3230">
        <v>2209224</v>
      </c>
      <c r="J396" s="3229">
        <v>44028</v>
      </c>
      <c r="K396" s="3284">
        <f t="shared" si="81"/>
        <v>7</v>
      </c>
      <c r="L396" s="3230">
        <v>2189224</v>
      </c>
      <c r="M396" s="3235">
        <f t="shared" si="82"/>
        <v>14456.048600105652</v>
      </c>
      <c r="N396" s="3236">
        <v>609224</v>
      </c>
      <c r="O396" s="3244"/>
      <c r="P396" s="3244"/>
      <c r="Q396" s="3244"/>
      <c r="R396" s="3244">
        <f t="shared" si="83"/>
        <v>659224</v>
      </c>
      <c r="S396" s="3244"/>
      <c r="T396" s="3236"/>
      <c r="U396" s="3236"/>
      <c r="V396" s="3236">
        <v>1530000</v>
      </c>
      <c r="W396" s="3236"/>
      <c r="X396" s="3244">
        <f t="shared" si="84"/>
        <v>2189224</v>
      </c>
      <c r="Y396" s="3244">
        <f t="shared" si="85"/>
        <v>0</v>
      </c>
      <c r="Z396" s="3285">
        <f t="shared" si="86"/>
        <v>1</v>
      </c>
      <c r="AA396" s="3226" t="s">
        <v>3319</v>
      </c>
      <c r="AB396" s="3226" t="s">
        <v>4587</v>
      </c>
      <c r="AC396" s="3226" t="s">
        <v>4698</v>
      </c>
      <c r="AD396" s="3286" t="s">
        <v>4539</v>
      </c>
      <c r="AE396" s="3286" t="s">
        <v>4427</v>
      </c>
      <c r="AF396" s="3286"/>
      <c r="AG396" s="3323"/>
      <c r="AH396" s="3255">
        <v>44028</v>
      </c>
      <c r="AI396" s="3255">
        <v>44037</v>
      </c>
      <c r="AJ396" s="3255">
        <v>44042</v>
      </c>
      <c r="AK396" s="3287">
        <f t="shared" si="87"/>
        <v>2020</v>
      </c>
      <c r="AL396" s="3288">
        <f t="shared" si="88"/>
        <v>7</v>
      </c>
      <c r="AM396" s="3226" t="s">
        <v>4792</v>
      </c>
      <c r="AN396" s="3289">
        <v>1530000</v>
      </c>
      <c r="AO396" s="3300"/>
      <c r="AP396" s="3300"/>
      <c r="AQ396" s="3300"/>
      <c r="AR396" s="3292"/>
      <c r="AS396" s="3292"/>
      <c r="AT396" s="3292"/>
      <c r="AU396" s="3293"/>
      <c r="AV396" s="3293"/>
      <c r="AW396" s="3294"/>
      <c r="AX396" s="3236"/>
      <c r="AY396" s="3244"/>
      <c r="AZ396" s="3325" t="s">
        <v>4885</v>
      </c>
      <c r="BA396" s="3296" t="str">
        <f t="shared" si="89"/>
        <v>签约</v>
      </c>
      <c r="BB396" s="3226"/>
      <c r="BC396" s="3226"/>
      <c r="BD396" s="3292"/>
      <c r="BE396" s="3297" t="s">
        <v>4696</v>
      </c>
      <c r="BG396" s="3297">
        <f>IFERROR(VLOOKUP(B396,[3]Sheet2!A$1:B$65536,2,FALSE),0)</f>
        <v>0</v>
      </c>
      <c r="BI396" s="3297">
        <f>IFERROR(VLOOKUP(B396,[3]Sheet2!A$1:C$65536,2,FALSE),0)</f>
        <v>0</v>
      </c>
      <c r="BJ396" s="3297">
        <f>IFERROR(VLOOKUP(B396,[3]Sheet2!A$1:C$65536,3,FALSE),0)</f>
        <v>0</v>
      </c>
    </row>
    <row r="397" spans="1:64" s="3261" customFormat="1" ht="20.25" customHeight="1">
      <c r="A397" s="3226">
        <v>395</v>
      </c>
      <c r="B397" s="3250" t="s">
        <v>3934</v>
      </c>
      <c r="C397" s="3227" t="s">
        <v>3333</v>
      </c>
      <c r="D397" s="3251" t="s">
        <v>3935</v>
      </c>
      <c r="E397" s="3229">
        <v>44023</v>
      </c>
      <c r="F397" s="3230">
        <v>50000</v>
      </c>
      <c r="G397" s="3231">
        <v>151.44</v>
      </c>
      <c r="H397" s="3231" t="str">
        <f t="shared" si="80"/>
        <v>非普通住宅</v>
      </c>
      <c r="I397" s="3230">
        <v>2240448</v>
      </c>
      <c r="J397" s="3229">
        <v>44027</v>
      </c>
      <c r="K397" s="3284">
        <f t="shared" si="81"/>
        <v>7</v>
      </c>
      <c r="L397" s="3230">
        <v>2220448</v>
      </c>
      <c r="M397" s="3235">
        <f t="shared" si="82"/>
        <v>14662.229265715796</v>
      </c>
      <c r="N397" s="3236">
        <v>620448</v>
      </c>
      <c r="O397" s="3244"/>
      <c r="P397" s="3244"/>
      <c r="Q397" s="3244"/>
      <c r="R397" s="3244">
        <f t="shared" si="83"/>
        <v>670448</v>
      </c>
      <c r="S397" s="3244"/>
      <c r="T397" s="3236"/>
      <c r="U397" s="3236"/>
      <c r="V397" s="3236">
        <v>1550000</v>
      </c>
      <c r="W397" s="3236"/>
      <c r="X397" s="3244">
        <f t="shared" si="84"/>
        <v>2220448</v>
      </c>
      <c r="Y397" s="3244">
        <f t="shared" si="85"/>
        <v>0</v>
      </c>
      <c r="Z397" s="3285">
        <f t="shared" si="86"/>
        <v>1</v>
      </c>
      <c r="AA397" s="3226" t="s">
        <v>3319</v>
      </c>
      <c r="AB397" s="3226" t="s">
        <v>4587</v>
      </c>
      <c r="AC397" s="3226" t="s">
        <v>4698</v>
      </c>
      <c r="AD397" s="3286" t="s">
        <v>4539</v>
      </c>
      <c r="AE397" s="3286" t="s">
        <v>4427</v>
      </c>
      <c r="AF397" s="3286"/>
      <c r="AG397" s="3323"/>
      <c r="AH397" s="3255">
        <v>44027</v>
      </c>
      <c r="AI397" s="3255">
        <v>44032</v>
      </c>
      <c r="AJ397" s="3255">
        <v>44039</v>
      </c>
      <c r="AK397" s="3287">
        <f t="shared" si="87"/>
        <v>2020</v>
      </c>
      <c r="AL397" s="3288">
        <f t="shared" si="88"/>
        <v>7</v>
      </c>
      <c r="AM397" s="3226" t="s">
        <v>4777</v>
      </c>
      <c r="AN397" s="3289">
        <v>1550000</v>
      </c>
      <c r="AO397" s="3300"/>
      <c r="AP397" s="3300"/>
      <c r="AQ397" s="3300"/>
      <c r="AR397" s="3292"/>
      <c r="AS397" s="3292"/>
      <c r="AT397" s="3292"/>
      <c r="AU397" s="3293"/>
      <c r="AV397" s="3293"/>
      <c r="AW397" s="3294"/>
      <c r="AX397" s="3236"/>
      <c r="AY397" s="3244"/>
      <c r="AZ397" s="3325" t="s">
        <v>4437</v>
      </c>
      <c r="BA397" s="3296" t="str">
        <f t="shared" si="89"/>
        <v>签约</v>
      </c>
      <c r="BB397" s="3226"/>
      <c r="BC397" s="3226"/>
      <c r="BD397" s="3292"/>
      <c r="BE397" s="3297" t="s">
        <v>4465</v>
      </c>
      <c r="BG397" s="3297">
        <f>IFERROR(VLOOKUP(B397,[3]Sheet2!A$1:B$65536,2,FALSE),0)</f>
        <v>0</v>
      </c>
      <c r="BI397" s="3297">
        <f>IFERROR(VLOOKUP(B397,[3]Sheet2!A$1:C$65536,2,FALSE),0)</f>
        <v>0</v>
      </c>
      <c r="BJ397" s="3297">
        <f>IFERROR(VLOOKUP(B397,[3]Sheet2!A$1:C$65536,3,FALSE),0)</f>
        <v>0</v>
      </c>
    </row>
    <row r="398" spans="1:64" s="3261" customFormat="1" ht="20.25" customHeight="1">
      <c r="A398" s="3226">
        <v>396</v>
      </c>
      <c r="B398" s="3250" t="s">
        <v>3936</v>
      </c>
      <c r="C398" s="3227" t="s">
        <v>3333</v>
      </c>
      <c r="D398" s="3251" t="s">
        <v>3937</v>
      </c>
      <c r="E398" s="3229">
        <v>44023</v>
      </c>
      <c r="F398" s="3230">
        <v>50000</v>
      </c>
      <c r="G398" s="3231">
        <v>151.44</v>
      </c>
      <c r="H398" s="3231" t="str">
        <f t="shared" si="80"/>
        <v>非普通住宅</v>
      </c>
      <c r="I398" s="3230">
        <v>2271673</v>
      </c>
      <c r="J398" s="3229">
        <v>44029</v>
      </c>
      <c r="K398" s="3284">
        <f t="shared" si="81"/>
        <v>7</v>
      </c>
      <c r="L398" s="3230">
        <v>2251673</v>
      </c>
      <c r="M398" s="3235">
        <f t="shared" si="82"/>
        <v>14868.416534601163</v>
      </c>
      <c r="N398" s="3236">
        <v>631673</v>
      </c>
      <c r="O398" s="3244"/>
      <c r="P398" s="3244"/>
      <c r="Q398" s="3244"/>
      <c r="R398" s="3244">
        <f t="shared" si="83"/>
        <v>681673</v>
      </c>
      <c r="S398" s="3244"/>
      <c r="T398" s="3236"/>
      <c r="U398" s="3236"/>
      <c r="V398" s="3236">
        <v>1570000</v>
      </c>
      <c r="W398" s="3236"/>
      <c r="X398" s="3244">
        <f t="shared" si="84"/>
        <v>2251673</v>
      </c>
      <c r="Y398" s="3244">
        <f t="shared" si="85"/>
        <v>0</v>
      </c>
      <c r="Z398" s="3285">
        <f t="shared" si="86"/>
        <v>1</v>
      </c>
      <c r="AA398" s="3226" t="s">
        <v>3319</v>
      </c>
      <c r="AB398" s="3226" t="s">
        <v>4587</v>
      </c>
      <c r="AC398" s="3226" t="s">
        <v>4698</v>
      </c>
      <c r="AD398" s="3286" t="s">
        <v>4539</v>
      </c>
      <c r="AE398" s="3286" t="s">
        <v>4427</v>
      </c>
      <c r="AF398" s="3286"/>
      <c r="AG398" s="3323"/>
      <c r="AH398" s="3255">
        <v>44029</v>
      </c>
      <c r="AI398" s="3255">
        <v>44029</v>
      </c>
      <c r="AJ398" s="3255">
        <v>44039</v>
      </c>
      <c r="AK398" s="3287">
        <f t="shared" si="87"/>
        <v>2020</v>
      </c>
      <c r="AL398" s="3288">
        <f t="shared" si="88"/>
        <v>7</v>
      </c>
      <c r="AM398" s="3226" t="s">
        <v>4440</v>
      </c>
      <c r="AN398" s="3289">
        <v>1570000</v>
      </c>
      <c r="AO398" s="3300"/>
      <c r="AP398" s="3300"/>
      <c r="AQ398" s="3300"/>
      <c r="AR398" s="3292"/>
      <c r="AS398" s="3292"/>
      <c r="AT398" s="3292"/>
      <c r="AU398" s="3293"/>
      <c r="AV398" s="3293"/>
      <c r="AW398" s="3294"/>
      <c r="AX398" s="3236"/>
      <c r="AY398" s="3244"/>
      <c r="AZ398" s="3325" t="s">
        <v>4894</v>
      </c>
      <c r="BA398" s="3296" t="str">
        <f t="shared" si="89"/>
        <v>签约</v>
      </c>
      <c r="BB398" s="3226"/>
      <c r="BC398" s="3226"/>
      <c r="BD398" s="3292"/>
      <c r="BE398" s="3297" t="s">
        <v>4367</v>
      </c>
      <c r="BG398" s="3297">
        <f>IFERROR(VLOOKUP(B398,[3]Sheet2!A$1:B$65536,2,FALSE),0)</f>
        <v>0</v>
      </c>
      <c r="BI398" s="3297">
        <f>IFERROR(VLOOKUP(B398,[3]Sheet2!A$1:C$65536,2,FALSE),0)</f>
        <v>0</v>
      </c>
      <c r="BJ398" s="3297">
        <f>IFERROR(VLOOKUP(B398,[3]Sheet2!A$1:C$65536,3,FALSE),0)</f>
        <v>0</v>
      </c>
    </row>
    <row r="399" spans="1:64" s="3261" customFormat="1" ht="20.25" customHeight="1">
      <c r="A399" s="3226">
        <v>397</v>
      </c>
      <c r="B399" s="3250" t="s">
        <v>3938</v>
      </c>
      <c r="C399" s="3227" t="s">
        <v>3333</v>
      </c>
      <c r="D399" s="3251" t="s">
        <v>3939</v>
      </c>
      <c r="E399" s="3229">
        <v>44023</v>
      </c>
      <c r="F399" s="3230">
        <v>50000</v>
      </c>
      <c r="G399" s="3231">
        <v>151.44</v>
      </c>
      <c r="H399" s="3231" t="str">
        <f t="shared" si="80"/>
        <v>非普通住宅</v>
      </c>
      <c r="I399" s="3230">
        <v>2302898</v>
      </c>
      <c r="J399" s="3229">
        <v>44028</v>
      </c>
      <c r="K399" s="3284">
        <f t="shared" si="81"/>
        <v>7</v>
      </c>
      <c r="L399" s="3230">
        <v>2282898</v>
      </c>
      <c r="M399" s="3235">
        <f t="shared" si="82"/>
        <v>15074.603803486529</v>
      </c>
      <c r="N399" s="3236">
        <v>752898</v>
      </c>
      <c r="O399" s="3244"/>
      <c r="P399" s="3244"/>
      <c r="Q399" s="3244"/>
      <c r="R399" s="3244">
        <f t="shared" si="83"/>
        <v>802898</v>
      </c>
      <c r="S399" s="3244"/>
      <c r="T399" s="3236"/>
      <c r="U399" s="3236"/>
      <c r="V399" s="3236">
        <v>1480000</v>
      </c>
      <c r="W399" s="3236"/>
      <c r="X399" s="3244">
        <f t="shared" si="84"/>
        <v>2282898</v>
      </c>
      <c r="Y399" s="3244">
        <f t="shared" si="85"/>
        <v>0</v>
      </c>
      <c r="Z399" s="3285">
        <f t="shared" si="86"/>
        <v>1</v>
      </c>
      <c r="AA399" s="3226" t="s">
        <v>3319</v>
      </c>
      <c r="AB399" s="3226" t="s">
        <v>4587</v>
      </c>
      <c r="AC399" s="3226" t="s">
        <v>4698</v>
      </c>
      <c r="AD399" s="3286" t="s">
        <v>4539</v>
      </c>
      <c r="AE399" s="3286" t="s">
        <v>4427</v>
      </c>
      <c r="AF399" s="3286"/>
      <c r="AG399" s="3323"/>
      <c r="AH399" s="3255">
        <v>44028</v>
      </c>
      <c r="AI399" s="3255">
        <v>44035</v>
      </c>
      <c r="AJ399" s="3255">
        <v>44041</v>
      </c>
      <c r="AK399" s="3287">
        <f t="shared" si="87"/>
        <v>2020</v>
      </c>
      <c r="AL399" s="3288">
        <f t="shared" si="88"/>
        <v>7</v>
      </c>
      <c r="AM399" s="3226" t="s">
        <v>4433</v>
      </c>
      <c r="AN399" s="3289">
        <v>1480000</v>
      </c>
      <c r="AO399" s="3300"/>
      <c r="AP399" s="3300"/>
      <c r="AQ399" s="3300"/>
      <c r="AR399" s="3292"/>
      <c r="AS399" s="3292"/>
      <c r="AT399" s="3292"/>
      <c r="AU399" s="3293"/>
      <c r="AV399" s="3293"/>
      <c r="AW399" s="3294"/>
      <c r="AX399" s="3236"/>
      <c r="AY399" s="3244"/>
      <c r="AZ399" s="3325" t="s">
        <v>4448</v>
      </c>
      <c r="BA399" s="3296" t="str">
        <f t="shared" si="89"/>
        <v>签约</v>
      </c>
      <c r="BB399" s="3226"/>
      <c r="BC399" s="3226"/>
      <c r="BD399" s="3292"/>
      <c r="BE399" s="3297" t="s">
        <v>4367</v>
      </c>
      <c r="BG399" s="3297"/>
      <c r="BI399" s="3297">
        <f>IFERROR(VLOOKUP(B399,[3]Sheet2!A$1:C$65536,2,FALSE),0)</f>
        <v>1480000</v>
      </c>
      <c r="BJ399" s="3297" t="str">
        <f>IFERROR(VLOOKUP(B399,[3]Sheet2!A$1:C$65536,3,FALSE),0)</f>
        <v>中国银行湾里支行</v>
      </c>
      <c r="BL399" s="3261">
        <f>BI399-AN399</f>
        <v>0</v>
      </c>
    </row>
    <row r="400" spans="1:64" s="3261" customFormat="1" ht="20.25" customHeight="1">
      <c r="A400" s="3226">
        <v>398</v>
      </c>
      <c r="B400" s="3250" t="s">
        <v>3940</v>
      </c>
      <c r="C400" s="3227" t="s">
        <v>3333</v>
      </c>
      <c r="D400" s="3251" t="s">
        <v>3941</v>
      </c>
      <c r="E400" s="3229">
        <v>44023</v>
      </c>
      <c r="F400" s="3230">
        <v>50000</v>
      </c>
      <c r="G400" s="3231">
        <v>151.44</v>
      </c>
      <c r="H400" s="3231" t="str">
        <f t="shared" si="80"/>
        <v>非普通住宅</v>
      </c>
      <c r="I400" s="3230">
        <v>2334123</v>
      </c>
      <c r="J400" s="3229">
        <v>44029</v>
      </c>
      <c r="K400" s="3284">
        <f t="shared" si="81"/>
        <v>7</v>
      </c>
      <c r="L400" s="3230">
        <v>2334123</v>
      </c>
      <c r="M400" s="3235">
        <f t="shared" si="82"/>
        <v>15412.856576862125</v>
      </c>
      <c r="N400" s="3236">
        <v>954123</v>
      </c>
      <c r="O400" s="3244"/>
      <c r="P400" s="3244"/>
      <c r="Q400" s="3244"/>
      <c r="R400" s="3244">
        <f t="shared" si="83"/>
        <v>1004123</v>
      </c>
      <c r="S400" s="3244"/>
      <c r="T400" s="3236"/>
      <c r="U400" s="3236"/>
      <c r="V400" s="3236">
        <v>1330000</v>
      </c>
      <c r="W400" s="3236"/>
      <c r="X400" s="3244">
        <f t="shared" si="84"/>
        <v>2334123</v>
      </c>
      <c r="Y400" s="3244">
        <f t="shared" si="85"/>
        <v>0</v>
      </c>
      <c r="Z400" s="3285">
        <f t="shared" si="86"/>
        <v>1</v>
      </c>
      <c r="AA400" s="3226" t="s">
        <v>3319</v>
      </c>
      <c r="AB400" s="3226" t="s">
        <v>4587</v>
      </c>
      <c r="AC400" s="3226" t="s">
        <v>4698</v>
      </c>
      <c r="AD400" s="3286" t="s">
        <v>4539</v>
      </c>
      <c r="AE400" s="3286" t="s">
        <v>4427</v>
      </c>
      <c r="AF400" s="3286"/>
      <c r="AG400" s="3323"/>
      <c r="AH400" s="3255">
        <v>44029</v>
      </c>
      <c r="AI400" s="3255">
        <v>44032</v>
      </c>
      <c r="AJ400" s="3255">
        <v>44041</v>
      </c>
      <c r="AK400" s="3287">
        <f t="shared" si="87"/>
        <v>2020</v>
      </c>
      <c r="AL400" s="3288">
        <f t="shared" si="88"/>
        <v>7</v>
      </c>
      <c r="AM400" s="3226" t="s">
        <v>4433</v>
      </c>
      <c r="AN400" s="3289">
        <v>1330000</v>
      </c>
      <c r="AO400" s="3300"/>
      <c r="AP400" s="3300"/>
      <c r="AQ400" s="3300"/>
      <c r="AR400" s="3292"/>
      <c r="AS400" s="3292"/>
      <c r="AT400" s="3292"/>
      <c r="AU400" s="3293"/>
      <c r="AV400" s="3293"/>
      <c r="AW400" s="3294"/>
      <c r="AX400" s="3236"/>
      <c r="AY400" s="3244"/>
      <c r="AZ400" s="3325" t="s">
        <v>4880</v>
      </c>
      <c r="BA400" s="3296" t="str">
        <f t="shared" si="89"/>
        <v>签约</v>
      </c>
      <c r="BB400" s="3226"/>
      <c r="BC400" s="3226"/>
      <c r="BD400" s="3292"/>
      <c r="BE400" s="3297" t="s">
        <v>4465</v>
      </c>
      <c r="BG400" s="3297">
        <f>IFERROR(VLOOKUP(B400,[3]Sheet2!A$1:B$65536,2,FALSE),0)</f>
        <v>1330000</v>
      </c>
      <c r="BI400" s="3297">
        <f>IFERROR(VLOOKUP(B400,[3]Sheet2!A$1:C$65536,2,FALSE),0)</f>
        <v>1330000</v>
      </c>
      <c r="BJ400" s="3297" t="str">
        <f>IFERROR(VLOOKUP(B400,[3]Sheet2!A$1:C$65536,3,FALSE),0)</f>
        <v>中国银行湾里支行</v>
      </c>
      <c r="BL400" s="3261">
        <f>BI400-AN400</f>
        <v>0</v>
      </c>
    </row>
    <row r="401" spans="1:64" s="3261" customFormat="1" ht="20.25" customHeight="1">
      <c r="A401" s="3226">
        <v>399</v>
      </c>
      <c r="B401" s="3250" t="s">
        <v>3942</v>
      </c>
      <c r="C401" s="3227" t="s">
        <v>3333</v>
      </c>
      <c r="D401" s="3251" t="s">
        <v>3943</v>
      </c>
      <c r="E401" s="3229">
        <v>44023</v>
      </c>
      <c r="F401" s="3230">
        <v>50000</v>
      </c>
      <c r="G401" s="3231">
        <v>151.44</v>
      </c>
      <c r="H401" s="3231" t="str">
        <f t="shared" si="80"/>
        <v>非普通住宅</v>
      </c>
      <c r="I401" s="3230">
        <v>2365347</v>
      </c>
      <c r="J401" s="3229">
        <v>44028</v>
      </c>
      <c r="K401" s="3284">
        <f t="shared" si="81"/>
        <v>7</v>
      </c>
      <c r="L401" s="3230">
        <v>2345347</v>
      </c>
      <c r="M401" s="3235">
        <f t="shared" si="82"/>
        <v>15486.971737982039</v>
      </c>
      <c r="N401" s="3236">
        <v>955347</v>
      </c>
      <c r="O401" s="3244"/>
      <c r="P401" s="3244"/>
      <c r="Q401" s="3244"/>
      <c r="R401" s="3244">
        <f t="shared" si="83"/>
        <v>1005347</v>
      </c>
      <c r="S401" s="3244"/>
      <c r="T401" s="3236"/>
      <c r="U401" s="3236"/>
      <c r="V401" s="3236">
        <v>1340000</v>
      </c>
      <c r="W401" s="3236"/>
      <c r="X401" s="3244">
        <f t="shared" si="84"/>
        <v>2345347</v>
      </c>
      <c r="Y401" s="3244">
        <f t="shared" si="85"/>
        <v>0</v>
      </c>
      <c r="Z401" s="3285">
        <f t="shared" si="86"/>
        <v>1</v>
      </c>
      <c r="AA401" s="3226" t="s">
        <v>3319</v>
      </c>
      <c r="AB401" s="3226" t="s">
        <v>4587</v>
      </c>
      <c r="AC401" s="3226" t="s">
        <v>4698</v>
      </c>
      <c r="AD401" s="3286" t="s">
        <v>4539</v>
      </c>
      <c r="AE401" s="3286" t="s">
        <v>4427</v>
      </c>
      <c r="AF401" s="3286"/>
      <c r="AG401" s="3323"/>
      <c r="AH401" s="3255">
        <v>44028</v>
      </c>
      <c r="AI401" s="3255">
        <v>44032</v>
      </c>
      <c r="AJ401" s="3255">
        <v>44046</v>
      </c>
      <c r="AK401" s="3287">
        <f t="shared" si="87"/>
        <v>2020</v>
      </c>
      <c r="AL401" s="3288">
        <f t="shared" si="88"/>
        <v>8</v>
      </c>
      <c r="AM401" s="3226" t="s">
        <v>4792</v>
      </c>
      <c r="AN401" s="3289">
        <v>1340000</v>
      </c>
      <c r="AO401" s="3300"/>
      <c r="AP401" s="3300"/>
      <c r="AQ401" s="3300"/>
      <c r="AR401" s="3292"/>
      <c r="AS401" s="3292"/>
      <c r="AT401" s="3292"/>
      <c r="AU401" s="3293"/>
      <c r="AV401" s="3293"/>
      <c r="AW401" s="3294"/>
      <c r="AX401" s="3236"/>
      <c r="AY401" s="3244"/>
      <c r="AZ401" s="3325" t="s">
        <v>3385</v>
      </c>
      <c r="BA401" s="3296" t="str">
        <f t="shared" si="89"/>
        <v>签约</v>
      </c>
      <c r="BB401" s="3226"/>
      <c r="BC401" s="3226"/>
      <c r="BD401" s="3292"/>
      <c r="BE401" s="3297" t="s">
        <v>4465</v>
      </c>
      <c r="BG401" s="3297">
        <f>IFERROR(VLOOKUP(B401,[3]Sheet2!A$1:B$65536,2,FALSE),0)</f>
        <v>0</v>
      </c>
      <c r="BI401" s="3297">
        <f>IFERROR(VLOOKUP(B401,[3]Sheet2!A$1:C$65536,2,FALSE),0)</f>
        <v>0</v>
      </c>
      <c r="BJ401" s="3297">
        <f>IFERROR(VLOOKUP(B401,[3]Sheet2!A$1:C$65536,3,FALSE),0)</f>
        <v>0</v>
      </c>
    </row>
    <row r="402" spans="1:64" s="3261" customFormat="1" ht="20.25" customHeight="1">
      <c r="A402" s="3226">
        <v>400</v>
      </c>
      <c r="B402" s="3250" t="s">
        <v>3944</v>
      </c>
      <c r="C402" s="3227" t="s">
        <v>3333</v>
      </c>
      <c r="D402" s="3251" t="s">
        <v>3945</v>
      </c>
      <c r="E402" s="3229">
        <v>44023</v>
      </c>
      <c r="F402" s="3230">
        <v>50000</v>
      </c>
      <c r="G402" s="3231">
        <v>151.44</v>
      </c>
      <c r="H402" s="3231" t="str">
        <f t="shared" si="80"/>
        <v>非普通住宅</v>
      </c>
      <c r="I402" s="3230">
        <v>2396572</v>
      </c>
      <c r="J402" s="3229">
        <v>44027</v>
      </c>
      <c r="K402" s="3284">
        <f t="shared" si="81"/>
        <v>7</v>
      </c>
      <c r="L402" s="3230">
        <v>2376572</v>
      </c>
      <c r="M402" s="3235">
        <f t="shared" si="82"/>
        <v>15693.159006867407</v>
      </c>
      <c r="N402" s="3236">
        <f>766572+170000</f>
        <v>936572</v>
      </c>
      <c r="O402" s="3244"/>
      <c r="P402" s="3244"/>
      <c r="Q402" s="3244"/>
      <c r="R402" s="3244">
        <f t="shared" si="83"/>
        <v>986572</v>
      </c>
      <c r="S402" s="3244"/>
      <c r="T402" s="3236"/>
      <c r="U402" s="3236"/>
      <c r="V402" s="3236">
        <v>1390000</v>
      </c>
      <c r="W402" s="3236"/>
      <c r="X402" s="3244">
        <f t="shared" si="84"/>
        <v>2376572</v>
      </c>
      <c r="Y402" s="3244">
        <f t="shared" si="85"/>
        <v>0</v>
      </c>
      <c r="Z402" s="3285">
        <f t="shared" si="86"/>
        <v>1</v>
      </c>
      <c r="AA402" s="3226" t="s">
        <v>3319</v>
      </c>
      <c r="AB402" s="3226" t="s">
        <v>4587</v>
      </c>
      <c r="AC402" s="3226" t="s">
        <v>4698</v>
      </c>
      <c r="AD402" s="3286" t="s">
        <v>4773</v>
      </c>
      <c r="AE402" s="3286" t="s">
        <v>4427</v>
      </c>
      <c r="AF402" s="3286"/>
      <c r="AG402" s="3323"/>
      <c r="AH402" s="3255">
        <v>44029</v>
      </c>
      <c r="AI402" s="3255">
        <v>44037</v>
      </c>
      <c r="AJ402" s="3255">
        <v>44047</v>
      </c>
      <c r="AK402" s="3287">
        <f t="shared" si="87"/>
        <v>2020</v>
      </c>
      <c r="AL402" s="3288">
        <f t="shared" si="88"/>
        <v>8</v>
      </c>
      <c r="AM402" s="3226" t="s">
        <v>4440</v>
      </c>
      <c r="AN402" s="3289">
        <v>1390000</v>
      </c>
      <c r="AO402" s="3300"/>
      <c r="AP402" s="3300"/>
      <c r="AQ402" s="3300"/>
      <c r="AR402" s="3292"/>
      <c r="AS402" s="3292"/>
      <c r="AT402" s="3292"/>
      <c r="AU402" s="3293"/>
      <c r="AV402" s="3293"/>
      <c r="AW402" s="3294"/>
      <c r="AX402" s="3236"/>
      <c r="AY402" s="3244"/>
      <c r="AZ402" s="3325" t="s">
        <v>4429</v>
      </c>
      <c r="BA402" s="3296" t="str">
        <f t="shared" si="89"/>
        <v>签约</v>
      </c>
      <c r="BB402" s="3226"/>
      <c r="BC402" s="3226"/>
      <c r="BD402" s="3292"/>
      <c r="BE402" s="3297" t="s">
        <v>4465</v>
      </c>
      <c r="BG402" s="3297">
        <f>IFERROR(VLOOKUP(B402,[3]Sheet2!A$1:B$65536,2,FALSE),0)</f>
        <v>0</v>
      </c>
      <c r="BI402" s="3297">
        <f>IFERROR(VLOOKUP(B402,[3]Sheet2!A$1:C$65536,2,FALSE),0)</f>
        <v>0</v>
      </c>
      <c r="BJ402" s="3297">
        <f>IFERROR(VLOOKUP(B402,[3]Sheet2!A$1:C$65536,3,FALSE),0)</f>
        <v>0</v>
      </c>
    </row>
    <row r="403" spans="1:64" s="3261" customFormat="1" ht="20.25" customHeight="1">
      <c r="A403" s="3226">
        <v>401</v>
      </c>
      <c r="B403" s="3250" t="s">
        <v>3946</v>
      </c>
      <c r="C403" s="3227" t="s">
        <v>3333</v>
      </c>
      <c r="D403" s="3251" t="s">
        <v>3947</v>
      </c>
      <c r="E403" s="3229">
        <v>44024</v>
      </c>
      <c r="F403" s="3230">
        <v>50000</v>
      </c>
      <c r="G403" s="3231">
        <v>151.44</v>
      </c>
      <c r="H403" s="3231" t="str">
        <f t="shared" si="80"/>
        <v>非普通住宅</v>
      </c>
      <c r="I403" s="3230">
        <v>2427797</v>
      </c>
      <c r="J403" s="3229">
        <v>44029</v>
      </c>
      <c r="K403" s="3284">
        <f t="shared" si="81"/>
        <v>7</v>
      </c>
      <c r="L403" s="3230">
        <v>2427797</v>
      </c>
      <c r="M403" s="3235">
        <f t="shared" si="82"/>
        <v>16031.411780243001</v>
      </c>
      <c r="N403" s="3236">
        <v>687797</v>
      </c>
      <c r="O403" s="3244"/>
      <c r="P403" s="3244"/>
      <c r="Q403" s="3244"/>
      <c r="R403" s="3244">
        <f t="shared" si="83"/>
        <v>737797</v>
      </c>
      <c r="S403" s="3244"/>
      <c r="T403" s="3236"/>
      <c r="U403" s="3236"/>
      <c r="V403" s="3236"/>
      <c r="W403" s="3236"/>
      <c r="X403" s="3244">
        <f t="shared" si="84"/>
        <v>737797</v>
      </c>
      <c r="Y403" s="3244">
        <f t="shared" si="85"/>
        <v>1690000</v>
      </c>
      <c r="Z403" s="3285">
        <f t="shared" si="86"/>
        <v>0.30389567167271397</v>
      </c>
      <c r="AA403" s="3226" t="s">
        <v>3319</v>
      </c>
      <c r="AB403" s="3226" t="s">
        <v>4587</v>
      </c>
      <c r="AC403" s="3226" t="s">
        <v>4698</v>
      </c>
      <c r="AD403" s="3286" t="s">
        <v>4773</v>
      </c>
      <c r="AE403" s="3286" t="s">
        <v>4774</v>
      </c>
      <c r="AF403" s="3286"/>
      <c r="AG403" s="3323"/>
      <c r="AH403" s="3255"/>
      <c r="AI403" s="3255"/>
      <c r="AJ403" s="3255"/>
      <c r="AK403" s="3287" t="str">
        <f t="shared" si="87"/>
        <v/>
      </c>
      <c r="AL403" s="3288" t="str">
        <f t="shared" si="88"/>
        <v/>
      </c>
      <c r="AM403" s="3226"/>
      <c r="AN403" s="3289"/>
      <c r="AO403" s="3300"/>
      <c r="AP403" s="3300"/>
      <c r="AQ403" s="3300"/>
      <c r="AR403" s="3292"/>
      <c r="AS403" s="3292"/>
      <c r="AT403" s="3292"/>
      <c r="AU403" s="3293"/>
      <c r="AV403" s="3293"/>
      <c r="AW403" s="3294"/>
      <c r="AX403" s="3236"/>
      <c r="AY403" s="3244"/>
      <c r="AZ403" s="3325" t="s">
        <v>4882</v>
      </c>
      <c r="BA403" s="3296" t="str">
        <f t="shared" si="89"/>
        <v>签约</v>
      </c>
      <c r="BB403" s="3226"/>
      <c r="BC403" s="3226"/>
      <c r="BD403" s="3292"/>
      <c r="BE403" s="3297" t="s">
        <v>4367</v>
      </c>
      <c r="BG403" s="3297">
        <f>IFERROR(VLOOKUP(B403,[3]Sheet2!A$1:B$65536,2,FALSE),0)</f>
        <v>0</v>
      </c>
      <c r="BI403" s="3297">
        <f>IFERROR(VLOOKUP(B403,[3]Sheet2!A$1:C$65536,2,FALSE),0)</f>
        <v>0</v>
      </c>
      <c r="BJ403" s="3297">
        <f>IFERROR(VLOOKUP(B403,[3]Sheet2!A$1:C$65536,3,FALSE),0)</f>
        <v>0</v>
      </c>
    </row>
    <row r="404" spans="1:64" s="3261" customFormat="1" ht="20.25" customHeight="1">
      <c r="A404" s="3226">
        <v>402</v>
      </c>
      <c r="B404" s="3250" t="s">
        <v>3948</v>
      </c>
      <c r="C404" s="3227" t="s">
        <v>3333</v>
      </c>
      <c r="D404" s="3251" t="s">
        <v>3949</v>
      </c>
      <c r="E404" s="3229">
        <v>44023</v>
      </c>
      <c r="F404" s="3230">
        <v>50000</v>
      </c>
      <c r="G404" s="3231">
        <v>151.44</v>
      </c>
      <c r="H404" s="3231" t="str">
        <f t="shared" si="80"/>
        <v>非普通住宅</v>
      </c>
      <c r="I404" s="3230">
        <v>2287286</v>
      </c>
      <c r="J404" s="3229">
        <v>44028</v>
      </c>
      <c r="K404" s="3284">
        <f t="shared" si="81"/>
        <v>7</v>
      </c>
      <c r="L404" s="3230">
        <v>2267286</v>
      </c>
      <c r="M404" s="3235">
        <f t="shared" si="82"/>
        <v>14971.513470681459</v>
      </c>
      <c r="N404" s="3236">
        <v>1117286</v>
      </c>
      <c r="O404" s="3244"/>
      <c r="P404" s="3244"/>
      <c r="Q404" s="3244"/>
      <c r="R404" s="3244">
        <f t="shared" si="83"/>
        <v>1167286</v>
      </c>
      <c r="S404" s="3244"/>
      <c r="T404" s="3236"/>
      <c r="U404" s="3236"/>
      <c r="V404" s="3236">
        <v>1100000</v>
      </c>
      <c r="W404" s="3236"/>
      <c r="X404" s="3244">
        <f t="shared" si="84"/>
        <v>2267286</v>
      </c>
      <c r="Y404" s="3244">
        <f t="shared" si="85"/>
        <v>0</v>
      </c>
      <c r="Z404" s="3285">
        <f t="shared" si="86"/>
        <v>1</v>
      </c>
      <c r="AA404" s="3226" t="s">
        <v>3319</v>
      </c>
      <c r="AB404" s="3226" t="s">
        <v>4587</v>
      </c>
      <c r="AC404" s="3226" t="s">
        <v>4698</v>
      </c>
      <c r="AD404" s="3286" t="s">
        <v>4539</v>
      </c>
      <c r="AE404" s="3286" t="s">
        <v>4427</v>
      </c>
      <c r="AF404" s="3286"/>
      <c r="AG404" s="3323"/>
      <c r="AH404" s="3255">
        <v>44028</v>
      </c>
      <c r="AI404" s="3255">
        <v>44032</v>
      </c>
      <c r="AJ404" s="3255">
        <v>44041</v>
      </c>
      <c r="AK404" s="3287">
        <f t="shared" si="87"/>
        <v>2020</v>
      </c>
      <c r="AL404" s="3288">
        <f t="shared" si="88"/>
        <v>7</v>
      </c>
      <c r="AM404" s="3226" t="s">
        <v>4433</v>
      </c>
      <c r="AN404" s="3289">
        <v>1100000</v>
      </c>
      <c r="AO404" s="3300"/>
      <c r="AP404" s="3300"/>
      <c r="AQ404" s="3300"/>
      <c r="AR404" s="3292"/>
      <c r="AS404" s="3292"/>
      <c r="AT404" s="3292"/>
      <c r="AU404" s="3293"/>
      <c r="AV404" s="3293"/>
      <c r="AW404" s="3294"/>
      <c r="AX404" s="3236"/>
      <c r="AY404" s="3244"/>
      <c r="AZ404" s="3325" t="s">
        <v>4883</v>
      </c>
      <c r="BA404" s="3296" t="str">
        <f t="shared" si="89"/>
        <v>签约</v>
      </c>
      <c r="BB404" s="3226"/>
      <c r="BC404" s="3226"/>
      <c r="BD404" s="3292"/>
      <c r="BE404" s="3297" t="s">
        <v>4465</v>
      </c>
      <c r="BG404" s="3297"/>
      <c r="BI404" s="3297">
        <f>IFERROR(VLOOKUP(B404,[3]Sheet2!A$1:C$65536,2,FALSE),0)</f>
        <v>1100000</v>
      </c>
      <c r="BJ404" s="3297" t="str">
        <f>IFERROR(VLOOKUP(B404,[3]Sheet2!A$1:C$65536,3,FALSE),0)</f>
        <v>中国银行湾里支行</v>
      </c>
      <c r="BL404" s="3261">
        <f>BI404-AN404</f>
        <v>0</v>
      </c>
    </row>
    <row r="405" spans="1:64" s="3261" customFormat="1" ht="20.25" customHeight="1">
      <c r="A405" s="3226">
        <v>403</v>
      </c>
      <c r="B405" s="3250" t="s">
        <v>3950</v>
      </c>
      <c r="C405" s="3227" t="s">
        <v>3333</v>
      </c>
      <c r="D405" s="3251" t="s">
        <v>3951</v>
      </c>
      <c r="E405" s="3229">
        <v>44023</v>
      </c>
      <c r="F405" s="3230">
        <v>50000</v>
      </c>
      <c r="G405" s="3231">
        <v>135.32</v>
      </c>
      <c r="H405" s="3231" t="str">
        <f t="shared" si="80"/>
        <v>普通住宅</v>
      </c>
      <c r="I405" s="3230">
        <v>1998034</v>
      </c>
      <c r="J405" s="3229">
        <v>44027</v>
      </c>
      <c r="K405" s="3284">
        <f t="shared" si="81"/>
        <v>7</v>
      </c>
      <c r="L405" s="3230">
        <v>1998034</v>
      </c>
      <c r="M405" s="3235">
        <f t="shared" si="82"/>
        <v>14765.252734259533</v>
      </c>
      <c r="N405" s="3236">
        <f>908034+290000</f>
        <v>1198034</v>
      </c>
      <c r="O405" s="3244"/>
      <c r="P405" s="3244"/>
      <c r="Q405" s="3244"/>
      <c r="R405" s="3244">
        <f t="shared" si="83"/>
        <v>1248034</v>
      </c>
      <c r="S405" s="3244"/>
      <c r="T405" s="3236"/>
      <c r="U405" s="3236"/>
      <c r="V405" s="3236">
        <v>750000</v>
      </c>
      <c r="W405" s="3236"/>
      <c r="X405" s="3244">
        <f t="shared" si="84"/>
        <v>1998034</v>
      </c>
      <c r="Y405" s="3244">
        <f t="shared" si="85"/>
        <v>0</v>
      </c>
      <c r="Z405" s="3285">
        <f t="shared" si="86"/>
        <v>1</v>
      </c>
      <c r="AA405" s="3226" t="s">
        <v>3319</v>
      </c>
      <c r="AB405" s="3226" t="s">
        <v>4587</v>
      </c>
      <c r="AC405" s="3226" t="s">
        <v>4698</v>
      </c>
      <c r="AD405" s="3286" t="s">
        <v>4539</v>
      </c>
      <c r="AE405" s="3286" t="s">
        <v>4427</v>
      </c>
      <c r="AF405" s="3286"/>
      <c r="AG405" s="3323"/>
      <c r="AH405" s="3255">
        <v>44027</v>
      </c>
      <c r="AI405" s="3255">
        <v>44032</v>
      </c>
      <c r="AJ405" s="3255">
        <v>44041</v>
      </c>
      <c r="AK405" s="3287">
        <f t="shared" si="87"/>
        <v>2020</v>
      </c>
      <c r="AL405" s="3288">
        <f t="shared" si="88"/>
        <v>7</v>
      </c>
      <c r="AM405" s="3226" t="s">
        <v>4881</v>
      </c>
      <c r="AN405" s="3289">
        <v>750000</v>
      </c>
      <c r="AO405" s="3300"/>
      <c r="AP405" s="3300"/>
      <c r="AQ405" s="3300"/>
      <c r="AR405" s="3292"/>
      <c r="AS405" s="3292"/>
      <c r="AT405" s="3292"/>
      <c r="AU405" s="3293"/>
      <c r="AV405" s="3293"/>
      <c r="AW405" s="3294"/>
      <c r="AX405" s="3236"/>
      <c r="AY405" s="3244"/>
      <c r="AZ405" s="3325" t="s">
        <v>4895</v>
      </c>
      <c r="BA405" s="3296" t="str">
        <f t="shared" si="89"/>
        <v>签约</v>
      </c>
      <c r="BB405" s="3226"/>
      <c r="BC405" s="3226"/>
      <c r="BD405" s="3292"/>
      <c r="BE405" s="3297" t="s">
        <v>4367</v>
      </c>
      <c r="BG405" s="3297">
        <f>IFERROR(VLOOKUP(B405,[3]Sheet2!A$1:B$65536,2,FALSE),0)</f>
        <v>750000</v>
      </c>
      <c r="BI405" s="3297">
        <f>IFERROR(VLOOKUP(B405,[3]Sheet2!A$1:C$65536,2,FALSE),0)</f>
        <v>750000</v>
      </c>
      <c r="BJ405" s="3297" t="str">
        <f>IFERROR(VLOOKUP(B405,[3]Sheet2!A$1:C$65536,3,FALSE),0)</f>
        <v>江南农村商业银行前黄支行</v>
      </c>
      <c r="BL405" s="3261">
        <f>BI405-AN405</f>
        <v>0</v>
      </c>
    </row>
    <row r="406" spans="1:64" s="3261" customFormat="1" ht="20.25" customHeight="1">
      <c r="A406" s="3226">
        <v>404</v>
      </c>
      <c r="B406" s="3250" t="s">
        <v>3952</v>
      </c>
      <c r="C406" s="3227" t="s">
        <v>3333</v>
      </c>
      <c r="D406" s="3251" t="s">
        <v>3953</v>
      </c>
      <c r="E406" s="3229">
        <v>44029</v>
      </c>
      <c r="F406" s="3230">
        <v>0</v>
      </c>
      <c r="G406" s="3231">
        <v>135.32</v>
      </c>
      <c r="H406" s="3231" t="str">
        <f t="shared" si="80"/>
        <v>普通住宅</v>
      </c>
      <c r="I406" s="3230">
        <v>2025935</v>
      </c>
      <c r="J406" s="3229">
        <v>44029</v>
      </c>
      <c r="K406" s="3284">
        <f t="shared" si="81"/>
        <v>7</v>
      </c>
      <c r="L406" s="3230">
        <v>2005935</v>
      </c>
      <c r="M406" s="3235">
        <f t="shared" si="82"/>
        <v>14823.640260124152</v>
      </c>
      <c r="N406" s="3236">
        <f>1955935+50000</f>
        <v>2005935</v>
      </c>
      <c r="O406" s="3244"/>
      <c r="P406" s="3244"/>
      <c r="Q406" s="3244"/>
      <c r="R406" s="3244">
        <f t="shared" si="83"/>
        <v>2005935</v>
      </c>
      <c r="S406" s="3244"/>
      <c r="T406" s="3236"/>
      <c r="U406" s="3236"/>
      <c r="V406" s="3236"/>
      <c r="W406" s="3236"/>
      <c r="X406" s="3244">
        <f t="shared" si="84"/>
        <v>2005935</v>
      </c>
      <c r="Y406" s="3244">
        <f t="shared" si="85"/>
        <v>0</v>
      </c>
      <c r="Z406" s="3285">
        <f t="shared" si="86"/>
        <v>1</v>
      </c>
      <c r="AA406" s="3226" t="s">
        <v>3319</v>
      </c>
      <c r="AB406" s="3226" t="s">
        <v>4676</v>
      </c>
      <c r="AC406" s="3226"/>
      <c r="AD406" s="3286"/>
      <c r="AE406" s="3286"/>
      <c r="AF406" s="3286"/>
      <c r="AG406" s="3323"/>
      <c r="AH406" s="3255"/>
      <c r="AI406" s="3255"/>
      <c r="AJ406" s="3255"/>
      <c r="AK406" s="3287" t="str">
        <f t="shared" si="87"/>
        <v/>
      </c>
      <c r="AL406" s="3288" t="str">
        <f t="shared" si="88"/>
        <v/>
      </c>
      <c r="AM406" s="3226"/>
      <c r="AN406" s="3289"/>
      <c r="AO406" s="3300"/>
      <c r="AP406" s="3300"/>
      <c r="AQ406" s="3300"/>
      <c r="AR406" s="3292"/>
      <c r="AS406" s="3292"/>
      <c r="AT406" s="3292"/>
      <c r="AU406" s="3293"/>
      <c r="AV406" s="3293"/>
      <c r="AW406" s="3294"/>
      <c r="AX406" s="3236"/>
      <c r="AY406" s="3244"/>
      <c r="AZ406" s="3325" t="s">
        <v>4882</v>
      </c>
      <c r="BA406" s="3296" t="str">
        <f t="shared" si="89"/>
        <v>签约</v>
      </c>
      <c r="BB406" s="3226"/>
      <c r="BC406" s="3226"/>
      <c r="BD406" s="3292"/>
      <c r="BE406" s="3297" t="s">
        <v>4367</v>
      </c>
      <c r="BG406" s="3297">
        <f>IFERROR(VLOOKUP(B406,[3]Sheet2!A$1:B$65536,2,FALSE),0)</f>
        <v>0</v>
      </c>
      <c r="BI406" s="3297">
        <f>IFERROR(VLOOKUP(B406,[3]Sheet2!A$1:C$65536,2,FALSE),0)</f>
        <v>0</v>
      </c>
      <c r="BJ406" s="3297">
        <f>IFERROR(VLOOKUP(B406,[3]Sheet2!A$1:C$65536,3,FALSE),0)</f>
        <v>0</v>
      </c>
    </row>
    <row r="407" spans="1:64" s="3261" customFormat="1" ht="20.25" customHeight="1">
      <c r="A407" s="3226">
        <v>405</v>
      </c>
      <c r="B407" s="3250" t="s">
        <v>3954</v>
      </c>
      <c r="C407" s="3227" t="s">
        <v>3333</v>
      </c>
      <c r="D407" s="3251" t="s">
        <v>3955</v>
      </c>
      <c r="E407" s="3229">
        <v>44023</v>
      </c>
      <c r="F407" s="3230">
        <v>50000</v>
      </c>
      <c r="G407" s="3231">
        <v>135.32</v>
      </c>
      <c r="H407" s="3231" t="str">
        <f t="shared" si="80"/>
        <v>普通住宅</v>
      </c>
      <c r="I407" s="3230">
        <v>2053836</v>
      </c>
      <c r="J407" s="3229">
        <v>44026</v>
      </c>
      <c r="K407" s="3284">
        <f t="shared" si="81"/>
        <v>7</v>
      </c>
      <c r="L407" s="3230">
        <v>2033836</v>
      </c>
      <c r="M407" s="3235">
        <f t="shared" si="82"/>
        <v>15029.825598581141</v>
      </c>
      <c r="N407" s="3236">
        <v>563836</v>
      </c>
      <c r="O407" s="3244"/>
      <c r="P407" s="3244"/>
      <c r="Q407" s="3244"/>
      <c r="R407" s="3244">
        <f t="shared" si="83"/>
        <v>613836</v>
      </c>
      <c r="S407" s="3244"/>
      <c r="T407" s="3236"/>
      <c r="U407" s="3236"/>
      <c r="V407" s="3236">
        <v>1420000</v>
      </c>
      <c r="W407" s="3236"/>
      <c r="X407" s="3244">
        <f t="shared" si="84"/>
        <v>2033836</v>
      </c>
      <c r="Y407" s="3244">
        <f t="shared" si="85"/>
        <v>0</v>
      </c>
      <c r="Z407" s="3285">
        <f t="shared" si="86"/>
        <v>1</v>
      </c>
      <c r="AA407" s="3226" t="s">
        <v>3319</v>
      </c>
      <c r="AB407" s="3226" t="s">
        <v>4587</v>
      </c>
      <c r="AC407" s="3226" t="s">
        <v>4698</v>
      </c>
      <c r="AD407" s="3286" t="s">
        <v>4539</v>
      </c>
      <c r="AE407" s="3286" t="s">
        <v>4427</v>
      </c>
      <c r="AF407" s="3286"/>
      <c r="AG407" s="3323"/>
      <c r="AH407" s="3255">
        <v>44028</v>
      </c>
      <c r="AI407" s="3255">
        <v>44032</v>
      </c>
      <c r="AJ407" s="3255">
        <v>44041</v>
      </c>
      <c r="AK407" s="3287">
        <f t="shared" si="87"/>
        <v>2020</v>
      </c>
      <c r="AL407" s="3288">
        <f t="shared" si="88"/>
        <v>7</v>
      </c>
      <c r="AM407" s="3226" t="s">
        <v>4433</v>
      </c>
      <c r="AN407" s="3289">
        <v>1420000</v>
      </c>
      <c r="AO407" s="3300"/>
      <c r="AP407" s="3300"/>
      <c r="AQ407" s="3300"/>
      <c r="AR407" s="3292"/>
      <c r="AS407" s="3292"/>
      <c r="AT407" s="3292"/>
      <c r="AU407" s="3293"/>
      <c r="AV407" s="3293"/>
      <c r="AW407" s="3294"/>
      <c r="AX407" s="3236"/>
      <c r="AY407" s="3244"/>
      <c r="AZ407" s="3325" t="s">
        <v>4735</v>
      </c>
      <c r="BA407" s="3296" t="str">
        <f t="shared" si="89"/>
        <v>签约</v>
      </c>
      <c r="BB407" s="3226"/>
      <c r="BC407" s="3226"/>
      <c r="BD407" s="3292"/>
      <c r="BE407" s="3297" t="s">
        <v>4367</v>
      </c>
      <c r="BG407" s="3297"/>
      <c r="BI407" s="3297">
        <f>IFERROR(VLOOKUP(B407,[3]Sheet2!A$1:C$65536,2,FALSE),0)</f>
        <v>1420000</v>
      </c>
      <c r="BJ407" s="3297" t="str">
        <f>IFERROR(VLOOKUP(B407,[3]Sheet2!A$1:C$65536,3,FALSE),0)</f>
        <v>中国银行湾里支行</v>
      </c>
      <c r="BL407" s="3261">
        <f>BI407-AN407</f>
        <v>0</v>
      </c>
    </row>
    <row r="408" spans="1:64" s="3261" customFormat="1" ht="20.25" customHeight="1">
      <c r="A408" s="3226">
        <v>406</v>
      </c>
      <c r="B408" s="3250" t="s">
        <v>3956</v>
      </c>
      <c r="C408" s="3227" t="s">
        <v>3333</v>
      </c>
      <c r="D408" s="3251" t="s">
        <v>3957</v>
      </c>
      <c r="E408" s="3229">
        <v>44023</v>
      </c>
      <c r="F408" s="3230">
        <v>20000</v>
      </c>
      <c r="G408" s="3231">
        <v>135.32</v>
      </c>
      <c r="H408" s="3231" t="str">
        <f t="shared" si="80"/>
        <v>普通住宅</v>
      </c>
      <c r="I408" s="3230">
        <v>2081737</v>
      </c>
      <c r="J408" s="3229">
        <v>44032</v>
      </c>
      <c r="K408" s="3284">
        <f t="shared" si="81"/>
        <v>7</v>
      </c>
      <c r="L408" s="3230">
        <v>2061737</v>
      </c>
      <c r="M408" s="3235">
        <f t="shared" si="82"/>
        <v>15236.010937038132</v>
      </c>
      <c r="N408" s="3236">
        <v>601737</v>
      </c>
      <c r="O408" s="3244"/>
      <c r="P408" s="3244"/>
      <c r="Q408" s="3244"/>
      <c r="R408" s="3244">
        <f t="shared" si="83"/>
        <v>621737</v>
      </c>
      <c r="S408" s="3244"/>
      <c r="T408" s="3236"/>
      <c r="U408" s="3236"/>
      <c r="V408" s="3236"/>
      <c r="W408" s="3236"/>
      <c r="X408" s="3244">
        <f t="shared" si="84"/>
        <v>621737</v>
      </c>
      <c r="Y408" s="3244">
        <f t="shared" si="85"/>
        <v>1440000</v>
      </c>
      <c r="Z408" s="3285">
        <f t="shared" si="86"/>
        <v>0.30155980127436233</v>
      </c>
      <c r="AA408" s="3226" t="s">
        <v>3319</v>
      </c>
      <c r="AB408" s="3226" t="s">
        <v>4587</v>
      </c>
      <c r="AC408" s="3226" t="s">
        <v>4698</v>
      </c>
      <c r="AD408" s="3286" t="s">
        <v>4773</v>
      </c>
      <c r="AE408" s="3286" t="s">
        <v>4774</v>
      </c>
      <c r="AF408" s="3286"/>
      <c r="AG408" s="3323"/>
      <c r="AH408" s="3255"/>
      <c r="AI408" s="3255"/>
      <c r="AJ408" s="3255"/>
      <c r="AK408" s="3287" t="str">
        <f t="shared" si="87"/>
        <v/>
      </c>
      <c r="AL408" s="3288" t="str">
        <f t="shared" si="88"/>
        <v/>
      </c>
      <c r="AM408" s="3226"/>
      <c r="AN408" s="3289"/>
      <c r="AO408" s="3300"/>
      <c r="AP408" s="3300"/>
      <c r="AQ408" s="3300"/>
      <c r="AR408" s="3292"/>
      <c r="AS408" s="3292"/>
      <c r="AT408" s="3292"/>
      <c r="AU408" s="3293"/>
      <c r="AV408" s="3293"/>
      <c r="AW408" s="3294"/>
      <c r="AX408" s="3236"/>
      <c r="AY408" s="3244"/>
      <c r="AZ408" s="3325" t="s">
        <v>4445</v>
      </c>
      <c r="BA408" s="3296" t="str">
        <f t="shared" si="89"/>
        <v>签约</v>
      </c>
      <c r="BB408" s="3226"/>
      <c r="BC408" s="3226"/>
      <c r="BD408" s="3292"/>
      <c r="BE408" s="3297" t="s">
        <v>4367</v>
      </c>
      <c r="BG408" s="3297">
        <f>IFERROR(VLOOKUP(B408,[3]Sheet2!A$1:B$65536,2,FALSE),0)</f>
        <v>0</v>
      </c>
      <c r="BI408" s="3297">
        <f>IFERROR(VLOOKUP(B408,[3]Sheet2!A$1:C$65536,2,FALSE),0)</f>
        <v>0</v>
      </c>
      <c r="BJ408" s="3297">
        <f>IFERROR(VLOOKUP(B408,[3]Sheet2!A$1:C$65536,3,FALSE),0)</f>
        <v>0</v>
      </c>
    </row>
    <row r="409" spans="1:64" s="3261" customFormat="1" ht="20.25" customHeight="1">
      <c r="A409" s="3226">
        <v>407</v>
      </c>
      <c r="B409" s="3250" t="s">
        <v>3958</v>
      </c>
      <c r="C409" s="3227" t="s">
        <v>3333</v>
      </c>
      <c r="D409" s="3251" t="s">
        <v>3959</v>
      </c>
      <c r="E409" s="3229">
        <v>44023</v>
      </c>
      <c r="F409" s="3230">
        <v>50000</v>
      </c>
      <c r="G409" s="3231">
        <v>135.32</v>
      </c>
      <c r="H409" s="3231" t="str">
        <f t="shared" si="80"/>
        <v>普通住宅</v>
      </c>
      <c r="I409" s="3230">
        <v>2109638</v>
      </c>
      <c r="J409" s="3229">
        <v>44029</v>
      </c>
      <c r="K409" s="3284">
        <f t="shared" si="81"/>
        <v>7</v>
      </c>
      <c r="L409" s="3230">
        <v>2089638</v>
      </c>
      <c r="M409" s="3235">
        <f t="shared" si="82"/>
        <v>15442.196275495124</v>
      </c>
      <c r="N409" s="3236">
        <v>939638</v>
      </c>
      <c r="O409" s="3244"/>
      <c r="P409" s="3244"/>
      <c r="Q409" s="3244"/>
      <c r="R409" s="3244">
        <f t="shared" si="83"/>
        <v>989638</v>
      </c>
      <c r="S409" s="3244"/>
      <c r="T409" s="3236"/>
      <c r="U409" s="3236"/>
      <c r="V409" s="3236">
        <v>1100000</v>
      </c>
      <c r="W409" s="3236"/>
      <c r="X409" s="3244">
        <f t="shared" si="84"/>
        <v>2089638</v>
      </c>
      <c r="Y409" s="3244">
        <f t="shared" si="85"/>
        <v>0</v>
      </c>
      <c r="Z409" s="3285">
        <f t="shared" si="86"/>
        <v>1</v>
      </c>
      <c r="AA409" s="3226" t="s">
        <v>3319</v>
      </c>
      <c r="AB409" s="3226" t="s">
        <v>4587</v>
      </c>
      <c r="AC409" s="3226" t="s">
        <v>4698</v>
      </c>
      <c r="AD409" s="3286" t="s">
        <v>4539</v>
      </c>
      <c r="AE409" s="3286" t="s">
        <v>4427</v>
      </c>
      <c r="AF409" s="3286"/>
      <c r="AG409" s="3323"/>
      <c r="AH409" s="3255">
        <v>44028</v>
      </c>
      <c r="AI409" s="3255">
        <v>44032</v>
      </c>
      <c r="AJ409" s="3255">
        <v>44043</v>
      </c>
      <c r="AK409" s="3287">
        <f t="shared" si="87"/>
        <v>2020</v>
      </c>
      <c r="AL409" s="3288">
        <f t="shared" si="88"/>
        <v>7</v>
      </c>
      <c r="AM409" s="3226" t="s">
        <v>4634</v>
      </c>
      <c r="AN409" s="3289">
        <v>1100000</v>
      </c>
      <c r="AO409" s="3300"/>
      <c r="AP409" s="3300"/>
      <c r="AQ409" s="3300"/>
      <c r="AR409" s="3292"/>
      <c r="AS409" s="3292"/>
      <c r="AT409" s="3292"/>
      <c r="AU409" s="3293"/>
      <c r="AV409" s="3293"/>
      <c r="AW409" s="3294"/>
      <c r="AX409" s="3236"/>
      <c r="AY409" s="3244"/>
      <c r="AZ409" s="3325" t="s">
        <v>4441</v>
      </c>
      <c r="BA409" s="3296" t="str">
        <f t="shared" si="89"/>
        <v>签约</v>
      </c>
      <c r="BB409" s="3226"/>
      <c r="BC409" s="3226"/>
      <c r="BD409" s="3292"/>
      <c r="BE409" s="3297" t="s">
        <v>4696</v>
      </c>
      <c r="BG409" s="3297">
        <f>IFERROR(VLOOKUP(B409,[3]Sheet2!A$1:B$65536,2,FALSE),0)</f>
        <v>0</v>
      </c>
      <c r="BI409" s="3297">
        <f>IFERROR(VLOOKUP(B409,[3]Sheet2!A$1:C$65536,2,FALSE),0)</f>
        <v>0</v>
      </c>
      <c r="BJ409" s="3297">
        <f>IFERROR(VLOOKUP(B409,[3]Sheet2!A$1:C$65536,3,FALSE),0)</f>
        <v>0</v>
      </c>
    </row>
    <row r="410" spans="1:64" s="3261" customFormat="1" ht="20.25" customHeight="1">
      <c r="A410" s="3226">
        <v>408</v>
      </c>
      <c r="B410" s="3250" t="s">
        <v>3960</v>
      </c>
      <c r="C410" s="3227" t="s">
        <v>3333</v>
      </c>
      <c r="D410" s="3251" t="s">
        <v>3961</v>
      </c>
      <c r="E410" s="3229">
        <v>44023</v>
      </c>
      <c r="F410" s="3230">
        <v>50000</v>
      </c>
      <c r="G410" s="3231">
        <v>135.32</v>
      </c>
      <c r="H410" s="3231" t="str">
        <f t="shared" si="80"/>
        <v>普通住宅</v>
      </c>
      <c r="I410" s="3230">
        <v>2137539</v>
      </c>
      <c r="J410" s="3229">
        <v>44028</v>
      </c>
      <c r="K410" s="3284">
        <f t="shared" si="81"/>
        <v>7</v>
      </c>
      <c r="L410" s="3230">
        <v>2117539</v>
      </c>
      <c r="M410" s="3235">
        <f t="shared" si="82"/>
        <v>15648.381613952115</v>
      </c>
      <c r="N410" s="3236">
        <v>867539</v>
      </c>
      <c r="O410" s="3244"/>
      <c r="P410" s="3244"/>
      <c r="Q410" s="3244"/>
      <c r="R410" s="3244">
        <f t="shared" si="83"/>
        <v>917539</v>
      </c>
      <c r="S410" s="3244"/>
      <c r="T410" s="3236"/>
      <c r="U410" s="3236"/>
      <c r="V410" s="3236">
        <v>1200000</v>
      </c>
      <c r="W410" s="3236"/>
      <c r="X410" s="3244">
        <f t="shared" si="84"/>
        <v>2117539</v>
      </c>
      <c r="Y410" s="3244">
        <f t="shared" si="85"/>
        <v>0</v>
      </c>
      <c r="Z410" s="3285">
        <f t="shared" si="86"/>
        <v>1</v>
      </c>
      <c r="AA410" s="3226" t="s">
        <v>3319</v>
      </c>
      <c r="AB410" s="3226" t="s">
        <v>4587</v>
      </c>
      <c r="AC410" s="3226" t="s">
        <v>4698</v>
      </c>
      <c r="AD410" s="3286" t="s">
        <v>4539</v>
      </c>
      <c r="AE410" s="3286" t="s">
        <v>4427</v>
      </c>
      <c r="AF410" s="3286"/>
      <c r="AG410" s="3323"/>
      <c r="AH410" s="3255">
        <v>44028</v>
      </c>
      <c r="AI410" s="3255">
        <v>44032</v>
      </c>
      <c r="AJ410" s="3255">
        <v>44043</v>
      </c>
      <c r="AK410" s="3287">
        <f t="shared" si="87"/>
        <v>2020</v>
      </c>
      <c r="AL410" s="3288">
        <f t="shared" si="88"/>
        <v>7</v>
      </c>
      <c r="AM410" s="3226" t="s">
        <v>4739</v>
      </c>
      <c r="AN410" s="3289">
        <v>1200000</v>
      </c>
      <c r="AO410" s="3300"/>
      <c r="AP410" s="3300"/>
      <c r="AQ410" s="3300"/>
      <c r="AR410" s="3292"/>
      <c r="AS410" s="3292"/>
      <c r="AT410" s="3292"/>
      <c r="AU410" s="3293"/>
      <c r="AV410" s="3293"/>
      <c r="AW410" s="3294"/>
      <c r="AX410" s="3236"/>
      <c r="AY410" s="3244"/>
      <c r="AZ410" s="3325" t="s">
        <v>4886</v>
      </c>
      <c r="BA410" s="3296" t="str">
        <f t="shared" si="89"/>
        <v>签约</v>
      </c>
      <c r="BB410" s="3226"/>
      <c r="BC410" s="3226"/>
      <c r="BD410" s="3292"/>
      <c r="BE410" s="3297" t="s">
        <v>4696</v>
      </c>
      <c r="BG410" s="3297">
        <f>IFERROR(VLOOKUP(B410,[3]Sheet2!A$1:B$65536,2,FALSE),0)</f>
        <v>0</v>
      </c>
      <c r="BI410" s="3297">
        <f>IFERROR(VLOOKUP(B410,[3]Sheet2!A$1:C$65536,2,FALSE),0)</f>
        <v>0</v>
      </c>
      <c r="BJ410" s="3297">
        <f>IFERROR(VLOOKUP(B410,[3]Sheet2!A$1:C$65536,3,FALSE),0)</f>
        <v>0</v>
      </c>
    </row>
    <row r="411" spans="1:64" s="3261" customFormat="1" ht="20.25" customHeight="1">
      <c r="A411" s="3226">
        <v>409</v>
      </c>
      <c r="B411" s="3250" t="s">
        <v>3962</v>
      </c>
      <c r="C411" s="3227" t="s">
        <v>3333</v>
      </c>
      <c r="D411" s="3251" t="s">
        <v>3963</v>
      </c>
      <c r="E411" s="3229">
        <v>44023</v>
      </c>
      <c r="F411" s="3230">
        <v>50000</v>
      </c>
      <c r="G411" s="3231">
        <v>135.32</v>
      </c>
      <c r="H411" s="3231" t="str">
        <f t="shared" si="80"/>
        <v>普通住宅</v>
      </c>
      <c r="I411" s="3230">
        <v>2165440</v>
      </c>
      <c r="J411" s="3229">
        <v>44028</v>
      </c>
      <c r="K411" s="3284">
        <f t="shared" si="81"/>
        <v>7</v>
      </c>
      <c r="L411" s="3230">
        <v>2145440</v>
      </c>
      <c r="M411" s="3235">
        <f t="shared" si="82"/>
        <v>15854.566952409104</v>
      </c>
      <c r="N411" s="3236">
        <f>595440+500000</f>
        <v>1095440</v>
      </c>
      <c r="O411" s="3244"/>
      <c r="P411" s="3244"/>
      <c r="Q411" s="3244"/>
      <c r="R411" s="3244">
        <f t="shared" si="83"/>
        <v>1145440</v>
      </c>
      <c r="S411" s="3244"/>
      <c r="T411" s="3236"/>
      <c r="U411" s="3236"/>
      <c r="V411" s="3236"/>
      <c r="W411" s="3236"/>
      <c r="X411" s="3244">
        <f t="shared" si="84"/>
        <v>1145440</v>
      </c>
      <c r="Y411" s="3244">
        <f t="shared" si="85"/>
        <v>1000000</v>
      </c>
      <c r="Z411" s="3285">
        <f t="shared" si="86"/>
        <v>0.53389514505183089</v>
      </c>
      <c r="AA411" s="3226" t="s">
        <v>3319</v>
      </c>
      <c r="AB411" s="3226" t="s">
        <v>4587</v>
      </c>
      <c r="AC411" s="3226" t="s">
        <v>4698</v>
      </c>
      <c r="AD411" s="3286" t="s">
        <v>4773</v>
      </c>
      <c r="AE411" s="3286" t="s">
        <v>4774</v>
      </c>
      <c r="AF411" s="3286"/>
      <c r="AG411" s="3323"/>
      <c r="AH411" s="3255"/>
      <c r="AI411" s="3255"/>
      <c r="AJ411" s="3255"/>
      <c r="AK411" s="3287" t="str">
        <f t="shared" si="87"/>
        <v/>
      </c>
      <c r="AL411" s="3288" t="str">
        <f t="shared" si="88"/>
        <v/>
      </c>
      <c r="AM411" s="3226"/>
      <c r="AN411" s="3289"/>
      <c r="AO411" s="3300"/>
      <c r="AP411" s="3300"/>
      <c r="AQ411" s="3300"/>
      <c r="AR411" s="3292"/>
      <c r="AS411" s="3292"/>
      <c r="AT411" s="3292"/>
      <c r="AU411" s="3293"/>
      <c r="AV411" s="3293"/>
      <c r="AW411" s="3294"/>
      <c r="AX411" s="3236"/>
      <c r="AY411" s="3244"/>
      <c r="AZ411" s="3325" t="s">
        <v>4448</v>
      </c>
      <c r="BA411" s="3296" t="str">
        <f t="shared" si="89"/>
        <v>签约</v>
      </c>
      <c r="BB411" s="3226"/>
      <c r="BC411" s="3226"/>
      <c r="BD411" s="3292"/>
      <c r="BE411" s="3297" t="s">
        <v>4449</v>
      </c>
      <c r="BG411" s="3297">
        <f>IFERROR(VLOOKUP(B411,[3]Sheet2!A$1:B$65536,2,FALSE),0)</f>
        <v>0</v>
      </c>
      <c r="BI411" s="3297">
        <f>IFERROR(VLOOKUP(B411,[3]Sheet2!A$1:C$65536,2,FALSE),0)</f>
        <v>0</v>
      </c>
      <c r="BJ411" s="3297">
        <f>IFERROR(VLOOKUP(B411,[3]Sheet2!A$1:C$65536,3,FALSE),0)</f>
        <v>0</v>
      </c>
    </row>
    <row r="412" spans="1:64" s="3261" customFormat="1" ht="20.25" customHeight="1">
      <c r="A412" s="3226">
        <v>410</v>
      </c>
      <c r="B412" s="3250" t="s">
        <v>3964</v>
      </c>
      <c r="C412" s="3227" t="s">
        <v>3333</v>
      </c>
      <c r="D412" s="3251" t="s">
        <v>3965</v>
      </c>
      <c r="E412" s="3229">
        <v>44023</v>
      </c>
      <c r="F412" s="3230">
        <v>50000</v>
      </c>
      <c r="G412" s="3231">
        <v>135.32</v>
      </c>
      <c r="H412" s="3231" t="str">
        <f t="shared" si="80"/>
        <v>普通住宅</v>
      </c>
      <c r="I412" s="3230">
        <v>2193341</v>
      </c>
      <c r="J412" s="3229">
        <v>44027</v>
      </c>
      <c r="K412" s="3284">
        <f t="shared" si="81"/>
        <v>7</v>
      </c>
      <c r="L412" s="3230">
        <v>2173341</v>
      </c>
      <c r="M412" s="3235">
        <f t="shared" si="82"/>
        <v>16060.752290866096</v>
      </c>
      <c r="N412" s="3236">
        <v>1323341</v>
      </c>
      <c r="O412" s="3244"/>
      <c r="P412" s="3244"/>
      <c r="Q412" s="3244"/>
      <c r="R412" s="3244">
        <f t="shared" si="83"/>
        <v>1373341</v>
      </c>
      <c r="S412" s="3244"/>
      <c r="T412" s="3236"/>
      <c r="U412" s="3236"/>
      <c r="V412" s="3236">
        <v>800000</v>
      </c>
      <c r="W412" s="3236"/>
      <c r="X412" s="3244">
        <f t="shared" si="84"/>
        <v>2173341</v>
      </c>
      <c r="Y412" s="3244">
        <f t="shared" si="85"/>
        <v>0</v>
      </c>
      <c r="Z412" s="3285">
        <f t="shared" si="86"/>
        <v>1</v>
      </c>
      <c r="AA412" s="3226" t="s">
        <v>3319</v>
      </c>
      <c r="AB412" s="3226" t="s">
        <v>4587</v>
      </c>
      <c r="AC412" s="3226" t="s">
        <v>4452</v>
      </c>
      <c r="AD412" s="3286" t="s">
        <v>4539</v>
      </c>
      <c r="AE412" s="3286" t="s">
        <v>4427</v>
      </c>
      <c r="AF412" s="3286"/>
      <c r="AG412" s="3323"/>
      <c r="AH412" s="3255">
        <v>44031</v>
      </c>
      <c r="AI412" s="3255">
        <v>44032</v>
      </c>
      <c r="AJ412" s="3255">
        <v>44041</v>
      </c>
      <c r="AK412" s="3287">
        <f t="shared" si="87"/>
        <v>2020</v>
      </c>
      <c r="AL412" s="3288">
        <f t="shared" si="88"/>
        <v>7</v>
      </c>
      <c r="AM412" s="3226" t="s">
        <v>4739</v>
      </c>
      <c r="AN412" s="3289">
        <v>800000</v>
      </c>
      <c r="AO412" s="3300"/>
      <c r="AP412" s="3300"/>
      <c r="AQ412" s="3300"/>
      <c r="AR412" s="3292"/>
      <c r="AS412" s="3292"/>
      <c r="AT412" s="3292"/>
      <c r="AU412" s="3293"/>
      <c r="AV412" s="3293"/>
      <c r="AW412" s="3294"/>
      <c r="AX412" s="3236"/>
      <c r="AY412" s="3244"/>
      <c r="AZ412" s="3325" t="s">
        <v>4886</v>
      </c>
      <c r="BA412" s="3296" t="str">
        <f t="shared" si="89"/>
        <v>签约</v>
      </c>
      <c r="BB412" s="3226"/>
      <c r="BC412" s="3226"/>
      <c r="BD412" s="3292"/>
      <c r="BE412" s="3297" t="s">
        <v>4696</v>
      </c>
      <c r="BG412" s="3297">
        <f>IFERROR(VLOOKUP(B412,[3]Sheet2!A$1:B$65536,2,FALSE),0)</f>
        <v>800000</v>
      </c>
      <c r="BI412" s="3297">
        <f>IFERROR(VLOOKUP(B412,[3]Sheet2!A$1:C$65536,2,FALSE),0)</f>
        <v>800000</v>
      </c>
      <c r="BJ412" s="3297" t="str">
        <f>IFERROR(VLOOKUP(B412,[3]Sheet2!A$1:C$65536,3,FALSE),0)</f>
        <v>交通银行常州武进支行</v>
      </c>
      <c r="BL412" s="3261">
        <f>BI412-AN412</f>
        <v>0</v>
      </c>
    </row>
    <row r="413" spans="1:64" s="3261" customFormat="1" ht="20.25" customHeight="1">
      <c r="A413" s="3226">
        <v>411</v>
      </c>
      <c r="B413" s="3250" t="s">
        <v>3966</v>
      </c>
      <c r="C413" s="3227" t="s">
        <v>3333</v>
      </c>
      <c r="D413" s="3251" t="s">
        <v>3967</v>
      </c>
      <c r="E413" s="3229">
        <v>44025</v>
      </c>
      <c r="F413" s="3230">
        <v>50000</v>
      </c>
      <c r="G413" s="3231">
        <v>135.32</v>
      </c>
      <c r="H413" s="3231" t="str">
        <f t="shared" si="80"/>
        <v>普通住宅</v>
      </c>
      <c r="I413" s="3230">
        <v>2221242</v>
      </c>
      <c r="J413" s="3229">
        <v>44025</v>
      </c>
      <c r="K413" s="3284">
        <f t="shared" si="81"/>
        <v>7</v>
      </c>
      <c r="L413" s="3230">
        <v>2201242</v>
      </c>
      <c r="M413" s="3235">
        <f t="shared" si="82"/>
        <v>16266.937629323087</v>
      </c>
      <c r="N413" s="3236">
        <f>570000+1581242</f>
        <v>2151242</v>
      </c>
      <c r="O413" s="3244"/>
      <c r="P413" s="3244"/>
      <c r="Q413" s="3244"/>
      <c r="R413" s="3244">
        <f t="shared" si="83"/>
        <v>2201242</v>
      </c>
      <c r="S413" s="3244"/>
      <c r="T413" s="3236"/>
      <c r="U413" s="3236"/>
      <c r="V413" s="3236"/>
      <c r="W413" s="3236"/>
      <c r="X413" s="3244">
        <f t="shared" si="84"/>
        <v>2201242</v>
      </c>
      <c r="Y413" s="3244">
        <f t="shared" si="85"/>
        <v>0</v>
      </c>
      <c r="Z413" s="3285">
        <f t="shared" si="86"/>
        <v>1</v>
      </c>
      <c r="AA413" s="3226" t="s">
        <v>3319</v>
      </c>
      <c r="AB413" s="3226" t="s">
        <v>4676</v>
      </c>
      <c r="AC413" s="3226"/>
      <c r="AD413" s="3286"/>
      <c r="AE413" s="3286"/>
      <c r="AF413" s="3286"/>
      <c r="AG413" s="3323"/>
      <c r="AH413" s="3255"/>
      <c r="AI413" s="3255"/>
      <c r="AJ413" s="3255"/>
      <c r="AK413" s="3287" t="str">
        <f t="shared" si="87"/>
        <v/>
      </c>
      <c r="AL413" s="3288" t="str">
        <f t="shared" si="88"/>
        <v/>
      </c>
      <c r="AM413" s="3226"/>
      <c r="AN413" s="3289"/>
      <c r="AO413" s="3300"/>
      <c r="AP413" s="3300"/>
      <c r="AQ413" s="3300"/>
      <c r="AR413" s="3292"/>
      <c r="AS413" s="3292"/>
      <c r="AT413" s="3292"/>
      <c r="AU413" s="3293"/>
      <c r="AV413" s="3293"/>
      <c r="AW413" s="3294"/>
      <c r="AX413" s="3236"/>
      <c r="AY413" s="3244"/>
      <c r="AZ413" s="3325" t="s">
        <v>4429</v>
      </c>
      <c r="BA413" s="3296" t="str">
        <f t="shared" si="89"/>
        <v>签约</v>
      </c>
      <c r="BB413" s="3226"/>
      <c r="BC413" s="3226"/>
      <c r="BD413" s="3292"/>
      <c r="BE413" s="3297" t="s">
        <v>4367</v>
      </c>
      <c r="BG413" s="3297">
        <f>IFERROR(VLOOKUP(B413,[3]Sheet2!A$1:B$65536,2,FALSE),0)</f>
        <v>0</v>
      </c>
      <c r="BI413" s="3297">
        <f>IFERROR(VLOOKUP(B413,[3]Sheet2!A$1:C$65536,2,FALSE),0)</f>
        <v>0</v>
      </c>
      <c r="BJ413" s="3297">
        <f>IFERROR(VLOOKUP(B413,[3]Sheet2!A$1:C$65536,3,FALSE),0)</f>
        <v>0</v>
      </c>
    </row>
    <row r="414" spans="1:64" s="3261" customFormat="1" ht="20.25" customHeight="1">
      <c r="A414" s="3226">
        <v>412</v>
      </c>
      <c r="B414" s="3250" t="s">
        <v>3968</v>
      </c>
      <c r="C414" s="3227" t="s">
        <v>3333</v>
      </c>
      <c r="D414" s="3251" t="s">
        <v>3969</v>
      </c>
      <c r="E414" s="3229">
        <v>44031</v>
      </c>
      <c r="F414" s="3230">
        <v>50000</v>
      </c>
      <c r="G414" s="3231">
        <v>135.32</v>
      </c>
      <c r="H414" s="3231" t="str">
        <f t="shared" si="80"/>
        <v>普通住宅</v>
      </c>
      <c r="I414" s="3230">
        <v>2095688</v>
      </c>
      <c r="J414" s="3229">
        <v>44043</v>
      </c>
      <c r="K414" s="3284">
        <f t="shared" si="81"/>
        <v>7</v>
      </c>
      <c r="L414" s="3230">
        <v>2095688</v>
      </c>
      <c r="M414" s="3235">
        <f t="shared" si="82"/>
        <v>15486.905113804316</v>
      </c>
      <c r="N414" s="3236">
        <v>585688</v>
      </c>
      <c r="O414" s="3244"/>
      <c r="P414" s="3244"/>
      <c r="Q414" s="3244"/>
      <c r="R414" s="3244">
        <f t="shared" si="83"/>
        <v>635688</v>
      </c>
      <c r="S414" s="3244"/>
      <c r="T414" s="3236"/>
      <c r="U414" s="3236"/>
      <c r="V414" s="3236"/>
      <c r="W414" s="3236"/>
      <c r="X414" s="3244">
        <f t="shared" si="84"/>
        <v>635688</v>
      </c>
      <c r="Y414" s="3244">
        <f t="shared" si="85"/>
        <v>1460000</v>
      </c>
      <c r="Z414" s="3285">
        <f t="shared" si="86"/>
        <v>0.30333141192772972</v>
      </c>
      <c r="AA414" s="3226" t="s">
        <v>3319</v>
      </c>
      <c r="AB414" s="3226" t="s">
        <v>4587</v>
      </c>
      <c r="AC414" s="3226" t="s">
        <v>4698</v>
      </c>
      <c r="AD414" s="3286" t="s">
        <v>4773</v>
      </c>
      <c r="AE414" s="3286" t="s">
        <v>4774</v>
      </c>
      <c r="AF414" s="3286"/>
      <c r="AG414" s="3323"/>
      <c r="AH414" s="3255"/>
      <c r="AI414" s="3255"/>
      <c r="AJ414" s="3255"/>
      <c r="AK414" s="3287" t="str">
        <f t="shared" si="87"/>
        <v/>
      </c>
      <c r="AL414" s="3288" t="str">
        <f t="shared" si="88"/>
        <v/>
      </c>
      <c r="AM414" s="3226"/>
      <c r="AN414" s="3289"/>
      <c r="AO414" s="3300"/>
      <c r="AP414" s="3300"/>
      <c r="AQ414" s="3300"/>
      <c r="AR414" s="3292"/>
      <c r="AS414" s="3292"/>
      <c r="AT414" s="3292"/>
      <c r="AU414" s="3293"/>
      <c r="AV414" s="3293"/>
      <c r="AW414" s="3294"/>
      <c r="AX414" s="3236"/>
      <c r="AY414" s="3244"/>
      <c r="AZ414" s="3325" t="s">
        <v>4441</v>
      </c>
      <c r="BA414" s="3296" t="str">
        <f t="shared" si="89"/>
        <v>签约</v>
      </c>
      <c r="BB414" s="3226"/>
      <c r="BC414" s="3226"/>
      <c r="BD414" s="3292"/>
      <c r="BE414" s="3297" t="s">
        <v>4367</v>
      </c>
      <c r="BG414" s="3297">
        <f>IFERROR(VLOOKUP(B414,[3]Sheet2!A$1:B$65536,2,FALSE),0)</f>
        <v>0</v>
      </c>
      <c r="BI414" s="3297">
        <f>IFERROR(VLOOKUP(B414,[3]Sheet2!A$1:C$65536,2,FALSE),0)</f>
        <v>0</v>
      </c>
      <c r="BJ414" s="3297">
        <f>IFERROR(VLOOKUP(B414,[3]Sheet2!A$1:C$65536,3,FALSE),0)</f>
        <v>0</v>
      </c>
    </row>
    <row r="415" spans="1:64" s="3261" customFormat="1" ht="20.25" customHeight="1">
      <c r="A415" s="3226">
        <v>413</v>
      </c>
      <c r="B415" s="3250" t="s">
        <v>3970</v>
      </c>
      <c r="C415" s="3227" t="s">
        <v>3333</v>
      </c>
      <c r="D415" s="3251" t="s">
        <v>3971</v>
      </c>
      <c r="E415" s="3229">
        <v>44023</v>
      </c>
      <c r="F415" s="3230">
        <v>50000</v>
      </c>
      <c r="G415" s="3231">
        <v>135.22</v>
      </c>
      <c r="H415" s="3231" t="str">
        <f t="shared" si="80"/>
        <v>普通住宅</v>
      </c>
      <c r="I415" s="3230">
        <v>1991415</v>
      </c>
      <c r="J415" s="3229">
        <v>44030</v>
      </c>
      <c r="K415" s="3284">
        <f t="shared" si="81"/>
        <v>7</v>
      </c>
      <c r="L415" s="3230">
        <v>1971415</v>
      </c>
      <c r="M415" s="3235">
        <f t="shared" si="82"/>
        <v>14579.315190060643</v>
      </c>
      <c r="N415" s="3236">
        <f>551415+370000</f>
        <v>921415</v>
      </c>
      <c r="O415" s="3244"/>
      <c r="P415" s="3244"/>
      <c r="Q415" s="3244"/>
      <c r="R415" s="3244">
        <f t="shared" si="83"/>
        <v>971415</v>
      </c>
      <c r="S415" s="3244"/>
      <c r="T415" s="3236"/>
      <c r="U415" s="3236"/>
      <c r="V415" s="3236">
        <v>1000000</v>
      </c>
      <c r="W415" s="3236"/>
      <c r="X415" s="3244">
        <f t="shared" si="84"/>
        <v>1971415</v>
      </c>
      <c r="Y415" s="3244">
        <f t="shared" si="85"/>
        <v>0</v>
      </c>
      <c r="Z415" s="3285">
        <f t="shared" si="86"/>
        <v>1</v>
      </c>
      <c r="AA415" s="3226" t="s">
        <v>3319</v>
      </c>
      <c r="AB415" s="3226" t="s">
        <v>4587</v>
      </c>
      <c r="AC415" s="3226" t="s">
        <v>4698</v>
      </c>
      <c r="AD415" s="3286" t="s">
        <v>4539</v>
      </c>
      <c r="AE415" s="3286" t="s">
        <v>4427</v>
      </c>
      <c r="AF415" s="3286"/>
      <c r="AG415" s="3323"/>
      <c r="AH415" s="3255">
        <v>44037</v>
      </c>
      <c r="AI415" s="3255">
        <v>44037</v>
      </c>
      <c r="AJ415" s="3255">
        <v>44042</v>
      </c>
      <c r="AK415" s="3287">
        <f t="shared" si="87"/>
        <v>2020</v>
      </c>
      <c r="AL415" s="3288">
        <f t="shared" si="88"/>
        <v>7</v>
      </c>
      <c r="AM415" s="3226" t="s">
        <v>4881</v>
      </c>
      <c r="AN415" s="3289">
        <v>1000000</v>
      </c>
      <c r="AO415" s="3300"/>
      <c r="AP415" s="3300"/>
      <c r="AQ415" s="3300"/>
      <c r="AR415" s="3292"/>
      <c r="AS415" s="3292"/>
      <c r="AT415" s="3292"/>
      <c r="AU415" s="3293"/>
      <c r="AV415" s="3293"/>
      <c r="AW415" s="3294"/>
      <c r="AX415" s="3236"/>
      <c r="AY415" s="3244"/>
      <c r="AZ415" s="3325" t="s">
        <v>3385</v>
      </c>
      <c r="BA415" s="3296" t="str">
        <f t="shared" si="89"/>
        <v>签约</v>
      </c>
      <c r="BB415" s="3226"/>
      <c r="BC415" s="3226"/>
      <c r="BD415" s="3292"/>
      <c r="BE415" s="3297" t="s">
        <v>4449</v>
      </c>
      <c r="BG415" s="3297">
        <f>IFERROR(VLOOKUP(B415,[3]Sheet2!A$1:B$65536,2,FALSE),0)</f>
        <v>0</v>
      </c>
      <c r="BI415" s="3297">
        <f>IFERROR(VLOOKUP(B415,[3]Sheet2!A$1:C$65536,2,FALSE),0)</f>
        <v>0</v>
      </c>
      <c r="BJ415" s="3297">
        <f>IFERROR(VLOOKUP(B415,[3]Sheet2!A$1:C$65536,3,FALSE),0)</f>
        <v>0</v>
      </c>
    </row>
    <row r="416" spans="1:64" s="3261" customFormat="1" ht="20.25" customHeight="1">
      <c r="A416" s="3226">
        <v>414</v>
      </c>
      <c r="B416" s="3250" t="s">
        <v>3972</v>
      </c>
      <c r="C416" s="3227" t="s">
        <v>3333</v>
      </c>
      <c r="D416" s="3251" t="s">
        <v>3973</v>
      </c>
      <c r="E416" s="3229">
        <v>44029</v>
      </c>
      <c r="F416" s="3230">
        <v>50000</v>
      </c>
      <c r="G416" s="3231">
        <v>135.32</v>
      </c>
      <c r="H416" s="3231" t="str">
        <f t="shared" si="80"/>
        <v>普通住宅</v>
      </c>
      <c r="I416" s="3230">
        <v>2020774</v>
      </c>
      <c r="J416" s="3229">
        <v>44029</v>
      </c>
      <c r="K416" s="3284">
        <f t="shared" si="81"/>
        <v>7</v>
      </c>
      <c r="L416" s="3230">
        <v>2000774</v>
      </c>
      <c r="M416" s="3235">
        <f t="shared" si="82"/>
        <v>14785.501034584689</v>
      </c>
      <c r="N416" s="3236">
        <v>550774</v>
      </c>
      <c r="O416" s="3244"/>
      <c r="P416" s="3244"/>
      <c r="Q416" s="3244"/>
      <c r="R416" s="3244">
        <f t="shared" si="83"/>
        <v>600774</v>
      </c>
      <c r="S416" s="3244"/>
      <c r="T416" s="3236"/>
      <c r="U416" s="3236"/>
      <c r="V416" s="3236"/>
      <c r="W416" s="3236"/>
      <c r="X416" s="3244">
        <f t="shared" si="84"/>
        <v>600774</v>
      </c>
      <c r="Y416" s="3244">
        <f t="shared" si="85"/>
        <v>1400000</v>
      </c>
      <c r="Z416" s="3285">
        <f t="shared" si="86"/>
        <v>0.30027079520225675</v>
      </c>
      <c r="AA416" s="3226" t="s">
        <v>3319</v>
      </c>
      <c r="AB416" s="3226" t="s">
        <v>4587</v>
      </c>
      <c r="AC416" s="3226" t="s">
        <v>4698</v>
      </c>
      <c r="AD416" s="3286" t="s">
        <v>4773</v>
      </c>
      <c r="AE416" s="3286" t="s">
        <v>4774</v>
      </c>
      <c r="AF416" s="3286"/>
      <c r="AG416" s="3323"/>
      <c r="AH416" s="3255"/>
      <c r="AI416" s="3255"/>
      <c r="AJ416" s="3255"/>
      <c r="AK416" s="3287" t="str">
        <f t="shared" si="87"/>
        <v/>
      </c>
      <c r="AL416" s="3288" t="str">
        <f t="shared" si="88"/>
        <v/>
      </c>
      <c r="AM416" s="3226"/>
      <c r="AN416" s="3289"/>
      <c r="AO416" s="3300"/>
      <c r="AP416" s="3300"/>
      <c r="AQ416" s="3300"/>
      <c r="AR416" s="3292"/>
      <c r="AS416" s="3292"/>
      <c r="AT416" s="3292"/>
      <c r="AU416" s="3293"/>
      <c r="AV416" s="3293"/>
      <c r="AW416" s="3294"/>
      <c r="AX416" s="3236"/>
      <c r="AY416" s="3244"/>
      <c r="AZ416" s="3325" t="s">
        <v>4448</v>
      </c>
      <c r="BA416" s="3296" t="str">
        <f t="shared" si="89"/>
        <v>签约</v>
      </c>
      <c r="BB416" s="3226"/>
      <c r="BC416" s="3226"/>
      <c r="BD416" s="3292"/>
      <c r="BE416" s="3297" t="s">
        <v>4367</v>
      </c>
      <c r="BG416" s="3297">
        <f>IFERROR(VLOOKUP(B416,[3]Sheet2!A$1:B$65536,2,FALSE),0)</f>
        <v>0</v>
      </c>
      <c r="BI416" s="3297">
        <f>IFERROR(VLOOKUP(B416,[3]Sheet2!A$1:C$65536,2,FALSE),0)</f>
        <v>0</v>
      </c>
      <c r="BJ416" s="3297">
        <f>IFERROR(VLOOKUP(B416,[3]Sheet2!A$1:C$65536,3,FALSE),0)</f>
        <v>0</v>
      </c>
    </row>
    <row r="417" spans="1:64" s="3261" customFormat="1" ht="20.25" customHeight="1">
      <c r="A417" s="3226">
        <v>415</v>
      </c>
      <c r="B417" s="3250" t="s">
        <v>3974</v>
      </c>
      <c r="C417" s="3227" t="s">
        <v>3333</v>
      </c>
      <c r="D417" s="3251" t="s">
        <v>3975</v>
      </c>
      <c r="E417" s="3229">
        <v>44023</v>
      </c>
      <c r="F417" s="3230">
        <v>50000</v>
      </c>
      <c r="G417" s="3231">
        <v>135.32</v>
      </c>
      <c r="H417" s="3231" t="str">
        <f t="shared" si="80"/>
        <v>普通住宅</v>
      </c>
      <c r="I417" s="3230">
        <v>2048675</v>
      </c>
      <c r="J417" s="3229">
        <v>44030</v>
      </c>
      <c r="K417" s="3284">
        <f t="shared" si="81"/>
        <v>7</v>
      </c>
      <c r="L417" s="3230">
        <v>2028675</v>
      </c>
      <c r="M417" s="3235">
        <f t="shared" si="82"/>
        <v>14991.686373041679</v>
      </c>
      <c r="N417" s="3236">
        <v>558675</v>
      </c>
      <c r="O417" s="3244"/>
      <c r="P417" s="3244"/>
      <c r="Q417" s="3244"/>
      <c r="R417" s="3244">
        <f t="shared" si="83"/>
        <v>608675</v>
      </c>
      <c r="S417" s="3244"/>
      <c r="T417" s="3236"/>
      <c r="U417" s="3236"/>
      <c r="V417" s="3236">
        <v>1420000</v>
      </c>
      <c r="W417" s="3236"/>
      <c r="X417" s="3244">
        <f t="shared" si="84"/>
        <v>2028675</v>
      </c>
      <c r="Y417" s="3244">
        <f t="shared" si="85"/>
        <v>0</v>
      </c>
      <c r="Z417" s="3285">
        <f t="shared" si="86"/>
        <v>1</v>
      </c>
      <c r="AA417" s="3226" t="s">
        <v>3319</v>
      </c>
      <c r="AB417" s="3226" t="s">
        <v>4587</v>
      </c>
      <c r="AC417" s="3226" t="s">
        <v>4698</v>
      </c>
      <c r="AD417" s="3286" t="s">
        <v>4539</v>
      </c>
      <c r="AE417" s="3286" t="s">
        <v>4427</v>
      </c>
      <c r="AF417" s="3286"/>
      <c r="AG417" s="3323"/>
      <c r="AH417" s="3255">
        <v>44030</v>
      </c>
      <c r="AI417" s="3255">
        <v>44030</v>
      </c>
      <c r="AJ417" s="3255">
        <v>44042</v>
      </c>
      <c r="AK417" s="3287">
        <f t="shared" si="87"/>
        <v>2020</v>
      </c>
      <c r="AL417" s="3288">
        <f t="shared" si="88"/>
        <v>7</v>
      </c>
      <c r="AM417" s="3226" t="s">
        <v>4890</v>
      </c>
      <c r="AN417" s="3289">
        <v>1420000</v>
      </c>
      <c r="AO417" s="3300"/>
      <c r="AP417" s="3300"/>
      <c r="AQ417" s="3300"/>
      <c r="AR417" s="3292"/>
      <c r="AS417" s="3292"/>
      <c r="AT417" s="3292"/>
      <c r="AU417" s="3293"/>
      <c r="AV417" s="3293"/>
      <c r="AW417" s="3294"/>
      <c r="AX417" s="3236"/>
      <c r="AY417" s="3244"/>
      <c r="AZ417" s="3325" t="s">
        <v>4429</v>
      </c>
      <c r="BA417" s="3296" t="str">
        <f t="shared" si="89"/>
        <v>签约</v>
      </c>
      <c r="BB417" s="3226"/>
      <c r="BC417" s="3226"/>
      <c r="BD417" s="3292"/>
      <c r="BE417" s="3297" t="s">
        <v>4367</v>
      </c>
      <c r="BG417" s="3297">
        <f>IFERROR(VLOOKUP(B417,[3]Sheet2!A$1:B$65536,2,FALSE),0)</f>
        <v>0</v>
      </c>
      <c r="BI417" s="3297">
        <f>IFERROR(VLOOKUP(B417,[3]Sheet2!A$1:C$65536,2,FALSE),0)</f>
        <v>0</v>
      </c>
      <c r="BJ417" s="3297">
        <f>IFERROR(VLOOKUP(B417,[3]Sheet2!A$1:C$65536,3,FALSE),0)</f>
        <v>0</v>
      </c>
    </row>
    <row r="418" spans="1:64" s="3261" customFormat="1" ht="20.25" customHeight="1">
      <c r="A418" s="3226">
        <v>416</v>
      </c>
      <c r="B418" s="3250" t="s">
        <v>3976</v>
      </c>
      <c r="C418" s="3227" t="s">
        <v>3333</v>
      </c>
      <c r="D418" s="3251" t="s">
        <v>3977</v>
      </c>
      <c r="E418" s="3229">
        <v>44023</v>
      </c>
      <c r="F418" s="3230">
        <v>50000</v>
      </c>
      <c r="G418" s="3231">
        <v>135.32</v>
      </c>
      <c r="H418" s="3231" t="str">
        <f t="shared" si="80"/>
        <v>普通住宅</v>
      </c>
      <c r="I418" s="3230">
        <v>2076576</v>
      </c>
      <c r="J418" s="3229">
        <v>44028</v>
      </c>
      <c r="K418" s="3284">
        <f t="shared" si="81"/>
        <v>7</v>
      </c>
      <c r="L418" s="3230">
        <v>2056576</v>
      </c>
      <c r="M418" s="3235">
        <f t="shared" si="82"/>
        <v>15197.87171149867</v>
      </c>
      <c r="N418" s="3236">
        <v>1026576</v>
      </c>
      <c r="O418" s="3244"/>
      <c r="P418" s="3244"/>
      <c r="Q418" s="3244"/>
      <c r="R418" s="3244">
        <f t="shared" si="83"/>
        <v>1076576</v>
      </c>
      <c r="S418" s="3244"/>
      <c r="T418" s="3236"/>
      <c r="U418" s="3236"/>
      <c r="V418" s="3236">
        <v>680000</v>
      </c>
      <c r="W418" s="3236"/>
      <c r="X418" s="3244">
        <f t="shared" si="84"/>
        <v>1756576</v>
      </c>
      <c r="Y418" s="3244">
        <f t="shared" si="85"/>
        <v>300000</v>
      </c>
      <c r="Z418" s="3285">
        <f t="shared" si="86"/>
        <v>0.85412647040517831</v>
      </c>
      <c r="AA418" s="3226" t="s">
        <v>3319</v>
      </c>
      <c r="AB418" s="3226" t="s">
        <v>4587</v>
      </c>
      <c r="AC418" s="3226" t="s">
        <v>4698</v>
      </c>
      <c r="AD418" s="3286" t="s">
        <v>4539</v>
      </c>
      <c r="AE418" s="3286" t="s">
        <v>4427</v>
      </c>
      <c r="AF418" s="3286"/>
      <c r="AG418" s="3323"/>
      <c r="AH418" s="3255">
        <v>44037</v>
      </c>
      <c r="AI418" s="3255">
        <v>44037</v>
      </c>
      <c r="AJ418" s="3255">
        <v>44048</v>
      </c>
      <c r="AK418" s="3287">
        <f t="shared" si="87"/>
        <v>2020</v>
      </c>
      <c r="AL418" s="3288">
        <f t="shared" si="88"/>
        <v>8</v>
      </c>
      <c r="AM418" s="3226" t="s">
        <v>4440</v>
      </c>
      <c r="AN418" s="3289">
        <v>680000</v>
      </c>
      <c r="AO418" s="3300" t="s">
        <v>4539</v>
      </c>
      <c r="AP418" s="3300" t="s">
        <v>4901</v>
      </c>
      <c r="AQ418" s="3300"/>
      <c r="AR418" s="3292">
        <v>44037</v>
      </c>
      <c r="AS418" s="3292">
        <v>44037</v>
      </c>
      <c r="AT418" s="3292"/>
      <c r="AU418" s="3293"/>
      <c r="AV418" s="3293"/>
      <c r="AW418" s="3294" t="s">
        <v>4657</v>
      </c>
      <c r="AX418" s="3236">
        <v>300000</v>
      </c>
      <c r="AY418" s="3244"/>
      <c r="AZ418" s="3325" t="s">
        <v>4895</v>
      </c>
      <c r="BA418" s="3296" t="str">
        <f t="shared" si="89"/>
        <v>签约</v>
      </c>
      <c r="BB418" s="3226"/>
      <c r="BC418" s="3226"/>
      <c r="BD418" s="3292"/>
      <c r="BE418" s="3297" t="s">
        <v>4367</v>
      </c>
      <c r="BG418" s="3297">
        <f>IFERROR(VLOOKUP(B418,[3]Sheet2!A$1:B$65536,2,FALSE),0)</f>
        <v>0</v>
      </c>
      <c r="BI418" s="3297">
        <f>IFERROR(VLOOKUP(B418,[3]Sheet2!A$1:C$65536,2,FALSE),0)</f>
        <v>0</v>
      </c>
      <c r="BJ418" s="3297">
        <f>IFERROR(VLOOKUP(B418,[3]Sheet2!A$1:C$65536,3,FALSE),0)</f>
        <v>0</v>
      </c>
    </row>
    <row r="419" spans="1:64" s="3261" customFormat="1" ht="20.25" customHeight="1">
      <c r="A419" s="3226">
        <v>417</v>
      </c>
      <c r="B419" s="3250" t="s">
        <v>3978</v>
      </c>
      <c r="C419" s="3227" t="s">
        <v>3333</v>
      </c>
      <c r="D419" s="3251" t="s">
        <v>3979</v>
      </c>
      <c r="E419" s="3229">
        <v>44023</v>
      </c>
      <c r="F419" s="3230">
        <v>50000</v>
      </c>
      <c r="G419" s="3231">
        <v>135.32</v>
      </c>
      <c r="H419" s="3231" t="str">
        <f t="shared" si="80"/>
        <v>普通住宅</v>
      </c>
      <c r="I419" s="3230">
        <v>2104477</v>
      </c>
      <c r="J419" s="3229">
        <v>44028</v>
      </c>
      <c r="K419" s="3284">
        <f t="shared" si="81"/>
        <v>7</v>
      </c>
      <c r="L419" s="3230">
        <v>2104477</v>
      </c>
      <c r="M419" s="3235">
        <f t="shared" si="82"/>
        <v>15551.854862548034</v>
      </c>
      <c r="N419" s="3236">
        <v>584477</v>
      </c>
      <c r="O419" s="3244"/>
      <c r="P419" s="3244"/>
      <c r="Q419" s="3244"/>
      <c r="R419" s="3244">
        <f t="shared" si="83"/>
        <v>634477</v>
      </c>
      <c r="S419" s="3244"/>
      <c r="T419" s="3236"/>
      <c r="U419" s="3236"/>
      <c r="V419" s="3236"/>
      <c r="W419" s="3236"/>
      <c r="X419" s="3244">
        <f t="shared" si="84"/>
        <v>634477</v>
      </c>
      <c r="Y419" s="3244">
        <f t="shared" si="85"/>
        <v>1470000</v>
      </c>
      <c r="Z419" s="3285">
        <f t="shared" si="86"/>
        <v>0.30148915858904612</v>
      </c>
      <c r="AA419" s="3226" t="s">
        <v>3319</v>
      </c>
      <c r="AB419" s="3226" t="s">
        <v>4587</v>
      </c>
      <c r="AC419" s="3226" t="s">
        <v>4698</v>
      </c>
      <c r="AD419" s="3286" t="s">
        <v>4773</v>
      </c>
      <c r="AE419" s="3286" t="s">
        <v>4877</v>
      </c>
      <c r="AF419" s="3286"/>
      <c r="AG419" s="3323"/>
      <c r="AH419" s="3255">
        <v>44029</v>
      </c>
      <c r="AI419" s="3255"/>
      <c r="AJ419" s="3255"/>
      <c r="AK419" s="3287" t="str">
        <f t="shared" si="87"/>
        <v/>
      </c>
      <c r="AL419" s="3288" t="str">
        <f t="shared" si="88"/>
        <v/>
      </c>
      <c r="AM419" s="3226" t="s">
        <v>4739</v>
      </c>
      <c r="AN419" s="3289">
        <v>1470000</v>
      </c>
      <c r="AO419" s="3300"/>
      <c r="AP419" s="3300"/>
      <c r="AQ419" s="3300"/>
      <c r="AR419" s="3292"/>
      <c r="AS419" s="3292"/>
      <c r="AT419" s="3292"/>
      <c r="AU419" s="3293"/>
      <c r="AV419" s="3293"/>
      <c r="AW419" s="3294"/>
      <c r="AX419" s="3236"/>
      <c r="AY419" s="3244"/>
      <c r="AZ419" s="3325" t="s">
        <v>4441</v>
      </c>
      <c r="BA419" s="3296" t="str">
        <f t="shared" si="89"/>
        <v>签约</v>
      </c>
      <c r="BB419" s="3226"/>
      <c r="BC419" s="3226"/>
      <c r="BD419" s="3292"/>
      <c r="BE419" s="3297" t="s">
        <v>4367</v>
      </c>
      <c r="BG419" s="3297">
        <f>IFERROR(VLOOKUP(B419,[3]Sheet2!A$1:B$65536,2,FALSE),0)</f>
        <v>0</v>
      </c>
      <c r="BI419" s="3297">
        <f>IFERROR(VLOOKUP(B419,[3]Sheet2!A$1:C$65536,2,FALSE),0)</f>
        <v>0</v>
      </c>
      <c r="BJ419" s="3297">
        <f>IFERROR(VLOOKUP(B419,[3]Sheet2!A$1:C$65536,3,FALSE),0)</f>
        <v>0</v>
      </c>
    </row>
    <row r="420" spans="1:64" s="3261" customFormat="1" ht="20.25" customHeight="1">
      <c r="A420" s="3226">
        <v>418</v>
      </c>
      <c r="B420" s="3250" t="s">
        <v>3980</v>
      </c>
      <c r="C420" s="3227" t="s">
        <v>3333</v>
      </c>
      <c r="D420" s="3251" t="s">
        <v>3871</v>
      </c>
      <c r="E420" s="3229">
        <v>44028</v>
      </c>
      <c r="F420" s="3230">
        <v>0</v>
      </c>
      <c r="G420" s="3231">
        <v>135.32</v>
      </c>
      <c r="H420" s="3231" t="str">
        <f t="shared" si="80"/>
        <v>普通住宅</v>
      </c>
      <c r="I420" s="3230">
        <v>2132378</v>
      </c>
      <c r="J420" s="3229">
        <v>44028</v>
      </c>
      <c r="K420" s="3284">
        <f t="shared" si="81"/>
        <v>7</v>
      </c>
      <c r="L420" s="3230">
        <v>2132378</v>
      </c>
      <c r="M420" s="3235">
        <f t="shared" si="82"/>
        <v>15758.040201005026</v>
      </c>
      <c r="N420" s="3236">
        <v>642378</v>
      </c>
      <c r="O420" s="3244"/>
      <c r="P420" s="3244"/>
      <c r="Q420" s="3244"/>
      <c r="R420" s="3244">
        <f t="shared" si="83"/>
        <v>642378</v>
      </c>
      <c r="S420" s="3244"/>
      <c r="T420" s="3236"/>
      <c r="U420" s="3236"/>
      <c r="V420" s="3236">
        <v>1490000</v>
      </c>
      <c r="W420" s="3236"/>
      <c r="X420" s="3244">
        <f t="shared" si="84"/>
        <v>2132378</v>
      </c>
      <c r="Y420" s="3244">
        <f t="shared" si="85"/>
        <v>0</v>
      </c>
      <c r="Z420" s="3285">
        <f t="shared" si="86"/>
        <v>1</v>
      </c>
      <c r="AA420" s="3226" t="s">
        <v>3319</v>
      </c>
      <c r="AB420" s="3226" t="s">
        <v>4587</v>
      </c>
      <c r="AC420" s="3226" t="s">
        <v>4698</v>
      </c>
      <c r="AD420" s="3286" t="s">
        <v>4539</v>
      </c>
      <c r="AE420" s="3286" t="s">
        <v>4427</v>
      </c>
      <c r="AF420" s="3286"/>
      <c r="AG420" s="3323"/>
      <c r="AH420" s="3255">
        <v>44029</v>
      </c>
      <c r="AI420" s="3255">
        <v>44037</v>
      </c>
      <c r="AJ420" s="3255">
        <v>44042</v>
      </c>
      <c r="AK420" s="3287">
        <f t="shared" si="87"/>
        <v>2020</v>
      </c>
      <c r="AL420" s="3288">
        <f t="shared" si="88"/>
        <v>7</v>
      </c>
      <c r="AM420" s="3226" t="s">
        <v>4739</v>
      </c>
      <c r="AN420" s="3289">
        <v>1490000</v>
      </c>
      <c r="AO420" s="3300"/>
      <c r="AP420" s="3300"/>
      <c r="AQ420" s="3300"/>
      <c r="AR420" s="3292"/>
      <c r="AS420" s="3292"/>
      <c r="AT420" s="3292"/>
      <c r="AU420" s="3293"/>
      <c r="AV420" s="3293"/>
      <c r="AW420" s="3294"/>
      <c r="AX420" s="3236"/>
      <c r="AY420" s="3244"/>
      <c r="AZ420" s="3325" t="s">
        <v>4880</v>
      </c>
      <c r="BA420" s="3296" t="str">
        <f t="shared" si="89"/>
        <v>签约</v>
      </c>
      <c r="BB420" s="3226"/>
      <c r="BC420" s="3226"/>
      <c r="BD420" s="3292"/>
      <c r="BE420" s="3297" t="s">
        <v>4449</v>
      </c>
      <c r="BG420" s="3297">
        <f>IFERROR(VLOOKUP(B420,[3]Sheet2!A$1:B$65536,2,FALSE),0)</f>
        <v>0</v>
      </c>
      <c r="BI420" s="3297">
        <f>IFERROR(VLOOKUP(B420,[3]Sheet2!A$1:C$65536,2,FALSE),0)</f>
        <v>0</v>
      </c>
      <c r="BJ420" s="3297">
        <f>IFERROR(VLOOKUP(B420,[3]Sheet2!A$1:C$65536,3,FALSE),0)</f>
        <v>0</v>
      </c>
    </row>
    <row r="421" spans="1:64" s="3261" customFormat="1" ht="20.25" customHeight="1">
      <c r="A421" s="3226">
        <v>419</v>
      </c>
      <c r="B421" s="3250" t="s">
        <v>3981</v>
      </c>
      <c r="C421" s="3227" t="s">
        <v>3333</v>
      </c>
      <c r="D421" s="3251" t="s">
        <v>3982</v>
      </c>
      <c r="E421" s="3229">
        <v>44023</v>
      </c>
      <c r="F421" s="3230">
        <v>50000</v>
      </c>
      <c r="G421" s="3231">
        <v>135.32</v>
      </c>
      <c r="H421" s="3231" t="str">
        <f t="shared" si="80"/>
        <v>普通住宅</v>
      </c>
      <c r="I421" s="3230">
        <v>2160279</v>
      </c>
      <c r="J421" s="3229">
        <v>44029</v>
      </c>
      <c r="K421" s="3284">
        <f t="shared" si="81"/>
        <v>7</v>
      </c>
      <c r="L421" s="3230">
        <v>2140279</v>
      </c>
      <c r="M421" s="3235">
        <f t="shared" si="82"/>
        <v>15816.427726869642</v>
      </c>
      <c r="N421" s="3236">
        <v>600279</v>
      </c>
      <c r="O421" s="3244"/>
      <c r="P421" s="3244"/>
      <c r="Q421" s="3244"/>
      <c r="R421" s="3244">
        <f t="shared" si="83"/>
        <v>650279</v>
      </c>
      <c r="S421" s="3244"/>
      <c r="T421" s="3236"/>
      <c r="U421" s="3236"/>
      <c r="V421" s="3236">
        <v>1490000</v>
      </c>
      <c r="W421" s="3236"/>
      <c r="X421" s="3244">
        <f t="shared" si="84"/>
        <v>2140279</v>
      </c>
      <c r="Y421" s="3244">
        <f t="shared" si="85"/>
        <v>0</v>
      </c>
      <c r="Z421" s="3285">
        <f t="shared" si="86"/>
        <v>1</v>
      </c>
      <c r="AA421" s="3226" t="s">
        <v>3319</v>
      </c>
      <c r="AB421" s="3226" t="s">
        <v>4587</v>
      </c>
      <c r="AC421" s="3226" t="s">
        <v>4698</v>
      </c>
      <c r="AD421" s="3286" t="s">
        <v>4539</v>
      </c>
      <c r="AE421" s="3286" t="s">
        <v>4427</v>
      </c>
      <c r="AF421" s="3286"/>
      <c r="AG421" s="3323"/>
      <c r="AH421" s="3255">
        <v>44031</v>
      </c>
      <c r="AI421" s="3255">
        <v>44032</v>
      </c>
      <c r="AJ421" s="3255">
        <v>44043</v>
      </c>
      <c r="AK421" s="3287">
        <f t="shared" si="87"/>
        <v>2020</v>
      </c>
      <c r="AL421" s="3288">
        <f t="shared" si="88"/>
        <v>7</v>
      </c>
      <c r="AM421" s="3226" t="s">
        <v>4792</v>
      </c>
      <c r="AN421" s="3289">
        <v>1490000</v>
      </c>
      <c r="AO421" s="3300"/>
      <c r="AP421" s="3300"/>
      <c r="AQ421" s="3300"/>
      <c r="AR421" s="3292"/>
      <c r="AS421" s="3292"/>
      <c r="AT421" s="3292"/>
      <c r="AU421" s="3293"/>
      <c r="AV421" s="3293"/>
      <c r="AW421" s="3294"/>
      <c r="AX421" s="3236"/>
      <c r="AY421" s="3244"/>
      <c r="AZ421" s="3325" t="s">
        <v>4886</v>
      </c>
      <c r="BA421" s="3296" t="str">
        <f t="shared" si="89"/>
        <v>签约</v>
      </c>
      <c r="BB421" s="3226"/>
      <c r="BC421" s="3226"/>
      <c r="BD421" s="3292"/>
      <c r="BE421" s="3297" t="s">
        <v>4696</v>
      </c>
      <c r="BG421" s="3297">
        <f>IFERROR(VLOOKUP(B421,[3]Sheet2!A$1:B$65536,2,FALSE),0)</f>
        <v>0</v>
      </c>
      <c r="BI421" s="3297">
        <f>IFERROR(VLOOKUP(B421,[3]Sheet2!A$1:C$65536,2,FALSE),0)</f>
        <v>0</v>
      </c>
      <c r="BJ421" s="3297">
        <f>IFERROR(VLOOKUP(B421,[3]Sheet2!A$1:C$65536,3,FALSE),0)</f>
        <v>0</v>
      </c>
    </row>
    <row r="422" spans="1:64" s="3261" customFormat="1" ht="20.25" customHeight="1">
      <c r="A422" s="3226">
        <v>420</v>
      </c>
      <c r="B422" s="3250" t="s">
        <v>3983</v>
      </c>
      <c r="C422" s="3227" t="s">
        <v>3333</v>
      </c>
      <c r="D422" s="3251" t="s">
        <v>3984</v>
      </c>
      <c r="E422" s="3229">
        <v>44023</v>
      </c>
      <c r="F422" s="3230">
        <v>50000</v>
      </c>
      <c r="G422" s="3231">
        <v>135.32</v>
      </c>
      <c r="H422" s="3231" t="str">
        <f t="shared" si="80"/>
        <v>普通住宅</v>
      </c>
      <c r="I422" s="3230">
        <v>2188180</v>
      </c>
      <c r="J422" s="3229">
        <v>44029</v>
      </c>
      <c r="K422" s="3284">
        <f t="shared" si="81"/>
        <v>7</v>
      </c>
      <c r="L422" s="3230">
        <v>2168180</v>
      </c>
      <c r="M422" s="3235">
        <f t="shared" si="82"/>
        <v>16022.613065326634</v>
      </c>
      <c r="N422" s="3236">
        <f>700000+1418180</f>
        <v>2118180</v>
      </c>
      <c r="O422" s="3244"/>
      <c r="P422" s="3244"/>
      <c r="Q422" s="3244"/>
      <c r="R422" s="3244">
        <f t="shared" si="83"/>
        <v>2168180</v>
      </c>
      <c r="S422" s="3244"/>
      <c r="T422" s="3236"/>
      <c r="U422" s="3236"/>
      <c r="V422" s="3236"/>
      <c r="W422" s="3236"/>
      <c r="X422" s="3244">
        <f t="shared" si="84"/>
        <v>2168180</v>
      </c>
      <c r="Y422" s="3244">
        <f t="shared" si="85"/>
        <v>0</v>
      </c>
      <c r="Z422" s="3285">
        <f t="shared" si="86"/>
        <v>1</v>
      </c>
      <c r="AA422" s="3226" t="s">
        <v>3319</v>
      </c>
      <c r="AB422" s="3226" t="s">
        <v>4676</v>
      </c>
      <c r="AC422" s="3226"/>
      <c r="AD422" s="3286"/>
      <c r="AE422" s="3286"/>
      <c r="AF422" s="3286"/>
      <c r="AG422" s="3323"/>
      <c r="AH422" s="3255"/>
      <c r="AI422" s="3255"/>
      <c r="AJ422" s="3255"/>
      <c r="AK422" s="3287" t="str">
        <f t="shared" si="87"/>
        <v/>
      </c>
      <c r="AL422" s="3288" t="str">
        <f t="shared" si="88"/>
        <v/>
      </c>
      <c r="AM422" s="3226"/>
      <c r="AN422" s="3289"/>
      <c r="AO422" s="3300"/>
      <c r="AP422" s="3300"/>
      <c r="AQ422" s="3300"/>
      <c r="AR422" s="3292"/>
      <c r="AS422" s="3292"/>
      <c r="AT422" s="3292"/>
      <c r="AU422" s="3293"/>
      <c r="AV422" s="3293"/>
      <c r="AW422" s="3294"/>
      <c r="AX422" s="3236"/>
      <c r="AY422" s="3244"/>
      <c r="AZ422" s="3325" t="s">
        <v>4880</v>
      </c>
      <c r="BA422" s="3296" t="str">
        <f t="shared" si="89"/>
        <v>签约</v>
      </c>
      <c r="BB422" s="3226"/>
      <c r="BC422" s="3226"/>
      <c r="BD422" s="3292"/>
      <c r="BE422" s="3297" t="s">
        <v>4367</v>
      </c>
      <c r="BG422" s="3297">
        <f>IFERROR(VLOOKUP(B422,[3]Sheet2!A$1:B$65536,2,FALSE),0)</f>
        <v>0</v>
      </c>
      <c r="BI422" s="3297">
        <f>IFERROR(VLOOKUP(B422,[3]Sheet2!A$1:C$65536,2,FALSE),0)</f>
        <v>0</v>
      </c>
      <c r="BJ422" s="3297">
        <f>IFERROR(VLOOKUP(B422,[3]Sheet2!A$1:C$65536,3,FALSE),0)</f>
        <v>0</v>
      </c>
    </row>
    <row r="423" spans="1:64" s="3261" customFormat="1" ht="20.25" customHeight="1">
      <c r="A423" s="3226">
        <v>421</v>
      </c>
      <c r="B423" s="3250" t="s">
        <v>3985</v>
      </c>
      <c r="C423" s="3227" t="s">
        <v>3333</v>
      </c>
      <c r="D423" s="3251" t="s">
        <v>3986</v>
      </c>
      <c r="E423" s="3229">
        <v>44023</v>
      </c>
      <c r="F423" s="3230">
        <v>50000</v>
      </c>
      <c r="G423" s="3231">
        <v>135.32</v>
      </c>
      <c r="H423" s="3231" t="str">
        <f t="shared" si="80"/>
        <v>普通住宅</v>
      </c>
      <c r="I423" s="3230">
        <v>2216081</v>
      </c>
      <c r="J423" s="3229">
        <v>44029</v>
      </c>
      <c r="K423" s="3284">
        <f t="shared" si="81"/>
        <v>7</v>
      </c>
      <c r="L423" s="3230">
        <v>2196081</v>
      </c>
      <c r="M423" s="3235">
        <f t="shared" si="82"/>
        <v>16228.798403783625</v>
      </c>
      <c r="N423" s="3236">
        <v>1146081</v>
      </c>
      <c r="O423" s="3244"/>
      <c r="P423" s="3244"/>
      <c r="Q423" s="3244"/>
      <c r="R423" s="3244">
        <f t="shared" si="83"/>
        <v>1196081</v>
      </c>
      <c r="S423" s="3244"/>
      <c r="T423" s="3236"/>
      <c r="U423" s="3236"/>
      <c r="V423" s="3236">
        <v>1000000</v>
      </c>
      <c r="W423" s="3236"/>
      <c r="X423" s="3244">
        <f t="shared" si="84"/>
        <v>2196081</v>
      </c>
      <c r="Y423" s="3244">
        <f t="shared" si="85"/>
        <v>0</v>
      </c>
      <c r="Z423" s="3285">
        <f t="shared" si="86"/>
        <v>1</v>
      </c>
      <c r="AA423" s="3226" t="s">
        <v>3319</v>
      </c>
      <c r="AB423" s="3226" t="s">
        <v>4587</v>
      </c>
      <c r="AC423" s="3226" t="s">
        <v>4698</v>
      </c>
      <c r="AD423" s="3286" t="s">
        <v>4539</v>
      </c>
      <c r="AE423" s="3286" t="s">
        <v>4427</v>
      </c>
      <c r="AF423" s="3286"/>
      <c r="AG423" s="3323"/>
      <c r="AH423" s="3255">
        <v>44029</v>
      </c>
      <c r="AI423" s="3255">
        <v>44032</v>
      </c>
      <c r="AJ423" s="3255">
        <v>44041</v>
      </c>
      <c r="AK423" s="3287">
        <f t="shared" si="87"/>
        <v>2020</v>
      </c>
      <c r="AL423" s="3288">
        <f t="shared" si="88"/>
        <v>7</v>
      </c>
      <c r="AM423" s="3226" t="s">
        <v>4433</v>
      </c>
      <c r="AN423" s="3289">
        <v>1000000</v>
      </c>
      <c r="AO423" s="3300"/>
      <c r="AP423" s="3300"/>
      <c r="AQ423" s="3300"/>
      <c r="AR423" s="3292"/>
      <c r="AS423" s="3292"/>
      <c r="AT423" s="3292"/>
      <c r="AU423" s="3293"/>
      <c r="AV423" s="3293"/>
      <c r="AW423" s="3294"/>
      <c r="AX423" s="3236"/>
      <c r="AY423" s="3244"/>
      <c r="AZ423" s="3325" t="s">
        <v>4507</v>
      </c>
      <c r="BA423" s="3296" t="str">
        <f t="shared" si="89"/>
        <v>签约</v>
      </c>
      <c r="BB423" s="3226"/>
      <c r="BC423" s="3226"/>
      <c r="BD423" s="3292"/>
      <c r="BE423" s="3297" t="s">
        <v>4449</v>
      </c>
      <c r="BG423" s="3297"/>
      <c r="BI423" s="3297">
        <f>IFERROR(VLOOKUP(B423,[3]Sheet2!A$1:C$65536,2,FALSE),0)</f>
        <v>1000000</v>
      </c>
      <c r="BJ423" s="3297" t="str">
        <f>IFERROR(VLOOKUP(B423,[3]Sheet2!A$1:C$65536,3,FALSE),0)</f>
        <v>中国银行湾里支行</v>
      </c>
      <c r="BL423" s="3261">
        <f>BI423-AN423</f>
        <v>0</v>
      </c>
    </row>
    <row r="424" spans="1:64" s="3261" customFormat="1" ht="20.25" customHeight="1">
      <c r="A424" s="3226">
        <v>422</v>
      </c>
      <c r="B424" s="3250" t="s">
        <v>3987</v>
      </c>
      <c r="C424" s="3227" t="s">
        <v>3333</v>
      </c>
      <c r="D424" s="3251" t="s">
        <v>3988</v>
      </c>
      <c r="E424" s="3229">
        <v>44023</v>
      </c>
      <c r="F424" s="3230">
        <v>50000</v>
      </c>
      <c r="G424" s="3231">
        <v>135.32</v>
      </c>
      <c r="H424" s="3231" t="str">
        <f t="shared" si="80"/>
        <v>普通住宅</v>
      </c>
      <c r="I424" s="3230">
        <v>2090527</v>
      </c>
      <c r="J424" s="3229">
        <v>44028</v>
      </c>
      <c r="K424" s="3284">
        <f t="shared" si="81"/>
        <v>7</v>
      </c>
      <c r="L424" s="3230">
        <v>2070527</v>
      </c>
      <c r="M424" s="3235">
        <f t="shared" si="82"/>
        <v>15300.968075672481</v>
      </c>
      <c r="N424" s="3236">
        <v>680527</v>
      </c>
      <c r="O424" s="3244"/>
      <c r="P424" s="3244"/>
      <c r="Q424" s="3244"/>
      <c r="R424" s="3244">
        <f t="shared" si="83"/>
        <v>730527</v>
      </c>
      <c r="S424" s="3244"/>
      <c r="T424" s="3236"/>
      <c r="U424" s="3236"/>
      <c r="V424" s="3236">
        <v>1340000</v>
      </c>
      <c r="W424" s="3236"/>
      <c r="X424" s="3244">
        <f t="shared" si="84"/>
        <v>2070527</v>
      </c>
      <c r="Y424" s="3244">
        <f t="shared" si="85"/>
        <v>0</v>
      </c>
      <c r="Z424" s="3285">
        <f t="shared" si="86"/>
        <v>1</v>
      </c>
      <c r="AA424" s="3226" t="s">
        <v>3319</v>
      </c>
      <c r="AB424" s="3226" t="s">
        <v>4587</v>
      </c>
      <c r="AC424" s="3226" t="s">
        <v>4698</v>
      </c>
      <c r="AD424" s="3286" t="s">
        <v>4539</v>
      </c>
      <c r="AE424" s="3286" t="s">
        <v>4427</v>
      </c>
      <c r="AF424" s="3286"/>
      <c r="AG424" s="3323"/>
      <c r="AH424" s="3255">
        <v>44027</v>
      </c>
      <c r="AI424" s="3255">
        <v>44032</v>
      </c>
      <c r="AJ424" s="3255">
        <v>44036</v>
      </c>
      <c r="AK424" s="3287">
        <f t="shared" si="87"/>
        <v>2020</v>
      </c>
      <c r="AL424" s="3288">
        <f t="shared" si="88"/>
        <v>7</v>
      </c>
      <c r="AM424" s="3226" t="s">
        <v>4881</v>
      </c>
      <c r="AN424" s="3289">
        <v>1340000</v>
      </c>
      <c r="AO424" s="3300"/>
      <c r="AP424" s="3300"/>
      <c r="AQ424" s="3300"/>
      <c r="AR424" s="3292"/>
      <c r="AS424" s="3292"/>
      <c r="AT424" s="3292"/>
      <c r="AU424" s="3293"/>
      <c r="AV424" s="3293"/>
      <c r="AW424" s="3294"/>
      <c r="AX424" s="3236"/>
      <c r="AY424" s="3244"/>
      <c r="AZ424" s="3325" t="s">
        <v>4900</v>
      </c>
      <c r="BA424" s="3296" t="str">
        <f t="shared" si="89"/>
        <v>签约</v>
      </c>
      <c r="BB424" s="3226"/>
      <c r="BC424" s="3226"/>
      <c r="BD424" s="3292"/>
      <c r="BE424" s="3297" t="s">
        <v>4367</v>
      </c>
      <c r="BG424" s="3297">
        <f>IFERROR(VLOOKUP(B424,[3]Sheet2!A$1:B$65536,2,FALSE),0)</f>
        <v>0</v>
      </c>
      <c r="BI424" s="3297">
        <f>IFERROR(VLOOKUP(B424,[3]Sheet2!A$1:C$65536,2,FALSE),0)</f>
        <v>0</v>
      </c>
      <c r="BJ424" s="3297">
        <f>IFERROR(VLOOKUP(B424,[3]Sheet2!A$1:C$65536,3,FALSE),0)</f>
        <v>0</v>
      </c>
    </row>
    <row r="425" spans="1:64" s="3261" customFormat="1" ht="20.25" customHeight="1">
      <c r="A425" s="3226">
        <v>423</v>
      </c>
      <c r="B425" s="3250" t="s">
        <v>3989</v>
      </c>
      <c r="C425" s="3227" t="s">
        <v>3333</v>
      </c>
      <c r="D425" s="3251" t="s">
        <v>3990</v>
      </c>
      <c r="E425" s="3229">
        <v>44023</v>
      </c>
      <c r="F425" s="3230">
        <v>50000</v>
      </c>
      <c r="G425" s="3231">
        <v>135.32</v>
      </c>
      <c r="H425" s="3231" t="str">
        <f t="shared" si="80"/>
        <v>普通住宅</v>
      </c>
      <c r="I425" s="3230">
        <v>1987711</v>
      </c>
      <c r="J425" s="3229">
        <v>44029</v>
      </c>
      <c r="K425" s="3284">
        <f t="shared" si="81"/>
        <v>7</v>
      </c>
      <c r="L425" s="3230">
        <v>1987711</v>
      </c>
      <c r="M425" s="3235">
        <f t="shared" si="82"/>
        <v>14688.96689328998</v>
      </c>
      <c r="N425" s="3236">
        <v>547711</v>
      </c>
      <c r="O425" s="3244"/>
      <c r="P425" s="3244"/>
      <c r="Q425" s="3244"/>
      <c r="R425" s="3244">
        <f t="shared" si="83"/>
        <v>597711</v>
      </c>
      <c r="S425" s="3244"/>
      <c r="T425" s="3236"/>
      <c r="U425" s="3236"/>
      <c r="V425" s="3236">
        <v>1390000</v>
      </c>
      <c r="W425" s="3236"/>
      <c r="X425" s="3244">
        <f t="shared" si="84"/>
        <v>1987711</v>
      </c>
      <c r="Y425" s="3244">
        <f t="shared" si="85"/>
        <v>0</v>
      </c>
      <c r="Z425" s="3285">
        <f t="shared" si="86"/>
        <v>1</v>
      </c>
      <c r="AA425" s="3226" t="s">
        <v>3319</v>
      </c>
      <c r="AB425" s="3226" t="s">
        <v>4587</v>
      </c>
      <c r="AC425" s="3226" t="s">
        <v>4698</v>
      </c>
      <c r="AD425" s="3286" t="s">
        <v>4539</v>
      </c>
      <c r="AE425" s="3286" t="s">
        <v>4427</v>
      </c>
      <c r="AF425" s="3286"/>
      <c r="AG425" s="3323"/>
      <c r="AH425" s="3255">
        <v>44028</v>
      </c>
      <c r="AI425" s="3255">
        <v>44032</v>
      </c>
      <c r="AJ425" s="3255">
        <v>44046</v>
      </c>
      <c r="AK425" s="3287">
        <f t="shared" si="87"/>
        <v>2020</v>
      </c>
      <c r="AL425" s="3288">
        <f t="shared" si="88"/>
        <v>8</v>
      </c>
      <c r="AM425" s="3226" t="s">
        <v>4701</v>
      </c>
      <c r="AN425" s="3289">
        <v>1390000</v>
      </c>
      <c r="AO425" s="3300"/>
      <c r="AP425" s="3300"/>
      <c r="AQ425" s="3300"/>
      <c r="AR425" s="3292"/>
      <c r="AS425" s="3292"/>
      <c r="AT425" s="3292"/>
      <c r="AU425" s="3293"/>
      <c r="AV425" s="3293"/>
      <c r="AW425" s="3294"/>
      <c r="AX425" s="3236"/>
      <c r="AY425" s="3244"/>
      <c r="AZ425" s="3325" t="s">
        <v>4895</v>
      </c>
      <c r="BA425" s="3296" t="str">
        <f t="shared" si="89"/>
        <v>签约</v>
      </c>
      <c r="BB425" s="3226"/>
      <c r="BC425" s="3226"/>
      <c r="BD425" s="3292"/>
      <c r="BE425" s="3297" t="s">
        <v>4367</v>
      </c>
      <c r="BG425" s="3297">
        <f>IFERROR(VLOOKUP(B425,[3]Sheet2!A$1:B$65536,2,FALSE),0)</f>
        <v>0</v>
      </c>
      <c r="BI425" s="3297">
        <f>IFERROR(VLOOKUP(B425,[3]Sheet2!A$1:C$65536,2,FALSE),0)</f>
        <v>0</v>
      </c>
      <c r="BJ425" s="3297">
        <f>IFERROR(VLOOKUP(B425,[3]Sheet2!A$1:C$65536,3,FALSE),0)</f>
        <v>0</v>
      </c>
    </row>
    <row r="426" spans="1:64" s="3261" customFormat="1" ht="20.25" customHeight="1">
      <c r="A426" s="3226">
        <v>424</v>
      </c>
      <c r="B426" s="3250" t="s">
        <v>3991</v>
      </c>
      <c r="C426" s="3227" t="s">
        <v>3333</v>
      </c>
      <c r="D426" s="3251" t="s">
        <v>3992</v>
      </c>
      <c r="E426" s="3229">
        <v>44023</v>
      </c>
      <c r="F426" s="3230">
        <v>50000</v>
      </c>
      <c r="G426" s="3231">
        <v>135.32</v>
      </c>
      <c r="H426" s="3231" t="str">
        <f t="shared" si="80"/>
        <v>普通住宅</v>
      </c>
      <c r="I426" s="3230">
        <v>2015612</v>
      </c>
      <c r="J426" s="3229">
        <v>44028</v>
      </c>
      <c r="K426" s="3284">
        <f t="shared" si="81"/>
        <v>7</v>
      </c>
      <c r="L426" s="3230">
        <v>1995612</v>
      </c>
      <c r="M426" s="3235">
        <f t="shared" si="82"/>
        <v>14747.354419154597</v>
      </c>
      <c r="N426" s="3236">
        <v>555612</v>
      </c>
      <c r="O426" s="3244"/>
      <c r="P426" s="3244"/>
      <c r="Q426" s="3244"/>
      <c r="R426" s="3244">
        <f t="shared" si="83"/>
        <v>605612</v>
      </c>
      <c r="S426" s="3244"/>
      <c r="T426" s="3236"/>
      <c r="U426" s="3236"/>
      <c r="V426" s="3236">
        <v>1390000</v>
      </c>
      <c r="W426" s="3236"/>
      <c r="X426" s="3244">
        <f t="shared" si="84"/>
        <v>1995612</v>
      </c>
      <c r="Y426" s="3244">
        <f t="shared" si="85"/>
        <v>0</v>
      </c>
      <c r="Z426" s="3285">
        <f t="shared" si="86"/>
        <v>1</v>
      </c>
      <c r="AA426" s="3226" t="s">
        <v>3319</v>
      </c>
      <c r="AB426" s="3226" t="s">
        <v>4587</v>
      </c>
      <c r="AC426" s="3226" t="s">
        <v>4698</v>
      </c>
      <c r="AD426" s="3286" t="s">
        <v>4539</v>
      </c>
      <c r="AE426" s="3286" t="s">
        <v>4427</v>
      </c>
      <c r="AF426" s="3286"/>
      <c r="AG426" s="3323"/>
      <c r="AH426" s="3255">
        <v>44028</v>
      </c>
      <c r="AI426" s="3255">
        <v>44032</v>
      </c>
      <c r="AJ426" s="3255">
        <v>44036</v>
      </c>
      <c r="AK426" s="3287">
        <f t="shared" si="87"/>
        <v>2020</v>
      </c>
      <c r="AL426" s="3288">
        <f t="shared" si="88"/>
        <v>7</v>
      </c>
      <c r="AM426" s="3226" t="s">
        <v>4881</v>
      </c>
      <c r="AN426" s="3289">
        <v>1390000</v>
      </c>
      <c r="AO426" s="3300"/>
      <c r="AP426" s="3300"/>
      <c r="AQ426" s="3300"/>
      <c r="AR426" s="3292"/>
      <c r="AS426" s="3292"/>
      <c r="AT426" s="3292"/>
      <c r="AU426" s="3293"/>
      <c r="AV426" s="3293"/>
      <c r="AW426" s="3294"/>
      <c r="AX426" s="3236"/>
      <c r="AY426" s="3244"/>
      <c r="AZ426" s="3325" t="s">
        <v>4507</v>
      </c>
      <c r="BA426" s="3296" t="str">
        <f t="shared" si="89"/>
        <v>签约</v>
      </c>
      <c r="BB426" s="3226"/>
      <c r="BC426" s="3226"/>
      <c r="BD426" s="3292"/>
      <c r="BE426" s="3297" t="s">
        <v>4449</v>
      </c>
      <c r="BG426" s="3297">
        <f>IFERROR(VLOOKUP(B426,[3]Sheet2!A$1:B$65536,2,FALSE),0)</f>
        <v>0</v>
      </c>
      <c r="BI426" s="3297">
        <f>IFERROR(VLOOKUP(B426,[3]Sheet2!A$1:C$65536,2,FALSE),0)</f>
        <v>0</v>
      </c>
      <c r="BJ426" s="3297">
        <f>IFERROR(VLOOKUP(B426,[3]Sheet2!A$1:C$65536,3,FALSE),0)</f>
        <v>0</v>
      </c>
    </row>
    <row r="427" spans="1:64" s="3261" customFormat="1" ht="20.25" customHeight="1">
      <c r="A427" s="3226">
        <v>425</v>
      </c>
      <c r="B427" s="3250" t="s">
        <v>3993</v>
      </c>
      <c r="C427" s="3227" t="s">
        <v>3333</v>
      </c>
      <c r="D427" s="3251" t="s">
        <v>3994</v>
      </c>
      <c r="E427" s="3229">
        <v>44029</v>
      </c>
      <c r="F427" s="3230">
        <v>50000</v>
      </c>
      <c r="G427" s="3231">
        <v>135.32</v>
      </c>
      <c r="H427" s="3231" t="str">
        <f t="shared" si="80"/>
        <v>普通住宅</v>
      </c>
      <c r="I427" s="3230">
        <v>2043513</v>
      </c>
      <c r="J427" s="3229">
        <v>44029</v>
      </c>
      <c r="K427" s="3284">
        <f t="shared" si="81"/>
        <v>7</v>
      </c>
      <c r="L427" s="3230">
        <v>2023513</v>
      </c>
      <c r="M427" s="3235">
        <f t="shared" si="82"/>
        <v>14953.539757611588</v>
      </c>
      <c r="N427" s="3236">
        <v>573513</v>
      </c>
      <c r="O427" s="3244"/>
      <c r="P427" s="3244"/>
      <c r="Q427" s="3244"/>
      <c r="R427" s="3244">
        <f t="shared" si="83"/>
        <v>623513</v>
      </c>
      <c r="S427" s="3244"/>
      <c r="T427" s="3236"/>
      <c r="U427" s="3236"/>
      <c r="V427" s="3236"/>
      <c r="W427" s="3236"/>
      <c r="X427" s="3244">
        <f t="shared" si="84"/>
        <v>623513</v>
      </c>
      <c r="Y427" s="3244">
        <f t="shared" si="85"/>
        <v>1400000</v>
      </c>
      <c r="Z427" s="3285">
        <f t="shared" si="86"/>
        <v>0.30813392352804259</v>
      </c>
      <c r="AA427" s="3226" t="s">
        <v>3319</v>
      </c>
      <c r="AB427" s="3226" t="s">
        <v>4587</v>
      </c>
      <c r="AC427" s="3226" t="s">
        <v>4698</v>
      </c>
      <c r="AD427" s="3286" t="s">
        <v>4773</v>
      </c>
      <c r="AE427" s="3286" t="s">
        <v>4774</v>
      </c>
      <c r="AF427" s="3286"/>
      <c r="AG427" s="3323"/>
      <c r="AH427" s="3255"/>
      <c r="AI427" s="3255"/>
      <c r="AJ427" s="3255"/>
      <c r="AK427" s="3287" t="str">
        <f t="shared" si="87"/>
        <v/>
      </c>
      <c r="AL427" s="3288" t="str">
        <f t="shared" si="88"/>
        <v/>
      </c>
      <c r="AM427" s="3226"/>
      <c r="AN427" s="3289"/>
      <c r="AO427" s="3300"/>
      <c r="AP427" s="3300"/>
      <c r="AQ427" s="3300"/>
      <c r="AR427" s="3292"/>
      <c r="AS427" s="3292"/>
      <c r="AT427" s="3292"/>
      <c r="AU427" s="3293"/>
      <c r="AV427" s="3293"/>
      <c r="AW427" s="3294"/>
      <c r="AX427" s="3236"/>
      <c r="AY427" s="3244"/>
      <c r="AZ427" s="3325" t="s">
        <v>4886</v>
      </c>
      <c r="BA427" s="3296" t="str">
        <f t="shared" si="89"/>
        <v>签约</v>
      </c>
      <c r="BB427" s="3226"/>
      <c r="BC427" s="3226"/>
      <c r="BD427" s="3292"/>
      <c r="BE427" s="3297" t="s">
        <v>4434</v>
      </c>
      <c r="BG427" s="3297">
        <f>IFERROR(VLOOKUP(B427,[3]Sheet2!A$1:B$65536,2,FALSE),0)</f>
        <v>0</v>
      </c>
      <c r="BI427" s="3297">
        <f>IFERROR(VLOOKUP(B427,[3]Sheet2!A$1:C$65536,2,FALSE),0)</f>
        <v>0</v>
      </c>
      <c r="BJ427" s="3297">
        <f>IFERROR(VLOOKUP(B427,[3]Sheet2!A$1:C$65536,3,FALSE),0)</f>
        <v>0</v>
      </c>
    </row>
    <row r="428" spans="1:64" s="3261" customFormat="1" ht="20.25" customHeight="1">
      <c r="A428" s="3226">
        <v>426</v>
      </c>
      <c r="B428" s="3250" t="s">
        <v>3995</v>
      </c>
      <c r="C428" s="3227" t="s">
        <v>3333</v>
      </c>
      <c r="D428" s="3251" t="s">
        <v>3996</v>
      </c>
      <c r="E428" s="3229">
        <v>44023</v>
      </c>
      <c r="F428" s="3230">
        <v>50000</v>
      </c>
      <c r="G428" s="3231">
        <v>135.32</v>
      </c>
      <c r="H428" s="3231" t="str">
        <f t="shared" si="80"/>
        <v>普通住宅</v>
      </c>
      <c r="I428" s="3230">
        <v>2071414</v>
      </c>
      <c r="J428" s="3229">
        <v>44029</v>
      </c>
      <c r="K428" s="3284">
        <f t="shared" si="81"/>
        <v>7</v>
      </c>
      <c r="L428" s="3230">
        <v>2071414</v>
      </c>
      <c r="M428" s="3235">
        <f t="shared" si="82"/>
        <v>15307.522908660952</v>
      </c>
      <c r="N428" s="3236">
        <v>1421414</v>
      </c>
      <c r="O428" s="3244"/>
      <c r="P428" s="3244"/>
      <c r="Q428" s="3244"/>
      <c r="R428" s="3244">
        <f t="shared" si="83"/>
        <v>1471414</v>
      </c>
      <c r="S428" s="3244"/>
      <c r="T428" s="3236"/>
      <c r="U428" s="3236"/>
      <c r="V428" s="3236">
        <v>600000</v>
      </c>
      <c r="W428" s="3236"/>
      <c r="X428" s="3244">
        <f t="shared" si="84"/>
        <v>2071414</v>
      </c>
      <c r="Y428" s="3244">
        <f t="shared" si="85"/>
        <v>0</v>
      </c>
      <c r="Z428" s="3285">
        <f t="shared" si="86"/>
        <v>1</v>
      </c>
      <c r="AA428" s="3226" t="s">
        <v>3319</v>
      </c>
      <c r="AB428" s="3226" t="s">
        <v>4587</v>
      </c>
      <c r="AC428" s="3226" t="s">
        <v>4698</v>
      </c>
      <c r="AD428" s="3286" t="s">
        <v>4539</v>
      </c>
      <c r="AE428" s="3286" t="s">
        <v>4427</v>
      </c>
      <c r="AF428" s="3286"/>
      <c r="AG428" s="3323"/>
      <c r="AH428" s="3255">
        <v>44029</v>
      </c>
      <c r="AI428" s="3255">
        <v>44032</v>
      </c>
      <c r="AJ428" s="3255">
        <v>44041</v>
      </c>
      <c r="AK428" s="3287">
        <f t="shared" si="87"/>
        <v>2020</v>
      </c>
      <c r="AL428" s="3288">
        <f t="shared" si="88"/>
        <v>7</v>
      </c>
      <c r="AM428" s="3226" t="s">
        <v>4433</v>
      </c>
      <c r="AN428" s="3289">
        <v>600000</v>
      </c>
      <c r="AO428" s="3300"/>
      <c r="AP428" s="3300"/>
      <c r="AQ428" s="3300"/>
      <c r="AR428" s="3292"/>
      <c r="AS428" s="3292"/>
      <c r="AT428" s="3292"/>
      <c r="AU428" s="3293"/>
      <c r="AV428" s="3293"/>
      <c r="AW428" s="3294"/>
      <c r="AX428" s="3236"/>
      <c r="AY428" s="3244"/>
      <c r="AZ428" s="3325" t="s">
        <v>4735</v>
      </c>
      <c r="BA428" s="3296" t="str">
        <f t="shared" si="89"/>
        <v>签约</v>
      </c>
      <c r="BB428" s="3226"/>
      <c r="BC428" s="3226"/>
      <c r="BD428" s="3292"/>
      <c r="BE428" s="3297" t="s">
        <v>4367</v>
      </c>
      <c r="BG428" s="3297">
        <f>IFERROR(VLOOKUP(B428,[3]Sheet2!A$1:B$65536,2,FALSE),0)</f>
        <v>600000</v>
      </c>
      <c r="BI428" s="3297">
        <f>IFERROR(VLOOKUP(B428,[3]Sheet2!A$1:C$65536,2,FALSE),0)</f>
        <v>600000</v>
      </c>
      <c r="BJ428" s="3297" t="str">
        <f>IFERROR(VLOOKUP(B428,[3]Sheet2!A$1:C$65536,3,FALSE),0)</f>
        <v>中国银行湾里支行</v>
      </c>
      <c r="BL428" s="3261">
        <f>BI428-AN428</f>
        <v>0</v>
      </c>
    </row>
    <row r="429" spans="1:64" s="3261" customFormat="1" ht="20.25" customHeight="1">
      <c r="A429" s="3226">
        <v>427</v>
      </c>
      <c r="B429" s="3250" t="s">
        <v>3997</v>
      </c>
      <c r="C429" s="3227" t="s">
        <v>3333</v>
      </c>
      <c r="D429" s="3251" t="s">
        <v>3998</v>
      </c>
      <c r="E429" s="3229">
        <v>44023</v>
      </c>
      <c r="F429" s="3230">
        <v>50000</v>
      </c>
      <c r="G429" s="3231">
        <v>135.32</v>
      </c>
      <c r="H429" s="3231" t="str">
        <f t="shared" si="80"/>
        <v>普通住宅</v>
      </c>
      <c r="I429" s="3230">
        <v>2099315</v>
      </c>
      <c r="J429" s="3229">
        <v>44028</v>
      </c>
      <c r="K429" s="3284">
        <f t="shared" si="81"/>
        <v>7</v>
      </c>
      <c r="L429" s="3230">
        <v>2079315</v>
      </c>
      <c r="M429" s="3235">
        <f t="shared" si="82"/>
        <v>15365.910434525569</v>
      </c>
      <c r="N429" s="3236">
        <v>729315</v>
      </c>
      <c r="O429" s="3244"/>
      <c r="P429" s="3244"/>
      <c r="Q429" s="3244"/>
      <c r="R429" s="3244">
        <f t="shared" si="83"/>
        <v>779315</v>
      </c>
      <c r="S429" s="3244"/>
      <c r="T429" s="3236"/>
      <c r="U429" s="3236"/>
      <c r="V429" s="3236">
        <v>1300000</v>
      </c>
      <c r="W429" s="3236"/>
      <c r="X429" s="3244">
        <f t="shared" si="84"/>
        <v>2079315</v>
      </c>
      <c r="Y429" s="3244">
        <f t="shared" si="85"/>
        <v>0</v>
      </c>
      <c r="Z429" s="3285">
        <f t="shared" si="86"/>
        <v>1</v>
      </c>
      <c r="AA429" s="3226" t="s">
        <v>3319</v>
      </c>
      <c r="AB429" s="3226" t="s">
        <v>4587</v>
      </c>
      <c r="AC429" s="3226" t="s">
        <v>4698</v>
      </c>
      <c r="AD429" s="3286" t="s">
        <v>4539</v>
      </c>
      <c r="AE429" s="3286" t="s">
        <v>4427</v>
      </c>
      <c r="AF429" s="3286"/>
      <c r="AG429" s="3323"/>
      <c r="AH429" s="3255">
        <v>44033</v>
      </c>
      <c r="AI429" s="3255">
        <v>44033</v>
      </c>
      <c r="AJ429" s="3255">
        <v>44043</v>
      </c>
      <c r="AK429" s="3287">
        <f t="shared" si="87"/>
        <v>2020</v>
      </c>
      <c r="AL429" s="3288">
        <f t="shared" si="88"/>
        <v>7</v>
      </c>
      <c r="AM429" s="3226" t="s">
        <v>4634</v>
      </c>
      <c r="AN429" s="3289">
        <v>1300000</v>
      </c>
      <c r="AO429" s="3300"/>
      <c r="AP429" s="3300"/>
      <c r="AQ429" s="3300"/>
      <c r="AR429" s="3292"/>
      <c r="AS429" s="3292"/>
      <c r="AT429" s="3292"/>
      <c r="AU429" s="3293"/>
      <c r="AV429" s="3293"/>
      <c r="AW429" s="3294"/>
      <c r="AX429" s="3236"/>
      <c r="AY429" s="3244"/>
      <c r="AZ429" s="3325" t="s">
        <v>4441</v>
      </c>
      <c r="BA429" s="3296" t="str">
        <f t="shared" si="89"/>
        <v>签约</v>
      </c>
      <c r="BB429" s="3226"/>
      <c r="BC429" s="3226"/>
      <c r="BD429" s="3292"/>
      <c r="BE429" s="3297" t="s">
        <v>4465</v>
      </c>
      <c r="BG429" s="3297">
        <f>IFERROR(VLOOKUP(B429,[3]Sheet2!A$1:B$65536,2,FALSE),0)</f>
        <v>0</v>
      </c>
      <c r="BI429" s="3297">
        <f>IFERROR(VLOOKUP(B429,[3]Sheet2!A$1:C$65536,2,FALSE),0)</f>
        <v>0</v>
      </c>
      <c r="BJ429" s="3297">
        <f>IFERROR(VLOOKUP(B429,[3]Sheet2!A$1:C$65536,3,FALSE),0)</f>
        <v>0</v>
      </c>
    </row>
    <row r="430" spans="1:64" s="3261" customFormat="1" ht="20.25" customHeight="1">
      <c r="A430" s="3226">
        <v>428</v>
      </c>
      <c r="B430" s="3250" t="s">
        <v>3999</v>
      </c>
      <c r="C430" s="3227" t="s">
        <v>3333</v>
      </c>
      <c r="D430" s="3251" t="s">
        <v>4000</v>
      </c>
      <c r="E430" s="3229">
        <v>44023</v>
      </c>
      <c r="F430" s="3230">
        <v>50000</v>
      </c>
      <c r="G430" s="3231">
        <v>135.32</v>
      </c>
      <c r="H430" s="3231" t="str">
        <f t="shared" si="80"/>
        <v>普通住宅</v>
      </c>
      <c r="I430" s="3230">
        <v>2127216</v>
      </c>
      <c r="J430" s="3229">
        <v>44028</v>
      </c>
      <c r="K430" s="3284">
        <f t="shared" si="81"/>
        <v>7</v>
      </c>
      <c r="L430" s="3230">
        <v>2107216</v>
      </c>
      <c r="M430" s="3235">
        <f t="shared" si="82"/>
        <v>15572.09577298256</v>
      </c>
      <c r="N430" s="3236">
        <v>1557216</v>
      </c>
      <c r="O430" s="3244"/>
      <c r="P430" s="3244"/>
      <c r="Q430" s="3244"/>
      <c r="R430" s="3244">
        <f t="shared" si="83"/>
        <v>1607216</v>
      </c>
      <c r="S430" s="3244"/>
      <c r="T430" s="3236"/>
      <c r="U430" s="3236"/>
      <c r="V430" s="3236"/>
      <c r="W430" s="3236"/>
      <c r="X430" s="3244">
        <f t="shared" si="84"/>
        <v>1607216</v>
      </c>
      <c r="Y430" s="3244">
        <f t="shared" si="85"/>
        <v>500000</v>
      </c>
      <c r="Z430" s="3285">
        <f t="shared" si="86"/>
        <v>0.76272010083446595</v>
      </c>
      <c r="AA430" s="3226" t="s">
        <v>3319</v>
      </c>
      <c r="AB430" s="3226" t="s">
        <v>4587</v>
      </c>
      <c r="AC430" s="3226" t="s">
        <v>4698</v>
      </c>
      <c r="AD430" s="3286" t="s">
        <v>4773</v>
      </c>
      <c r="AE430" s="3286" t="s">
        <v>4774</v>
      </c>
      <c r="AF430" s="3286"/>
      <c r="AG430" s="3323"/>
      <c r="AH430" s="3255"/>
      <c r="AI430" s="3255"/>
      <c r="AJ430" s="3255"/>
      <c r="AK430" s="3287" t="str">
        <f t="shared" si="87"/>
        <v/>
      </c>
      <c r="AL430" s="3288" t="str">
        <f t="shared" si="88"/>
        <v/>
      </c>
      <c r="AM430" s="3226"/>
      <c r="AN430" s="3289"/>
      <c r="AO430" s="3300"/>
      <c r="AP430" s="3300"/>
      <c r="AQ430" s="3300"/>
      <c r="AR430" s="3292"/>
      <c r="AS430" s="3292"/>
      <c r="AT430" s="3292"/>
      <c r="AU430" s="3293"/>
      <c r="AV430" s="3293"/>
      <c r="AW430" s="3294"/>
      <c r="AX430" s="3236"/>
      <c r="AY430" s="3244"/>
      <c r="AZ430" s="3325" t="s">
        <v>4441</v>
      </c>
      <c r="BA430" s="3296" t="str">
        <f t="shared" si="89"/>
        <v>签约</v>
      </c>
      <c r="BB430" s="3226"/>
      <c r="BC430" s="3226"/>
      <c r="BD430" s="3292"/>
      <c r="BE430" s="3297" t="s">
        <v>4449</v>
      </c>
      <c r="BG430" s="3297">
        <f>IFERROR(VLOOKUP(B430,[3]Sheet2!A$1:B$65536,2,FALSE),0)</f>
        <v>0</v>
      </c>
      <c r="BI430" s="3297">
        <f>IFERROR(VLOOKUP(B430,[3]Sheet2!A$1:C$65536,2,FALSE),0)</f>
        <v>0</v>
      </c>
      <c r="BJ430" s="3297">
        <f>IFERROR(VLOOKUP(B430,[3]Sheet2!A$1:C$65536,3,FALSE),0)</f>
        <v>0</v>
      </c>
    </row>
    <row r="431" spans="1:64" s="3261" customFormat="1" ht="20.25" customHeight="1">
      <c r="A431" s="3226">
        <v>429</v>
      </c>
      <c r="B431" s="3250" t="s">
        <v>4001</v>
      </c>
      <c r="C431" s="3227" t="s">
        <v>3333</v>
      </c>
      <c r="D431" s="3251" t="s">
        <v>4002</v>
      </c>
      <c r="E431" s="3229">
        <v>44023</v>
      </c>
      <c r="F431" s="3230">
        <v>50000</v>
      </c>
      <c r="G431" s="3231">
        <v>135.32</v>
      </c>
      <c r="H431" s="3231" t="str">
        <f t="shared" si="80"/>
        <v>普通住宅</v>
      </c>
      <c r="I431" s="3230">
        <v>2155118</v>
      </c>
      <c r="J431" s="3229">
        <v>44027</v>
      </c>
      <c r="K431" s="3284">
        <f t="shared" si="81"/>
        <v>7</v>
      </c>
      <c r="L431" s="3230">
        <v>2135118</v>
      </c>
      <c r="M431" s="3235">
        <f t="shared" si="82"/>
        <v>15778.28850133018</v>
      </c>
      <c r="N431" s="3236">
        <v>885118</v>
      </c>
      <c r="O431" s="3244"/>
      <c r="P431" s="3244"/>
      <c r="Q431" s="3244"/>
      <c r="R431" s="3244">
        <f t="shared" si="83"/>
        <v>935118</v>
      </c>
      <c r="S431" s="3244"/>
      <c r="T431" s="3236"/>
      <c r="U431" s="3236"/>
      <c r="V431" s="3236">
        <v>900000</v>
      </c>
      <c r="W431" s="3236"/>
      <c r="X431" s="3244">
        <f t="shared" si="84"/>
        <v>1835118</v>
      </c>
      <c r="Y431" s="3244">
        <f t="shared" si="85"/>
        <v>300000</v>
      </c>
      <c r="Z431" s="3285">
        <f t="shared" si="86"/>
        <v>0.85949254326927127</v>
      </c>
      <c r="AA431" s="3226" t="s">
        <v>3319</v>
      </c>
      <c r="AB431" s="3226" t="s">
        <v>4587</v>
      </c>
      <c r="AC431" s="3226" t="s">
        <v>4452</v>
      </c>
      <c r="AD431" s="3286" t="s">
        <v>4539</v>
      </c>
      <c r="AE431" s="3286" t="s">
        <v>4427</v>
      </c>
      <c r="AF431" s="3286"/>
      <c r="AG431" s="3323"/>
      <c r="AH431" s="3255">
        <v>44036</v>
      </c>
      <c r="AI431" s="3255">
        <v>44042</v>
      </c>
      <c r="AJ431" s="3255">
        <v>44046</v>
      </c>
      <c r="AK431" s="3287">
        <f t="shared" si="87"/>
        <v>2020</v>
      </c>
      <c r="AL431" s="3288">
        <f t="shared" si="88"/>
        <v>8</v>
      </c>
      <c r="AM431" s="3226" t="s">
        <v>4739</v>
      </c>
      <c r="AN431" s="3289">
        <v>900000</v>
      </c>
      <c r="AO431" s="3300" t="s">
        <v>4539</v>
      </c>
      <c r="AP431" s="3300" t="s">
        <v>4901</v>
      </c>
      <c r="AQ431" s="3300"/>
      <c r="AR431" s="3292">
        <v>44036</v>
      </c>
      <c r="AS431" s="3292">
        <v>44036</v>
      </c>
      <c r="AT431" s="3292"/>
      <c r="AU431" s="3293"/>
      <c r="AV431" s="3293"/>
      <c r="AW431" s="3294" t="s">
        <v>4657</v>
      </c>
      <c r="AX431" s="3236">
        <v>300000</v>
      </c>
      <c r="AY431" s="3244"/>
      <c r="AZ431" s="3325" t="s">
        <v>4886</v>
      </c>
      <c r="BA431" s="3296" t="str">
        <f t="shared" si="89"/>
        <v>签约</v>
      </c>
      <c r="BB431" s="3226"/>
      <c r="BC431" s="3226"/>
      <c r="BD431" s="3292"/>
      <c r="BE431" s="3297" t="s">
        <v>4465</v>
      </c>
      <c r="BG431" s="3297">
        <f>IFERROR(VLOOKUP(B431,[3]Sheet2!A$1:B$65536,2,FALSE),0)</f>
        <v>0</v>
      </c>
      <c r="BI431" s="3297">
        <f>IFERROR(VLOOKUP(B431,[3]Sheet2!A$1:C$65536,2,FALSE),0)</f>
        <v>0</v>
      </c>
      <c r="BJ431" s="3297">
        <f>IFERROR(VLOOKUP(B431,[3]Sheet2!A$1:C$65536,3,FALSE),0)</f>
        <v>0</v>
      </c>
    </row>
    <row r="432" spans="1:64" s="3261" customFormat="1" ht="20.25" customHeight="1">
      <c r="A432" s="3226">
        <v>430</v>
      </c>
      <c r="B432" s="3250" t="s">
        <v>4003</v>
      </c>
      <c r="C432" s="3227" t="s">
        <v>3333</v>
      </c>
      <c r="D432" s="3251" t="s">
        <v>4004</v>
      </c>
      <c r="E432" s="3229">
        <v>44023</v>
      </c>
      <c r="F432" s="3230">
        <v>50000</v>
      </c>
      <c r="G432" s="3231">
        <v>135.32</v>
      </c>
      <c r="H432" s="3231" t="str">
        <f t="shared" si="80"/>
        <v>普通住宅</v>
      </c>
      <c r="I432" s="3230">
        <v>2183019</v>
      </c>
      <c r="J432" s="3229">
        <v>44028</v>
      </c>
      <c r="K432" s="3284">
        <f t="shared" si="81"/>
        <v>7</v>
      </c>
      <c r="L432" s="3230">
        <v>2163019</v>
      </c>
      <c r="M432" s="3235">
        <f t="shared" si="82"/>
        <v>15984.473839787172</v>
      </c>
      <c r="N432" s="3236">
        <v>1313019</v>
      </c>
      <c r="O432" s="3244"/>
      <c r="P432" s="3244"/>
      <c r="Q432" s="3244"/>
      <c r="R432" s="3244">
        <f t="shared" si="83"/>
        <v>1363019</v>
      </c>
      <c r="S432" s="3244"/>
      <c r="T432" s="3236"/>
      <c r="U432" s="3236"/>
      <c r="V432" s="3236">
        <v>800000</v>
      </c>
      <c r="W432" s="3236"/>
      <c r="X432" s="3244">
        <f t="shared" si="84"/>
        <v>2163019</v>
      </c>
      <c r="Y432" s="3244">
        <f t="shared" si="85"/>
        <v>0</v>
      </c>
      <c r="Z432" s="3285">
        <f t="shared" si="86"/>
        <v>1</v>
      </c>
      <c r="AA432" s="3226" t="s">
        <v>3319</v>
      </c>
      <c r="AB432" s="3226" t="s">
        <v>4587</v>
      </c>
      <c r="AC432" s="3226" t="s">
        <v>4698</v>
      </c>
      <c r="AD432" s="3286" t="s">
        <v>4539</v>
      </c>
      <c r="AE432" s="3286" t="s">
        <v>4427</v>
      </c>
      <c r="AF432" s="3286"/>
      <c r="AG432" s="3323"/>
      <c r="AH432" s="3255">
        <v>44028</v>
      </c>
      <c r="AI432" s="3255">
        <v>44032</v>
      </c>
      <c r="AJ432" s="3255">
        <v>44041</v>
      </c>
      <c r="AK432" s="3287">
        <f t="shared" si="87"/>
        <v>2020</v>
      </c>
      <c r="AL432" s="3288">
        <f t="shared" si="88"/>
        <v>7</v>
      </c>
      <c r="AM432" s="3226" t="s">
        <v>4433</v>
      </c>
      <c r="AN432" s="3289">
        <v>800000</v>
      </c>
      <c r="AO432" s="3300"/>
      <c r="AP432" s="3300"/>
      <c r="AQ432" s="3300"/>
      <c r="AR432" s="3292"/>
      <c r="AS432" s="3292"/>
      <c r="AT432" s="3292"/>
      <c r="AU432" s="3293"/>
      <c r="AV432" s="3293"/>
      <c r="AW432" s="3294"/>
      <c r="AX432" s="3236"/>
      <c r="AY432" s="3244"/>
      <c r="AZ432" s="3325" t="s">
        <v>4735</v>
      </c>
      <c r="BA432" s="3296" t="str">
        <f t="shared" si="89"/>
        <v>签约</v>
      </c>
      <c r="BB432" s="3226"/>
      <c r="BC432" s="3226"/>
      <c r="BD432" s="3292"/>
      <c r="BE432" s="3297" t="s">
        <v>4465</v>
      </c>
      <c r="BG432" s="3297"/>
      <c r="BI432" s="3297">
        <f>IFERROR(VLOOKUP(B432,[3]Sheet2!A$1:C$65536,2,FALSE),0)</f>
        <v>800000</v>
      </c>
      <c r="BJ432" s="3297" t="str">
        <f>IFERROR(VLOOKUP(B432,[3]Sheet2!A$1:C$65536,3,FALSE),0)</f>
        <v>中国银行湾里支行</v>
      </c>
      <c r="BL432" s="3261">
        <f>BI432-AN432</f>
        <v>0</v>
      </c>
    </row>
    <row r="433" spans="1:64" s="3261" customFormat="1" ht="20.25" customHeight="1">
      <c r="A433" s="3226">
        <v>431</v>
      </c>
      <c r="B433" s="3250" t="s">
        <v>4005</v>
      </c>
      <c r="C433" s="3227" t="s">
        <v>3333</v>
      </c>
      <c r="D433" s="3251" t="s">
        <v>4006</v>
      </c>
      <c r="E433" s="3229">
        <v>44024</v>
      </c>
      <c r="F433" s="3230">
        <v>50000</v>
      </c>
      <c r="G433" s="3231">
        <v>135.32</v>
      </c>
      <c r="H433" s="3231" t="str">
        <f t="shared" si="80"/>
        <v>普通住宅</v>
      </c>
      <c r="I433" s="3230">
        <v>2210920</v>
      </c>
      <c r="J433" s="3229">
        <v>44029</v>
      </c>
      <c r="K433" s="3284">
        <f t="shared" si="81"/>
        <v>7</v>
      </c>
      <c r="L433" s="3230">
        <v>2210920</v>
      </c>
      <c r="M433" s="3235">
        <f t="shared" si="82"/>
        <v>16338.456990836536</v>
      </c>
      <c r="N433" s="3236">
        <v>620920</v>
      </c>
      <c r="O433" s="3244"/>
      <c r="P433" s="3244"/>
      <c r="Q433" s="3244"/>
      <c r="R433" s="3244">
        <f t="shared" si="83"/>
        <v>670920</v>
      </c>
      <c r="S433" s="3244"/>
      <c r="T433" s="3236"/>
      <c r="U433" s="3236"/>
      <c r="V433" s="3236"/>
      <c r="W433" s="3236"/>
      <c r="X433" s="3244">
        <f t="shared" si="84"/>
        <v>670920</v>
      </c>
      <c r="Y433" s="3244">
        <f t="shared" si="85"/>
        <v>1540000</v>
      </c>
      <c r="Z433" s="3285">
        <f t="shared" si="86"/>
        <v>0.30345738425632768</v>
      </c>
      <c r="AA433" s="3226" t="s">
        <v>3319</v>
      </c>
      <c r="AB433" s="3226" t="s">
        <v>4587</v>
      </c>
      <c r="AC433" s="3226" t="s">
        <v>4698</v>
      </c>
      <c r="AD433" s="3286" t="s">
        <v>4773</v>
      </c>
      <c r="AE433" s="3286" t="s">
        <v>4774</v>
      </c>
      <c r="AF433" s="3286"/>
      <c r="AG433" s="3323"/>
      <c r="AH433" s="3255"/>
      <c r="AI433" s="3255"/>
      <c r="AJ433" s="3255"/>
      <c r="AK433" s="3287" t="str">
        <f t="shared" si="87"/>
        <v/>
      </c>
      <c r="AL433" s="3288" t="str">
        <f t="shared" si="88"/>
        <v/>
      </c>
      <c r="AM433" s="3226"/>
      <c r="AN433" s="3289"/>
      <c r="AO433" s="3300"/>
      <c r="AP433" s="3300"/>
      <c r="AQ433" s="3300"/>
      <c r="AR433" s="3292"/>
      <c r="AS433" s="3292"/>
      <c r="AT433" s="3292"/>
      <c r="AU433" s="3293"/>
      <c r="AV433" s="3293"/>
      <c r="AW433" s="3294"/>
      <c r="AX433" s="3236"/>
      <c r="AY433" s="3244"/>
      <c r="AZ433" s="3325" t="s">
        <v>4882</v>
      </c>
      <c r="BA433" s="3296" t="str">
        <f t="shared" si="89"/>
        <v>签约</v>
      </c>
      <c r="BB433" s="3226"/>
      <c r="BC433" s="3226"/>
      <c r="BD433" s="3292"/>
      <c r="BE433" s="3297" t="s">
        <v>4367</v>
      </c>
      <c r="BG433" s="3297">
        <f>IFERROR(VLOOKUP(B433,[3]Sheet2!A$1:B$65536,2,FALSE),0)</f>
        <v>0</v>
      </c>
      <c r="BI433" s="3297">
        <f>IFERROR(VLOOKUP(B433,[3]Sheet2!A$1:C$65536,2,FALSE),0)</f>
        <v>0</v>
      </c>
      <c r="BJ433" s="3297">
        <f>IFERROR(VLOOKUP(B433,[3]Sheet2!A$1:C$65536,3,FALSE),0)</f>
        <v>0</v>
      </c>
    </row>
    <row r="434" spans="1:64" s="3261" customFormat="1" ht="20.25" customHeight="1">
      <c r="A434" s="3226">
        <v>432</v>
      </c>
      <c r="B434" s="3250" t="s">
        <v>4007</v>
      </c>
      <c r="C434" s="3227" t="s">
        <v>3333</v>
      </c>
      <c r="D434" s="3251" t="s">
        <v>4008</v>
      </c>
      <c r="E434" s="3229">
        <v>44029</v>
      </c>
      <c r="F434" s="3230">
        <v>50000</v>
      </c>
      <c r="G434" s="3231">
        <v>135.32</v>
      </c>
      <c r="H434" s="3231" t="str">
        <f t="shared" si="80"/>
        <v>普通住宅</v>
      </c>
      <c r="I434" s="3230">
        <v>2085365</v>
      </c>
      <c r="J434" s="3229">
        <v>44029</v>
      </c>
      <c r="K434" s="3284">
        <f t="shared" si="81"/>
        <v>7</v>
      </c>
      <c r="L434" s="3230">
        <v>2065365</v>
      </c>
      <c r="M434" s="3235">
        <f t="shared" si="82"/>
        <v>15262.821460242389</v>
      </c>
      <c r="N434" s="3236">
        <v>575365</v>
      </c>
      <c r="O434" s="3244"/>
      <c r="P434" s="3244"/>
      <c r="Q434" s="3244"/>
      <c r="R434" s="3244">
        <f t="shared" si="83"/>
        <v>625365</v>
      </c>
      <c r="S434" s="3244"/>
      <c r="T434" s="3236"/>
      <c r="U434" s="3236"/>
      <c r="V434" s="3236"/>
      <c r="W434" s="3236"/>
      <c r="X434" s="3244">
        <f t="shared" si="84"/>
        <v>625365</v>
      </c>
      <c r="Y434" s="3244">
        <f t="shared" si="85"/>
        <v>1440000</v>
      </c>
      <c r="Z434" s="3285">
        <f t="shared" si="86"/>
        <v>0.3027866745103166</v>
      </c>
      <c r="AA434" s="3226" t="s">
        <v>3319</v>
      </c>
      <c r="AB434" s="3226" t="s">
        <v>4587</v>
      </c>
      <c r="AC434" s="3226" t="s">
        <v>4698</v>
      </c>
      <c r="AD434" s="3286" t="s">
        <v>4773</v>
      </c>
      <c r="AE434" s="3286" t="s">
        <v>4774</v>
      </c>
      <c r="AF434" s="3286"/>
      <c r="AG434" s="3323"/>
      <c r="AH434" s="3255"/>
      <c r="AI434" s="3255"/>
      <c r="AJ434" s="3255"/>
      <c r="AK434" s="3287" t="str">
        <f t="shared" si="87"/>
        <v/>
      </c>
      <c r="AL434" s="3288" t="str">
        <f t="shared" si="88"/>
        <v/>
      </c>
      <c r="AM434" s="3226"/>
      <c r="AN434" s="3289"/>
      <c r="AO434" s="3300"/>
      <c r="AP434" s="3300"/>
      <c r="AQ434" s="3300"/>
      <c r="AR434" s="3292"/>
      <c r="AS434" s="3292"/>
      <c r="AT434" s="3292"/>
      <c r="AU434" s="3293"/>
      <c r="AV434" s="3293"/>
      <c r="AW434" s="3294"/>
      <c r="AX434" s="3236"/>
      <c r="AY434" s="3244"/>
      <c r="AZ434" s="3325" t="s">
        <v>3385</v>
      </c>
      <c r="BA434" s="3296" t="str">
        <f t="shared" si="89"/>
        <v>签约</v>
      </c>
      <c r="BB434" s="3226"/>
      <c r="BC434" s="3226"/>
      <c r="BD434" s="3292"/>
      <c r="BE434" s="3297" t="s">
        <v>4696</v>
      </c>
      <c r="BG434" s="3297">
        <f>IFERROR(VLOOKUP(B434,[3]Sheet2!A$1:B$65536,2,FALSE),0)</f>
        <v>0</v>
      </c>
      <c r="BI434" s="3297">
        <f>IFERROR(VLOOKUP(B434,[3]Sheet2!A$1:C$65536,2,FALSE),0)</f>
        <v>0</v>
      </c>
      <c r="BJ434" s="3297">
        <f>IFERROR(VLOOKUP(B434,[3]Sheet2!A$1:C$65536,3,FALSE),0)</f>
        <v>0</v>
      </c>
    </row>
    <row r="435" spans="1:64" s="3261" customFormat="1" ht="20.25" customHeight="1">
      <c r="A435" s="3226">
        <v>433</v>
      </c>
      <c r="B435" s="3250" t="s">
        <v>4009</v>
      </c>
      <c r="C435" s="3227" t="s">
        <v>3333</v>
      </c>
      <c r="D435" s="3251" t="s">
        <v>4010</v>
      </c>
      <c r="E435" s="3229">
        <v>44023</v>
      </c>
      <c r="F435" s="3230">
        <v>50000</v>
      </c>
      <c r="G435" s="3231">
        <v>135.32</v>
      </c>
      <c r="H435" s="3231" t="str">
        <f t="shared" si="80"/>
        <v>普通住宅</v>
      </c>
      <c r="I435" s="3230">
        <v>1982549</v>
      </c>
      <c r="J435" s="3229">
        <v>44029</v>
      </c>
      <c r="K435" s="3284">
        <f t="shared" si="81"/>
        <v>7</v>
      </c>
      <c r="L435" s="3230">
        <v>1962549</v>
      </c>
      <c r="M435" s="3235">
        <f t="shared" si="82"/>
        <v>14503.022465267515</v>
      </c>
      <c r="N435" s="3236">
        <f>542549+770000</f>
        <v>1312549</v>
      </c>
      <c r="O435" s="3244"/>
      <c r="P435" s="3244"/>
      <c r="Q435" s="3244"/>
      <c r="R435" s="3244">
        <f t="shared" si="83"/>
        <v>1362549</v>
      </c>
      <c r="S435" s="3244"/>
      <c r="T435" s="3236"/>
      <c r="U435" s="3236"/>
      <c r="V435" s="3236"/>
      <c r="W435" s="3236"/>
      <c r="X435" s="3244">
        <f t="shared" si="84"/>
        <v>1362549</v>
      </c>
      <c r="Y435" s="3244">
        <f t="shared" si="85"/>
        <v>600000</v>
      </c>
      <c r="Z435" s="3285">
        <f t="shared" si="86"/>
        <v>0.69427514930837397</v>
      </c>
      <c r="AA435" s="3226" t="s">
        <v>3319</v>
      </c>
      <c r="AB435" s="3226" t="s">
        <v>4587</v>
      </c>
      <c r="AC435" s="3226" t="s">
        <v>4698</v>
      </c>
      <c r="AD435" s="3286" t="s">
        <v>4773</v>
      </c>
      <c r="AE435" s="3286" t="s">
        <v>4774</v>
      </c>
      <c r="AF435" s="3286"/>
      <c r="AG435" s="3323"/>
      <c r="AH435" s="3255"/>
      <c r="AI435" s="3255"/>
      <c r="AJ435" s="3255"/>
      <c r="AK435" s="3287" t="str">
        <f t="shared" si="87"/>
        <v/>
      </c>
      <c r="AL435" s="3288" t="str">
        <f t="shared" si="88"/>
        <v/>
      </c>
      <c r="AM435" s="3226"/>
      <c r="AN435" s="3289"/>
      <c r="AO435" s="3300"/>
      <c r="AP435" s="3300"/>
      <c r="AQ435" s="3300"/>
      <c r="AR435" s="3292"/>
      <c r="AS435" s="3292"/>
      <c r="AT435" s="3292"/>
      <c r="AU435" s="3293"/>
      <c r="AV435" s="3293"/>
      <c r="AW435" s="3294"/>
      <c r="AX435" s="3236"/>
      <c r="AY435" s="3244"/>
      <c r="AZ435" s="3325" t="s">
        <v>4882</v>
      </c>
      <c r="BA435" s="3296" t="str">
        <f t="shared" si="89"/>
        <v>签约</v>
      </c>
      <c r="BB435" s="3226"/>
      <c r="BC435" s="3226"/>
      <c r="BD435" s="3292"/>
      <c r="BE435" s="3297" t="s">
        <v>4367</v>
      </c>
      <c r="BG435" s="3297">
        <f>IFERROR(VLOOKUP(B435,[3]Sheet2!A$1:B$65536,2,FALSE),0)</f>
        <v>0</v>
      </c>
      <c r="BI435" s="3297">
        <f>IFERROR(VLOOKUP(B435,[3]Sheet2!A$1:C$65536,2,FALSE),0)</f>
        <v>0</v>
      </c>
      <c r="BJ435" s="3297">
        <f>IFERROR(VLOOKUP(B435,[3]Sheet2!A$1:C$65536,3,FALSE),0)</f>
        <v>0</v>
      </c>
    </row>
    <row r="436" spans="1:64" s="3261" customFormat="1" ht="20.25" customHeight="1">
      <c r="A436" s="3226">
        <v>434</v>
      </c>
      <c r="B436" s="3250" t="s">
        <v>4011</v>
      </c>
      <c r="C436" s="3227" t="s">
        <v>3333</v>
      </c>
      <c r="D436" s="3251" t="s">
        <v>3953</v>
      </c>
      <c r="E436" s="3229">
        <v>44029</v>
      </c>
      <c r="F436" s="3230">
        <v>0</v>
      </c>
      <c r="G436" s="3231">
        <v>135.32</v>
      </c>
      <c r="H436" s="3231" t="str">
        <f t="shared" si="80"/>
        <v>普通住宅</v>
      </c>
      <c r="I436" s="3230">
        <v>2010451</v>
      </c>
      <c r="J436" s="3229">
        <v>44029</v>
      </c>
      <c r="K436" s="3284">
        <f t="shared" si="81"/>
        <v>7</v>
      </c>
      <c r="L436" s="3230">
        <v>1990451</v>
      </c>
      <c r="M436" s="3235">
        <f t="shared" si="82"/>
        <v>14709.215193615135</v>
      </c>
      <c r="N436" s="3236">
        <f>1940451+50000</f>
        <v>1990451</v>
      </c>
      <c r="O436" s="3244"/>
      <c r="P436" s="3244"/>
      <c r="Q436" s="3244"/>
      <c r="R436" s="3244">
        <f t="shared" si="83"/>
        <v>1990451</v>
      </c>
      <c r="S436" s="3244"/>
      <c r="T436" s="3236"/>
      <c r="U436" s="3236"/>
      <c r="V436" s="3236"/>
      <c r="W436" s="3236"/>
      <c r="X436" s="3244">
        <f t="shared" si="84"/>
        <v>1990451</v>
      </c>
      <c r="Y436" s="3244">
        <f t="shared" si="85"/>
        <v>0</v>
      </c>
      <c r="Z436" s="3285">
        <f t="shared" si="86"/>
        <v>1</v>
      </c>
      <c r="AA436" s="3226" t="s">
        <v>3319</v>
      </c>
      <c r="AB436" s="3226" t="s">
        <v>4676</v>
      </c>
      <c r="AC436" s="3226"/>
      <c r="AD436" s="3286"/>
      <c r="AE436" s="3286"/>
      <c r="AF436" s="3286"/>
      <c r="AG436" s="3323"/>
      <c r="AH436" s="3255"/>
      <c r="AI436" s="3255"/>
      <c r="AJ436" s="3255"/>
      <c r="AK436" s="3287" t="str">
        <f t="shared" si="87"/>
        <v/>
      </c>
      <c r="AL436" s="3288" t="str">
        <f t="shared" si="88"/>
        <v/>
      </c>
      <c r="AM436" s="3226"/>
      <c r="AN436" s="3289"/>
      <c r="AO436" s="3300"/>
      <c r="AP436" s="3300"/>
      <c r="AQ436" s="3300"/>
      <c r="AR436" s="3292"/>
      <c r="AS436" s="3292"/>
      <c r="AT436" s="3292"/>
      <c r="AU436" s="3293"/>
      <c r="AV436" s="3293"/>
      <c r="AW436" s="3294"/>
      <c r="AX436" s="3236"/>
      <c r="AY436" s="3244"/>
      <c r="AZ436" s="3325" t="s">
        <v>4882</v>
      </c>
      <c r="BA436" s="3296" t="str">
        <f t="shared" si="89"/>
        <v>签约</v>
      </c>
      <c r="BB436" s="3226"/>
      <c r="BC436" s="3226"/>
      <c r="BD436" s="3292"/>
      <c r="BE436" s="3297" t="s">
        <v>4367</v>
      </c>
      <c r="BG436" s="3297">
        <f>IFERROR(VLOOKUP(B436,[3]Sheet2!A$1:B$65536,2,FALSE),0)</f>
        <v>0</v>
      </c>
      <c r="BI436" s="3297">
        <f>IFERROR(VLOOKUP(B436,[3]Sheet2!A$1:C$65536,2,FALSE),0)</f>
        <v>0</v>
      </c>
      <c r="BJ436" s="3297">
        <f>IFERROR(VLOOKUP(B436,[3]Sheet2!A$1:C$65536,3,FALSE),0)</f>
        <v>0</v>
      </c>
    </row>
    <row r="437" spans="1:64" s="3261" customFormat="1" ht="20.25" customHeight="1">
      <c r="A437" s="3226">
        <v>435</v>
      </c>
      <c r="B437" s="3250" t="s">
        <v>4012</v>
      </c>
      <c r="C437" s="3227" t="s">
        <v>3333</v>
      </c>
      <c r="D437" s="3251" t="s">
        <v>4013</v>
      </c>
      <c r="E437" s="3229">
        <v>44023</v>
      </c>
      <c r="F437" s="3230">
        <v>50000</v>
      </c>
      <c r="G437" s="3231">
        <v>135.32</v>
      </c>
      <c r="H437" s="3231" t="str">
        <f t="shared" si="80"/>
        <v>普通住宅</v>
      </c>
      <c r="I437" s="3230">
        <v>2038352</v>
      </c>
      <c r="J437" s="3229">
        <v>44028</v>
      </c>
      <c r="K437" s="3284">
        <f t="shared" si="81"/>
        <v>7</v>
      </c>
      <c r="L437" s="3230">
        <v>2018352</v>
      </c>
      <c r="M437" s="3235">
        <f t="shared" si="82"/>
        <v>14915.400532072126</v>
      </c>
      <c r="N437" s="3236">
        <v>1358352</v>
      </c>
      <c r="O437" s="3244"/>
      <c r="P437" s="3244"/>
      <c r="Q437" s="3244"/>
      <c r="R437" s="3244">
        <f t="shared" si="83"/>
        <v>1408352</v>
      </c>
      <c r="S437" s="3244"/>
      <c r="T437" s="3236"/>
      <c r="U437" s="3236"/>
      <c r="V437" s="3236">
        <v>610000</v>
      </c>
      <c r="W437" s="3236"/>
      <c r="X437" s="3244">
        <f t="shared" si="84"/>
        <v>2018352</v>
      </c>
      <c r="Y437" s="3244">
        <f t="shared" si="85"/>
        <v>0</v>
      </c>
      <c r="Z437" s="3285">
        <f t="shared" si="86"/>
        <v>1</v>
      </c>
      <c r="AA437" s="3226" t="s">
        <v>3319</v>
      </c>
      <c r="AB437" s="3226" t="s">
        <v>4587</v>
      </c>
      <c r="AC437" s="3226" t="s">
        <v>4698</v>
      </c>
      <c r="AD437" s="3286" t="s">
        <v>4539</v>
      </c>
      <c r="AE437" s="3286" t="s">
        <v>4427</v>
      </c>
      <c r="AF437" s="3286"/>
      <c r="AG437" s="3323"/>
      <c r="AH437" s="3255">
        <v>44028</v>
      </c>
      <c r="AI437" s="3255">
        <v>44032</v>
      </c>
      <c r="AJ437" s="3255">
        <v>44046</v>
      </c>
      <c r="AK437" s="3287">
        <f t="shared" si="87"/>
        <v>2020</v>
      </c>
      <c r="AL437" s="3288">
        <f t="shared" si="88"/>
        <v>8</v>
      </c>
      <c r="AM437" s="3226" t="s">
        <v>4701</v>
      </c>
      <c r="AN437" s="3289">
        <v>610000</v>
      </c>
      <c r="AO437" s="3300"/>
      <c r="AP437" s="3300"/>
      <c r="AQ437" s="3300"/>
      <c r="AR437" s="3292"/>
      <c r="AS437" s="3292"/>
      <c r="AT437" s="3292"/>
      <c r="AU437" s="3293"/>
      <c r="AV437" s="3293"/>
      <c r="AW437" s="3294"/>
      <c r="AX437" s="3236"/>
      <c r="AY437" s="3244"/>
      <c r="AZ437" s="3325" t="s">
        <v>4437</v>
      </c>
      <c r="BA437" s="3296" t="str">
        <f t="shared" si="89"/>
        <v>签约</v>
      </c>
      <c r="BB437" s="3226"/>
      <c r="BC437" s="3226"/>
      <c r="BD437" s="3292"/>
      <c r="BE437" s="3297" t="s">
        <v>4449</v>
      </c>
      <c r="BG437" s="3297">
        <f>IFERROR(VLOOKUP(B437,[3]Sheet2!A$1:B$65536,2,FALSE),0)</f>
        <v>0</v>
      </c>
      <c r="BI437" s="3297">
        <f>IFERROR(VLOOKUP(B437,[3]Sheet2!A$1:C$65536,2,FALSE),0)</f>
        <v>0</v>
      </c>
      <c r="BJ437" s="3297">
        <f>IFERROR(VLOOKUP(B437,[3]Sheet2!A$1:C$65536,3,FALSE),0)</f>
        <v>0</v>
      </c>
    </row>
    <row r="438" spans="1:64" s="3261" customFormat="1" ht="20.25" customHeight="1">
      <c r="A438" s="3226">
        <v>436</v>
      </c>
      <c r="B438" s="3250" t="s">
        <v>4014</v>
      </c>
      <c r="C438" s="3227" t="s">
        <v>3333</v>
      </c>
      <c r="D438" s="3251" t="s">
        <v>4015</v>
      </c>
      <c r="E438" s="3229">
        <v>44023</v>
      </c>
      <c r="F438" s="3230">
        <v>50000</v>
      </c>
      <c r="G438" s="3231">
        <v>135.32</v>
      </c>
      <c r="H438" s="3231" t="str">
        <f t="shared" si="80"/>
        <v>普通住宅</v>
      </c>
      <c r="I438" s="3230">
        <v>2066253</v>
      </c>
      <c r="J438" s="3229">
        <v>44028</v>
      </c>
      <c r="K438" s="3284">
        <f t="shared" si="81"/>
        <v>7</v>
      </c>
      <c r="L438" s="3230">
        <v>2046253</v>
      </c>
      <c r="M438" s="3235">
        <f t="shared" si="82"/>
        <v>15121.585870529118</v>
      </c>
      <c r="N438" s="3236">
        <f>566253+1430000</f>
        <v>1996253</v>
      </c>
      <c r="O438" s="3244"/>
      <c r="P438" s="3244"/>
      <c r="Q438" s="3244"/>
      <c r="R438" s="3244">
        <f t="shared" si="83"/>
        <v>2046253</v>
      </c>
      <c r="S438" s="3244"/>
      <c r="T438" s="3236"/>
      <c r="U438" s="3236"/>
      <c r="V438" s="3236"/>
      <c r="W438" s="3236"/>
      <c r="X438" s="3244">
        <f t="shared" si="84"/>
        <v>2046253</v>
      </c>
      <c r="Y438" s="3244">
        <f t="shared" si="85"/>
        <v>0</v>
      </c>
      <c r="Z438" s="3285">
        <f t="shared" si="86"/>
        <v>1</v>
      </c>
      <c r="AA438" s="3226" t="s">
        <v>3319</v>
      </c>
      <c r="AB438" s="3226" t="s">
        <v>4676</v>
      </c>
      <c r="AC438" s="3226"/>
      <c r="AD438" s="3286"/>
      <c r="AE438" s="3286"/>
      <c r="AF438" s="3286"/>
      <c r="AG438" s="3323"/>
      <c r="AH438" s="3255"/>
      <c r="AI438" s="3255"/>
      <c r="AJ438" s="3255"/>
      <c r="AK438" s="3287" t="str">
        <f t="shared" si="87"/>
        <v/>
      </c>
      <c r="AL438" s="3288" t="str">
        <f t="shared" si="88"/>
        <v/>
      </c>
      <c r="AM438" s="3226"/>
      <c r="AN438" s="3289"/>
      <c r="AO438" s="3300"/>
      <c r="AP438" s="3300"/>
      <c r="AQ438" s="3300"/>
      <c r="AR438" s="3292"/>
      <c r="AS438" s="3292"/>
      <c r="AT438" s="3292"/>
      <c r="AU438" s="3293"/>
      <c r="AV438" s="3293"/>
      <c r="AW438" s="3294"/>
      <c r="AX438" s="3236"/>
      <c r="AY438" s="3244"/>
      <c r="AZ438" s="3325" t="s">
        <v>3385</v>
      </c>
      <c r="BA438" s="3296" t="str">
        <f t="shared" si="89"/>
        <v>签约</v>
      </c>
      <c r="BB438" s="3226"/>
      <c r="BC438" s="3226"/>
      <c r="BD438" s="3292"/>
      <c r="BE438" s="3297" t="s">
        <v>4696</v>
      </c>
      <c r="BG438" s="3297">
        <f>IFERROR(VLOOKUP(B438,[3]Sheet2!A$1:B$65536,2,FALSE),0)</f>
        <v>0</v>
      </c>
      <c r="BI438" s="3297">
        <f>IFERROR(VLOOKUP(B438,[3]Sheet2!A$1:C$65536,2,FALSE),0)</f>
        <v>0</v>
      </c>
      <c r="BJ438" s="3297">
        <f>IFERROR(VLOOKUP(B438,[3]Sheet2!A$1:C$65536,3,FALSE),0)</f>
        <v>0</v>
      </c>
    </row>
    <row r="439" spans="1:64" s="3261" customFormat="1" ht="20.25" customHeight="1">
      <c r="A439" s="3226">
        <v>437</v>
      </c>
      <c r="B439" s="3250" t="s">
        <v>4016</v>
      </c>
      <c r="C439" s="3227" t="s">
        <v>3333</v>
      </c>
      <c r="D439" s="3251" t="s">
        <v>4017</v>
      </c>
      <c r="E439" s="3229">
        <v>44023</v>
      </c>
      <c r="F439" s="3230">
        <v>50000</v>
      </c>
      <c r="G439" s="3231">
        <v>135.32</v>
      </c>
      <c r="H439" s="3231" t="str">
        <f t="shared" si="80"/>
        <v>普通住宅</v>
      </c>
      <c r="I439" s="3230">
        <v>2094154</v>
      </c>
      <c r="J439" s="3229">
        <v>44025</v>
      </c>
      <c r="K439" s="3284">
        <f t="shared" si="81"/>
        <v>7</v>
      </c>
      <c r="L439" s="3230">
        <v>2074154</v>
      </c>
      <c r="M439" s="3235">
        <f t="shared" si="82"/>
        <v>15327.771208986107</v>
      </c>
      <c r="N439" s="3236">
        <v>924154</v>
      </c>
      <c r="O439" s="3244"/>
      <c r="P439" s="3244"/>
      <c r="Q439" s="3244"/>
      <c r="R439" s="3244">
        <f t="shared" si="83"/>
        <v>974154</v>
      </c>
      <c r="S439" s="3244"/>
      <c r="T439" s="3236"/>
      <c r="U439" s="3236"/>
      <c r="V439" s="3236">
        <v>1100000</v>
      </c>
      <c r="W439" s="3236"/>
      <c r="X439" s="3244">
        <f t="shared" si="84"/>
        <v>2074154</v>
      </c>
      <c r="Y439" s="3244">
        <f t="shared" si="85"/>
        <v>0</v>
      </c>
      <c r="Z439" s="3285">
        <f t="shared" si="86"/>
        <v>1</v>
      </c>
      <c r="AA439" s="3226" t="s">
        <v>3319</v>
      </c>
      <c r="AB439" s="3226" t="s">
        <v>4587</v>
      </c>
      <c r="AC439" s="3226" t="s">
        <v>4698</v>
      </c>
      <c r="AD439" s="3286" t="s">
        <v>4539</v>
      </c>
      <c r="AE439" s="3286" t="s">
        <v>4427</v>
      </c>
      <c r="AF439" s="3286"/>
      <c r="AG439" s="3323"/>
      <c r="AH439" s="3255">
        <v>44025</v>
      </c>
      <c r="AI439" s="3255">
        <v>44032</v>
      </c>
      <c r="AJ439" s="3255">
        <v>44039</v>
      </c>
      <c r="AK439" s="3287">
        <f t="shared" si="87"/>
        <v>2020</v>
      </c>
      <c r="AL439" s="3288">
        <f t="shared" si="88"/>
        <v>7</v>
      </c>
      <c r="AM439" s="3226" t="s">
        <v>4739</v>
      </c>
      <c r="AN439" s="3289">
        <v>1100000</v>
      </c>
      <c r="AO439" s="3300"/>
      <c r="AP439" s="3300"/>
      <c r="AQ439" s="3300"/>
      <c r="AR439" s="3292"/>
      <c r="AS439" s="3292"/>
      <c r="AT439" s="3292"/>
      <c r="AU439" s="3293"/>
      <c r="AV439" s="3293"/>
      <c r="AW439" s="3294"/>
      <c r="AX439" s="3236"/>
      <c r="AY439" s="3244"/>
      <c r="AZ439" s="3325" t="s">
        <v>4441</v>
      </c>
      <c r="BA439" s="3296" t="str">
        <f t="shared" si="89"/>
        <v>签约</v>
      </c>
      <c r="BB439" s="3226"/>
      <c r="BC439" s="3226"/>
      <c r="BD439" s="3292"/>
      <c r="BE439" s="3297" t="s">
        <v>4696</v>
      </c>
      <c r="BG439" s="3297">
        <f>IFERROR(VLOOKUP(B439,[3]Sheet2!A$1:B$65536,2,FALSE),0)</f>
        <v>0</v>
      </c>
      <c r="BI439" s="3297">
        <f>IFERROR(VLOOKUP(B439,[3]Sheet2!A$1:C$65536,2,FALSE),0)</f>
        <v>0</v>
      </c>
      <c r="BJ439" s="3297">
        <f>IFERROR(VLOOKUP(B439,[3]Sheet2!A$1:C$65536,3,FALSE),0)</f>
        <v>0</v>
      </c>
    </row>
    <row r="440" spans="1:64" s="3261" customFormat="1" ht="20.25" customHeight="1">
      <c r="A440" s="3226">
        <v>438</v>
      </c>
      <c r="B440" s="3250" t="s">
        <v>4018</v>
      </c>
      <c r="C440" s="3227" t="s">
        <v>3333</v>
      </c>
      <c r="D440" s="3251" t="s">
        <v>4019</v>
      </c>
      <c r="E440" s="3229">
        <v>44023</v>
      </c>
      <c r="F440" s="3230">
        <v>50000</v>
      </c>
      <c r="G440" s="3231">
        <v>135.32</v>
      </c>
      <c r="H440" s="3231" t="str">
        <f t="shared" si="80"/>
        <v>普通住宅</v>
      </c>
      <c r="I440" s="3230">
        <v>2122055</v>
      </c>
      <c r="J440" s="3229">
        <v>44027</v>
      </c>
      <c r="K440" s="3284">
        <f t="shared" si="81"/>
        <v>7</v>
      </c>
      <c r="L440" s="3230">
        <v>2102055</v>
      </c>
      <c r="M440" s="3235">
        <f t="shared" si="82"/>
        <v>15533.956547443098</v>
      </c>
      <c r="N440" s="3236">
        <v>1602055</v>
      </c>
      <c r="O440" s="3244"/>
      <c r="P440" s="3244"/>
      <c r="Q440" s="3244"/>
      <c r="R440" s="3244">
        <f t="shared" si="83"/>
        <v>1652055</v>
      </c>
      <c r="S440" s="3244"/>
      <c r="T440" s="3236"/>
      <c r="U440" s="3236"/>
      <c r="V440" s="3236"/>
      <c r="W440" s="3236"/>
      <c r="X440" s="3244">
        <f t="shared" si="84"/>
        <v>1652055</v>
      </c>
      <c r="Y440" s="3244">
        <f t="shared" si="85"/>
        <v>450000</v>
      </c>
      <c r="Z440" s="3285">
        <f t="shared" si="86"/>
        <v>0.78592377459200635</v>
      </c>
      <c r="AA440" s="3226" t="s">
        <v>3319</v>
      </c>
      <c r="AB440" s="3226" t="s">
        <v>4587</v>
      </c>
      <c r="AC440" s="3226" t="s">
        <v>4698</v>
      </c>
      <c r="AD440" s="3286" t="s">
        <v>4773</v>
      </c>
      <c r="AE440" s="3286" t="s">
        <v>4774</v>
      </c>
      <c r="AF440" s="3286"/>
      <c r="AG440" s="3323"/>
      <c r="AH440" s="3255"/>
      <c r="AI440" s="3255"/>
      <c r="AJ440" s="3255"/>
      <c r="AK440" s="3287" t="str">
        <f t="shared" si="87"/>
        <v/>
      </c>
      <c r="AL440" s="3288" t="str">
        <f t="shared" si="88"/>
        <v/>
      </c>
      <c r="AM440" s="3226"/>
      <c r="AN440" s="3289"/>
      <c r="AO440" s="3300"/>
      <c r="AP440" s="3300"/>
      <c r="AQ440" s="3300"/>
      <c r="AR440" s="3292"/>
      <c r="AS440" s="3292"/>
      <c r="AT440" s="3292"/>
      <c r="AU440" s="3293"/>
      <c r="AV440" s="3293"/>
      <c r="AW440" s="3294"/>
      <c r="AX440" s="3236"/>
      <c r="AY440" s="3244"/>
      <c r="AZ440" s="3325" t="s">
        <v>4735</v>
      </c>
      <c r="BA440" s="3296" t="str">
        <f t="shared" si="89"/>
        <v>签约</v>
      </c>
      <c r="BB440" s="3226"/>
      <c r="BC440" s="3226"/>
      <c r="BD440" s="3292"/>
      <c r="BE440" s="3297" t="s">
        <v>4449</v>
      </c>
      <c r="BG440" s="3297">
        <f>IFERROR(VLOOKUP(B440,[3]Sheet2!A$1:B$65536,2,FALSE),0)</f>
        <v>0</v>
      </c>
      <c r="BI440" s="3297">
        <f>IFERROR(VLOOKUP(B440,[3]Sheet2!A$1:C$65536,2,FALSE),0)</f>
        <v>0</v>
      </c>
      <c r="BJ440" s="3297">
        <f>IFERROR(VLOOKUP(B440,[3]Sheet2!A$1:C$65536,3,FALSE),0)</f>
        <v>0</v>
      </c>
    </row>
    <row r="441" spans="1:64" s="3261" customFormat="1" ht="20.25" customHeight="1">
      <c r="A441" s="3226">
        <v>439</v>
      </c>
      <c r="B441" s="3250" t="s">
        <v>4020</v>
      </c>
      <c r="C441" s="3227" t="s">
        <v>3333</v>
      </c>
      <c r="D441" s="3251" t="s">
        <v>4021</v>
      </c>
      <c r="E441" s="3229">
        <v>44023</v>
      </c>
      <c r="F441" s="3230">
        <v>50000</v>
      </c>
      <c r="G441" s="3231">
        <v>135.32</v>
      </c>
      <c r="H441" s="3231" t="str">
        <f t="shared" si="80"/>
        <v>普通住宅</v>
      </c>
      <c r="I441" s="3230">
        <v>2149956</v>
      </c>
      <c r="J441" s="3229">
        <v>44026</v>
      </c>
      <c r="K441" s="3284">
        <f t="shared" si="81"/>
        <v>7</v>
      </c>
      <c r="L441" s="3230">
        <v>2129956</v>
      </c>
      <c r="M441" s="3235">
        <f t="shared" si="82"/>
        <v>15740.14188590009</v>
      </c>
      <c r="N441" s="3236">
        <v>589956</v>
      </c>
      <c r="O441" s="3244"/>
      <c r="P441" s="3244"/>
      <c r="Q441" s="3244"/>
      <c r="R441" s="3244">
        <f t="shared" si="83"/>
        <v>639956</v>
      </c>
      <c r="S441" s="3244"/>
      <c r="T441" s="3236"/>
      <c r="U441" s="3236"/>
      <c r="V441" s="3236"/>
      <c r="W441" s="3236"/>
      <c r="X441" s="3244">
        <f t="shared" si="84"/>
        <v>639956</v>
      </c>
      <c r="Y441" s="3244">
        <f t="shared" si="85"/>
        <v>1490000</v>
      </c>
      <c r="Z441" s="3285">
        <f t="shared" si="86"/>
        <v>0.3004550328739185</v>
      </c>
      <c r="AA441" s="3226" t="s">
        <v>3319</v>
      </c>
      <c r="AB441" s="3226" t="s">
        <v>4587</v>
      </c>
      <c r="AC441" s="3226" t="s">
        <v>4698</v>
      </c>
      <c r="AD441" s="3286" t="s">
        <v>4773</v>
      </c>
      <c r="AE441" s="3286" t="s">
        <v>4774</v>
      </c>
      <c r="AF441" s="3286"/>
      <c r="AG441" s="3323"/>
      <c r="AH441" s="3255"/>
      <c r="AI441" s="3255"/>
      <c r="AJ441" s="3255"/>
      <c r="AK441" s="3287" t="str">
        <f t="shared" si="87"/>
        <v/>
      </c>
      <c r="AL441" s="3288" t="str">
        <f t="shared" si="88"/>
        <v/>
      </c>
      <c r="AM441" s="3226"/>
      <c r="AN441" s="3289"/>
      <c r="AO441" s="3300"/>
      <c r="AP441" s="3300"/>
      <c r="AQ441" s="3300"/>
      <c r="AR441" s="3292"/>
      <c r="AS441" s="3292"/>
      <c r="AT441" s="3292"/>
      <c r="AU441" s="3293"/>
      <c r="AV441" s="3293"/>
      <c r="AW441" s="3294"/>
      <c r="AX441" s="3236"/>
      <c r="AY441" s="3244"/>
      <c r="AZ441" s="3325" t="s">
        <v>4445</v>
      </c>
      <c r="BA441" s="3296" t="str">
        <f t="shared" si="89"/>
        <v>签约</v>
      </c>
      <c r="BB441" s="3226"/>
      <c r="BC441" s="3226"/>
      <c r="BD441" s="3292"/>
      <c r="BE441" s="3297" t="s">
        <v>4449</v>
      </c>
      <c r="BG441" s="3297">
        <f>IFERROR(VLOOKUP(B441,[3]Sheet2!A$1:B$65536,2,FALSE),0)</f>
        <v>0</v>
      </c>
      <c r="BI441" s="3297">
        <f>IFERROR(VLOOKUP(B441,[3]Sheet2!A$1:C$65536,2,FALSE),0)</f>
        <v>0</v>
      </c>
      <c r="BJ441" s="3297">
        <f>IFERROR(VLOOKUP(B441,[3]Sheet2!A$1:C$65536,3,FALSE),0)</f>
        <v>0</v>
      </c>
    </row>
    <row r="442" spans="1:64" s="3261" customFormat="1" ht="20.25" customHeight="1">
      <c r="A442" s="3226">
        <v>440</v>
      </c>
      <c r="B442" s="3250" t="s">
        <v>4022</v>
      </c>
      <c r="C442" s="3227" t="s">
        <v>3333</v>
      </c>
      <c r="D442" s="3251" t="s">
        <v>4023</v>
      </c>
      <c r="E442" s="3229">
        <v>44023</v>
      </c>
      <c r="F442" s="3230">
        <v>50000</v>
      </c>
      <c r="G442" s="3231">
        <v>135.32</v>
      </c>
      <c r="H442" s="3231" t="str">
        <f t="shared" si="80"/>
        <v>普通住宅</v>
      </c>
      <c r="I442" s="3230">
        <v>2177857</v>
      </c>
      <c r="J442" s="3229">
        <v>44029</v>
      </c>
      <c r="K442" s="3284">
        <f t="shared" si="81"/>
        <v>7</v>
      </c>
      <c r="L442" s="3230">
        <v>2177857</v>
      </c>
      <c r="M442" s="3235">
        <f t="shared" si="82"/>
        <v>16094.125036949454</v>
      </c>
      <c r="N442" s="3236">
        <v>1127857</v>
      </c>
      <c r="O442" s="3244"/>
      <c r="P442" s="3244"/>
      <c r="Q442" s="3244"/>
      <c r="R442" s="3244">
        <f t="shared" si="83"/>
        <v>1177857</v>
      </c>
      <c r="S442" s="3244"/>
      <c r="T442" s="3236"/>
      <c r="U442" s="3236"/>
      <c r="V442" s="3236">
        <v>1000000</v>
      </c>
      <c r="W442" s="3236"/>
      <c r="X442" s="3244">
        <f t="shared" si="84"/>
        <v>2177857</v>
      </c>
      <c r="Y442" s="3244">
        <f t="shared" si="85"/>
        <v>0</v>
      </c>
      <c r="Z442" s="3285">
        <f t="shared" si="86"/>
        <v>1</v>
      </c>
      <c r="AA442" s="3226" t="s">
        <v>3319</v>
      </c>
      <c r="AB442" s="3226" t="s">
        <v>4587</v>
      </c>
      <c r="AC442" s="3226" t="s">
        <v>4698</v>
      </c>
      <c r="AD442" s="3286" t="s">
        <v>4539</v>
      </c>
      <c r="AE442" s="3286" t="s">
        <v>4427</v>
      </c>
      <c r="AF442" s="3286"/>
      <c r="AG442" s="3323"/>
      <c r="AH442" s="3255">
        <v>44028</v>
      </c>
      <c r="AI442" s="3255">
        <v>44032</v>
      </c>
      <c r="AJ442" s="3255">
        <v>44041</v>
      </c>
      <c r="AK442" s="3287">
        <f t="shared" si="87"/>
        <v>2020</v>
      </c>
      <c r="AL442" s="3288">
        <f t="shared" si="88"/>
        <v>7</v>
      </c>
      <c r="AM442" s="3226" t="s">
        <v>4433</v>
      </c>
      <c r="AN442" s="3289">
        <v>1000000</v>
      </c>
      <c r="AO442" s="3300"/>
      <c r="AP442" s="3300"/>
      <c r="AQ442" s="3300"/>
      <c r="AR442" s="3292"/>
      <c r="AS442" s="3292"/>
      <c r="AT442" s="3292"/>
      <c r="AU442" s="3293"/>
      <c r="AV442" s="3293"/>
      <c r="AW442" s="3294"/>
      <c r="AX442" s="3236"/>
      <c r="AY442" s="3244"/>
      <c r="AZ442" s="3325" t="s">
        <v>4735</v>
      </c>
      <c r="BA442" s="3296" t="str">
        <f t="shared" si="89"/>
        <v>签约</v>
      </c>
      <c r="BB442" s="3226"/>
      <c r="BC442" s="3226"/>
      <c r="BD442" s="3292"/>
      <c r="BE442" s="3297" t="s">
        <v>4367</v>
      </c>
      <c r="BG442" s="3297"/>
      <c r="BI442" s="3297">
        <f>IFERROR(VLOOKUP(B442,[3]Sheet2!A$1:C$65536,2,FALSE),0)</f>
        <v>1000000</v>
      </c>
      <c r="BJ442" s="3297" t="str">
        <f>IFERROR(VLOOKUP(B442,[3]Sheet2!A$1:C$65536,3,FALSE),0)</f>
        <v>中国银行湾里支行</v>
      </c>
      <c r="BL442" s="3261">
        <f>BI442-AN442</f>
        <v>0</v>
      </c>
    </row>
    <row r="443" spans="1:64" s="3261" customFormat="1" ht="20.25" customHeight="1">
      <c r="A443" s="3226">
        <v>441</v>
      </c>
      <c r="B443" s="3250" t="s">
        <v>4024</v>
      </c>
      <c r="C443" s="3227" t="s">
        <v>3333</v>
      </c>
      <c r="D443" s="3251" t="s">
        <v>3648</v>
      </c>
      <c r="E443" s="3229">
        <v>44027</v>
      </c>
      <c r="F443" s="3230">
        <v>0</v>
      </c>
      <c r="G443" s="3231">
        <v>135.32</v>
      </c>
      <c r="H443" s="3231" t="str">
        <f t="shared" si="80"/>
        <v>普通住宅</v>
      </c>
      <c r="I443" s="3230">
        <v>2205758</v>
      </c>
      <c r="J443" s="3229">
        <v>44027</v>
      </c>
      <c r="K443" s="3284">
        <f t="shared" si="81"/>
        <v>7</v>
      </c>
      <c r="L443" s="3230">
        <v>2185758</v>
      </c>
      <c r="M443" s="3235">
        <f t="shared" si="82"/>
        <v>16152.51256281407</v>
      </c>
      <c r="N443" s="3236">
        <v>635758</v>
      </c>
      <c r="O443" s="3244"/>
      <c r="P443" s="3244"/>
      <c r="Q443" s="3244"/>
      <c r="R443" s="3244">
        <f t="shared" si="83"/>
        <v>635758</v>
      </c>
      <c r="S443" s="3244"/>
      <c r="T443" s="3236"/>
      <c r="U443" s="3236"/>
      <c r="V443" s="3236"/>
      <c r="W443" s="3236"/>
      <c r="X443" s="3244">
        <f t="shared" si="84"/>
        <v>635758</v>
      </c>
      <c r="Y443" s="3244">
        <f t="shared" si="85"/>
        <v>1550000</v>
      </c>
      <c r="Z443" s="3285">
        <f t="shared" si="86"/>
        <v>0.29086385592549585</v>
      </c>
      <c r="AA443" s="3226" t="s">
        <v>3319</v>
      </c>
      <c r="AB443" s="3226" t="s">
        <v>4587</v>
      </c>
      <c r="AC443" s="3226" t="s">
        <v>4698</v>
      </c>
      <c r="AD443" s="3286" t="s">
        <v>4773</v>
      </c>
      <c r="AE443" s="3286" t="s">
        <v>4774</v>
      </c>
      <c r="AF443" s="3286"/>
      <c r="AG443" s="3323"/>
      <c r="AH443" s="3255"/>
      <c r="AI443" s="3255"/>
      <c r="AJ443" s="3255"/>
      <c r="AK443" s="3287" t="str">
        <f t="shared" si="87"/>
        <v/>
      </c>
      <c r="AL443" s="3288" t="str">
        <f t="shared" si="88"/>
        <v/>
      </c>
      <c r="AM443" s="3226"/>
      <c r="AN443" s="3289"/>
      <c r="AO443" s="3300"/>
      <c r="AP443" s="3300"/>
      <c r="AQ443" s="3300"/>
      <c r="AR443" s="3292"/>
      <c r="AS443" s="3292"/>
      <c r="AT443" s="3292"/>
      <c r="AU443" s="3293"/>
      <c r="AV443" s="3293"/>
      <c r="AW443" s="3294"/>
      <c r="AX443" s="3236"/>
      <c r="AY443" s="3244"/>
      <c r="AZ443" s="3325" t="s">
        <v>4429</v>
      </c>
      <c r="BA443" s="3296" t="str">
        <f t="shared" si="89"/>
        <v>签约</v>
      </c>
      <c r="BB443" s="3226"/>
      <c r="BC443" s="3226"/>
      <c r="BD443" s="3292"/>
      <c r="BE443" s="3297" t="s">
        <v>4465</v>
      </c>
      <c r="BG443" s="3297">
        <f>IFERROR(VLOOKUP(B443,[3]Sheet2!A$1:B$65536,2,FALSE),0)</f>
        <v>0</v>
      </c>
      <c r="BI443" s="3297">
        <f>IFERROR(VLOOKUP(B443,[3]Sheet2!A$1:C$65536,2,FALSE),0)</f>
        <v>0</v>
      </c>
      <c r="BJ443" s="3297">
        <f>IFERROR(VLOOKUP(B443,[3]Sheet2!A$1:C$65536,3,FALSE),0)</f>
        <v>0</v>
      </c>
    </row>
    <row r="444" spans="1:64" s="3261" customFormat="1" ht="20.25" customHeight="1">
      <c r="A444" s="3226">
        <v>442</v>
      </c>
      <c r="B444" s="3250" t="s">
        <v>4025</v>
      </c>
      <c r="C444" s="3227" t="s">
        <v>3333</v>
      </c>
      <c r="D444" s="3251" t="s">
        <v>4026</v>
      </c>
      <c r="E444" s="3229">
        <v>44023</v>
      </c>
      <c r="F444" s="3230">
        <v>50000</v>
      </c>
      <c r="G444" s="3231">
        <v>135.32</v>
      </c>
      <c r="H444" s="3231" t="str">
        <f t="shared" si="80"/>
        <v>普通住宅</v>
      </c>
      <c r="I444" s="3230">
        <v>2080203</v>
      </c>
      <c r="J444" s="3229">
        <v>44025</v>
      </c>
      <c r="K444" s="3284">
        <f t="shared" si="81"/>
        <v>7</v>
      </c>
      <c r="L444" s="3230">
        <v>2060203</v>
      </c>
      <c r="M444" s="3235">
        <f t="shared" si="82"/>
        <v>15224.674844812298</v>
      </c>
      <c r="N444" s="3236">
        <v>570203</v>
      </c>
      <c r="O444" s="3244"/>
      <c r="P444" s="3244"/>
      <c r="Q444" s="3244"/>
      <c r="R444" s="3244">
        <f t="shared" si="83"/>
        <v>620203</v>
      </c>
      <c r="S444" s="3244"/>
      <c r="T444" s="3236"/>
      <c r="U444" s="3236"/>
      <c r="V444" s="3236"/>
      <c r="W444" s="3236"/>
      <c r="X444" s="3244">
        <f t="shared" si="84"/>
        <v>620203</v>
      </c>
      <c r="Y444" s="3244">
        <f t="shared" si="85"/>
        <v>1440000</v>
      </c>
      <c r="Z444" s="3285">
        <f t="shared" si="86"/>
        <v>0.30103975190794308</v>
      </c>
      <c r="AA444" s="3226" t="s">
        <v>3319</v>
      </c>
      <c r="AB444" s="3226" t="s">
        <v>4587</v>
      </c>
      <c r="AC444" s="3226" t="s">
        <v>4698</v>
      </c>
      <c r="AD444" s="3286" t="s">
        <v>4773</v>
      </c>
      <c r="AE444" s="3286" t="s">
        <v>4774</v>
      </c>
      <c r="AF444" s="3286"/>
      <c r="AG444" s="3323"/>
      <c r="AH444" s="3255"/>
      <c r="AI444" s="3255"/>
      <c r="AJ444" s="3255"/>
      <c r="AK444" s="3287" t="str">
        <f t="shared" si="87"/>
        <v/>
      </c>
      <c r="AL444" s="3288" t="str">
        <f t="shared" si="88"/>
        <v/>
      </c>
      <c r="AM444" s="3226"/>
      <c r="AN444" s="3289"/>
      <c r="AO444" s="3300"/>
      <c r="AP444" s="3300"/>
      <c r="AQ444" s="3300"/>
      <c r="AR444" s="3292"/>
      <c r="AS444" s="3292"/>
      <c r="AT444" s="3292"/>
      <c r="AU444" s="3293"/>
      <c r="AV444" s="3293"/>
      <c r="AW444" s="3294"/>
      <c r="AX444" s="3236"/>
      <c r="AY444" s="3244"/>
      <c r="AZ444" s="3325" t="s">
        <v>4448</v>
      </c>
      <c r="BA444" s="3296" t="str">
        <f t="shared" si="89"/>
        <v>签约</v>
      </c>
      <c r="BB444" s="3226"/>
      <c r="BC444" s="3226"/>
      <c r="BD444" s="3292"/>
      <c r="BE444" s="3297" t="s">
        <v>4465</v>
      </c>
      <c r="BG444" s="3297">
        <f>IFERROR(VLOOKUP(B444,[3]Sheet2!A$1:B$65536,2,FALSE),0)</f>
        <v>0</v>
      </c>
      <c r="BI444" s="3297">
        <f>IFERROR(VLOOKUP(B444,[3]Sheet2!A$1:C$65536,2,FALSE),0)</f>
        <v>0</v>
      </c>
      <c r="BJ444" s="3297">
        <f>IFERROR(VLOOKUP(B444,[3]Sheet2!A$1:C$65536,3,FALSE),0)</f>
        <v>0</v>
      </c>
    </row>
    <row r="445" spans="1:64" s="3261" customFormat="1" ht="20.25" customHeight="1">
      <c r="A445" s="3226">
        <v>443</v>
      </c>
      <c r="B445" s="3250" t="s">
        <v>4027</v>
      </c>
      <c r="C445" s="3227" t="s">
        <v>3333</v>
      </c>
      <c r="D445" s="3251" t="s">
        <v>4028</v>
      </c>
      <c r="E445" s="3229">
        <v>44023</v>
      </c>
      <c r="F445" s="3230">
        <v>50000</v>
      </c>
      <c r="G445" s="3231">
        <v>138.25</v>
      </c>
      <c r="H445" s="3231" t="str">
        <f t="shared" si="80"/>
        <v>普通住宅</v>
      </c>
      <c r="I445" s="3230">
        <v>2103633</v>
      </c>
      <c r="J445" s="3229">
        <v>44029</v>
      </c>
      <c r="K445" s="3284">
        <f t="shared" si="81"/>
        <v>7</v>
      </c>
      <c r="L445" s="3230">
        <v>2083633</v>
      </c>
      <c r="M445" s="3235">
        <f t="shared" si="82"/>
        <v>15071.486437613019</v>
      </c>
      <c r="N445" s="3236">
        <f>583633+50000+100000</f>
        <v>733633</v>
      </c>
      <c r="O445" s="3244"/>
      <c r="P445" s="3244"/>
      <c r="Q445" s="3244"/>
      <c r="R445" s="3244">
        <f t="shared" si="83"/>
        <v>783633</v>
      </c>
      <c r="S445" s="3244"/>
      <c r="T445" s="3236"/>
      <c r="U445" s="3236"/>
      <c r="V445" s="3236"/>
      <c r="W445" s="3236"/>
      <c r="X445" s="3244">
        <f t="shared" si="84"/>
        <v>783633</v>
      </c>
      <c r="Y445" s="3244">
        <f t="shared" si="85"/>
        <v>1300000</v>
      </c>
      <c r="Z445" s="3285">
        <f t="shared" si="86"/>
        <v>0.37608974325133071</v>
      </c>
      <c r="AA445" s="3226" t="s">
        <v>3319</v>
      </c>
      <c r="AB445" s="3226" t="s">
        <v>4587</v>
      </c>
      <c r="AC445" s="3226" t="s">
        <v>4698</v>
      </c>
      <c r="AD445" s="3286" t="s">
        <v>4773</v>
      </c>
      <c r="AE445" s="3286" t="s">
        <v>4877</v>
      </c>
      <c r="AF445" s="3286"/>
      <c r="AG445" s="3323"/>
      <c r="AH445" s="3255">
        <v>44029</v>
      </c>
      <c r="AI445" s="3255"/>
      <c r="AJ445" s="3255"/>
      <c r="AK445" s="3287" t="str">
        <f t="shared" si="87"/>
        <v/>
      </c>
      <c r="AL445" s="3288" t="str">
        <f t="shared" si="88"/>
        <v/>
      </c>
      <c r="AM445" s="3226" t="s">
        <v>4701</v>
      </c>
      <c r="AN445" s="3289">
        <v>1300000</v>
      </c>
      <c r="AO445" s="3300"/>
      <c r="AP445" s="3300"/>
      <c r="AQ445" s="3300"/>
      <c r="AR445" s="3292"/>
      <c r="AS445" s="3292"/>
      <c r="AT445" s="3292"/>
      <c r="AU445" s="3293"/>
      <c r="AV445" s="3293"/>
      <c r="AW445" s="3294"/>
      <c r="AX445" s="3236"/>
      <c r="AY445" s="3244"/>
      <c r="AZ445" s="3325" t="s">
        <v>4885</v>
      </c>
      <c r="BA445" s="3296" t="str">
        <f t="shared" si="89"/>
        <v>签约</v>
      </c>
      <c r="BB445" s="3226"/>
      <c r="BC445" s="3226"/>
      <c r="BD445" s="3292"/>
      <c r="BE445" s="3297" t="s">
        <v>4367</v>
      </c>
      <c r="BG445" s="3297">
        <f>IFERROR(VLOOKUP(B445,[3]Sheet2!A$1:B$65536,2,FALSE),0)</f>
        <v>0</v>
      </c>
      <c r="BI445" s="3297">
        <f>IFERROR(VLOOKUP(B445,[3]Sheet2!A$1:C$65536,2,FALSE),0)</f>
        <v>0</v>
      </c>
      <c r="BJ445" s="3297">
        <f>IFERROR(VLOOKUP(B445,[3]Sheet2!A$1:C$65536,3,FALSE),0)</f>
        <v>0</v>
      </c>
    </row>
    <row r="446" spans="1:64" s="3261" customFormat="1" ht="20.25" customHeight="1">
      <c r="A446" s="3226">
        <v>444</v>
      </c>
      <c r="B446" s="3250" t="s">
        <v>4029</v>
      </c>
      <c r="C446" s="3227" t="s">
        <v>3333</v>
      </c>
      <c r="D446" s="3251" t="s">
        <v>4030</v>
      </c>
      <c r="E446" s="3229">
        <v>44023</v>
      </c>
      <c r="F446" s="3230">
        <v>50000</v>
      </c>
      <c r="G446" s="3231">
        <v>138.25</v>
      </c>
      <c r="H446" s="3231" t="str">
        <f t="shared" si="80"/>
        <v>普通住宅</v>
      </c>
      <c r="I446" s="3230">
        <v>2132138</v>
      </c>
      <c r="J446" s="3229">
        <v>44028</v>
      </c>
      <c r="K446" s="3284">
        <f t="shared" si="81"/>
        <v>7</v>
      </c>
      <c r="L446" s="3230">
        <v>2112138</v>
      </c>
      <c r="M446" s="3235">
        <f t="shared" si="82"/>
        <v>15277.67088607595</v>
      </c>
      <c r="N446" s="3236">
        <v>584138</v>
      </c>
      <c r="O446" s="3244"/>
      <c r="P446" s="3244"/>
      <c r="Q446" s="3244"/>
      <c r="R446" s="3244">
        <f t="shared" si="83"/>
        <v>634138</v>
      </c>
      <c r="S446" s="3244"/>
      <c r="T446" s="3236"/>
      <c r="U446" s="3236"/>
      <c r="V446" s="3236">
        <v>1478000</v>
      </c>
      <c r="W446" s="3236"/>
      <c r="X446" s="3244">
        <f t="shared" si="84"/>
        <v>2112138</v>
      </c>
      <c r="Y446" s="3244">
        <f t="shared" si="85"/>
        <v>0</v>
      </c>
      <c r="Z446" s="3285">
        <f t="shared" si="86"/>
        <v>1</v>
      </c>
      <c r="AA446" s="3226" t="s">
        <v>3319</v>
      </c>
      <c r="AB446" s="3226" t="s">
        <v>4587</v>
      </c>
      <c r="AC446" s="3226" t="s">
        <v>4698</v>
      </c>
      <c r="AD446" s="3286" t="s">
        <v>4539</v>
      </c>
      <c r="AE446" s="3286" t="s">
        <v>4427</v>
      </c>
      <c r="AF446" s="3286"/>
      <c r="AG446" s="3323"/>
      <c r="AH446" s="3255">
        <v>44028</v>
      </c>
      <c r="AI446" s="3255">
        <v>44032</v>
      </c>
      <c r="AJ446" s="3255">
        <v>44039</v>
      </c>
      <c r="AK446" s="3287">
        <f t="shared" si="87"/>
        <v>2020</v>
      </c>
      <c r="AL446" s="3288">
        <f t="shared" si="88"/>
        <v>7</v>
      </c>
      <c r="AM446" s="3226" t="s">
        <v>4701</v>
      </c>
      <c r="AN446" s="3289">
        <v>1478000</v>
      </c>
      <c r="AO446" s="3300"/>
      <c r="AP446" s="3300"/>
      <c r="AQ446" s="3300"/>
      <c r="AR446" s="3292"/>
      <c r="AS446" s="3292"/>
      <c r="AT446" s="3292"/>
      <c r="AU446" s="3293"/>
      <c r="AV446" s="3293"/>
      <c r="AW446" s="3294"/>
      <c r="AX446" s="3236"/>
      <c r="AY446" s="3244"/>
      <c r="AZ446" s="3325" t="s">
        <v>4507</v>
      </c>
      <c r="BA446" s="3296" t="str">
        <f t="shared" si="89"/>
        <v>签约</v>
      </c>
      <c r="BB446" s="3226"/>
      <c r="BC446" s="3226"/>
      <c r="BD446" s="3292"/>
      <c r="BE446" s="3297" t="s">
        <v>4449</v>
      </c>
      <c r="BG446" s="3297">
        <f>IFERROR(VLOOKUP(B446,[3]Sheet2!A$1:B$65536,2,FALSE),0)</f>
        <v>0</v>
      </c>
      <c r="BI446" s="3297">
        <f>IFERROR(VLOOKUP(B446,[3]Sheet2!A$1:C$65536,2,FALSE),0)</f>
        <v>0</v>
      </c>
      <c r="BJ446" s="3297">
        <f>IFERROR(VLOOKUP(B446,[3]Sheet2!A$1:C$65536,3,FALSE),0)</f>
        <v>0</v>
      </c>
    </row>
    <row r="447" spans="1:64" s="3261" customFormat="1" ht="20.25" customHeight="1">
      <c r="A447" s="3226">
        <v>445</v>
      </c>
      <c r="B447" s="3250" t="s">
        <v>4031</v>
      </c>
      <c r="C447" s="3227" t="s">
        <v>3333</v>
      </c>
      <c r="D447" s="3251" t="s">
        <v>4032</v>
      </c>
      <c r="E447" s="3229">
        <v>44023</v>
      </c>
      <c r="F447" s="3230">
        <v>50000</v>
      </c>
      <c r="G447" s="3231">
        <v>138.25</v>
      </c>
      <c r="H447" s="3231" t="str">
        <f t="shared" si="80"/>
        <v>普通住宅</v>
      </c>
      <c r="I447" s="3230">
        <v>2160643</v>
      </c>
      <c r="J447" s="3229">
        <v>44028</v>
      </c>
      <c r="K447" s="3284">
        <f t="shared" si="81"/>
        <v>7</v>
      </c>
      <c r="L447" s="3230">
        <v>2140643</v>
      </c>
      <c r="M447" s="3235">
        <f t="shared" si="82"/>
        <v>15483.855334538879</v>
      </c>
      <c r="N447" s="3236">
        <v>610643</v>
      </c>
      <c r="O447" s="3244"/>
      <c r="P447" s="3244"/>
      <c r="Q447" s="3244"/>
      <c r="R447" s="3244">
        <f t="shared" si="83"/>
        <v>660643</v>
      </c>
      <c r="S447" s="3244"/>
      <c r="T447" s="3236"/>
      <c r="U447" s="3236"/>
      <c r="V447" s="3236">
        <v>1480000</v>
      </c>
      <c r="W447" s="3236"/>
      <c r="X447" s="3244">
        <f t="shared" si="84"/>
        <v>2140643</v>
      </c>
      <c r="Y447" s="3244">
        <f t="shared" si="85"/>
        <v>0</v>
      </c>
      <c r="Z447" s="3285">
        <f t="shared" si="86"/>
        <v>1</v>
      </c>
      <c r="AA447" s="3226" t="s">
        <v>3319</v>
      </c>
      <c r="AB447" s="3226" t="s">
        <v>4587</v>
      </c>
      <c r="AC447" s="3226" t="s">
        <v>4698</v>
      </c>
      <c r="AD447" s="3286" t="s">
        <v>4539</v>
      </c>
      <c r="AE447" s="3286" t="s">
        <v>4427</v>
      </c>
      <c r="AF447" s="3286"/>
      <c r="AG447" s="3323"/>
      <c r="AH447" s="3255">
        <v>44028</v>
      </c>
      <c r="AI447" s="3255">
        <v>44032</v>
      </c>
      <c r="AJ447" s="3255">
        <v>44041</v>
      </c>
      <c r="AK447" s="3287">
        <f t="shared" si="87"/>
        <v>2020</v>
      </c>
      <c r="AL447" s="3288">
        <f t="shared" si="88"/>
        <v>7</v>
      </c>
      <c r="AM447" s="3226" t="s">
        <v>4792</v>
      </c>
      <c r="AN447" s="3289">
        <v>1480000</v>
      </c>
      <c r="AO447" s="3300"/>
      <c r="AP447" s="3300"/>
      <c r="AQ447" s="3300"/>
      <c r="AR447" s="3292"/>
      <c r="AS447" s="3292"/>
      <c r="AT447" s="3292"/>
      <c r="AU447" s="3293"/>
      <c r="AV447" s="3293"/>
      <c r="AW447" s="3294"/>
      <c r="AX447" s="3236"/>
      <c r="AY447" s="3244"/>
      <c r="AZ447" s="3325" t="s">
        <v>4880</v>
      </c>
      <c r="BA447" s="3296" t="str">
        <f t="shared" si="89"/>
        <v>签约</v>
      </c>
      <c r="BB447" s="3226"/>
      <c r="BC447" s="3226"/>
      <c r="BD447" s="3292"/>
      <c r="BE447" s="3297" t="s">
        <v>4465</v>
      </c>
      <c r="BG447" s="3297"/>
      <c r="BI447" s="3297">
        <f>IFERROR(VLOOKUP(B447,[3]Sheet2!A$1:C$65536,2,FALSE),0)</f>
        <v>1480000</v>
      </c>
      <c r="BJ447" s="3297" t="str">
        <f>IFERROR(VLOOKUP(B447,[3]Sheet2!A$1:C$65536,3,FALSE),0)</f>
        <v>农业银行常州武进支行</v>
      </c>
      <c r="BL447" s="3261">
        <f>BI447-AN447</f>
        <v>0</v>
      </c>
    </row>
    <row r="448" spans="1:64" s="3261" customFormat="1" ht="20.25" customHeight="1">
      <c r="A448" s="3226">
        <v>446</v>
      </c>
      <c r="B448" s="3250" t="s">
        <v>4033</v>
      </c>
      <c r="C448" s="3227" t="s">
        <v>3333</v>
      </c>
      <c r="D448" s="3251" t="s">
        <v>4034</v>
      </c>
      <c r="E448" s="3229">
        <v>44023</v>
      </c>
      <c r="F448" s="3230">
        <v>50000</v>
      </c>
      <c r="G448" s="3231">
        <v>138.25</v>
      </c>
      <c r="H448" s="3231" t="str">
        <f t="shared" si="80"/>
        <v>普通住宅</v>
      </c>
      <c r="I448" s="3230">
        <v>2189148</v>
      </c>
      <c r="J448" s="3229">
        <v>44029</v>
      </c>
      <c r="K448" s="3284">
        <f t="shared" si="81"/>
        <v>7</v>
      </c>
      <c r="L448" s="3230">
        <v>2169148</v>
      </c>
      <c r="M448" s="3235">
        <f t="shared" si="82"/>
        <v>15690.039783001808</v>
      </c>
      <c r="N448" s="3236">
        <v>609148</v>
      </c>
      <c r="O448" s="3244"/>
      <c r="P448" s="3244"/>
      <c r="Q448" s="3244"/>
      <c r="R448" s="3244">
        <f t="shared" si="83"/>
        <v>659148</v>
      </c>
      <c r="S448" s="3244"/>
      <c r="T448" s="3236"/>
      <c r="U448" s="3236"/>
      <c r="V448" s="3236"/>
      <c r="W448" s="3236"/>
      <c r="X448" s="3244">
        <f t="shared" si="84"/>
        <v>659148</v>
      </c>
      <c r="Y448" s="3244">
        <f t="shared" si="85"/>
        <v>1510000</v>
      </c>
      <c r="Z448" s="3285">
        <f t="shared" si="86"/>
        <v>0.30387414782209421</v>
      </c>
      <c r="AA448" s="3226" t="s">
        <v>3319</v>
      </c>
      <c r="AB448" s="3226" t="s">
        <v>4587</v>
      </c>
      <c r="AC448" s="3226" t="s">
        <v>4698</v>
      </c>
      <c r="AD448" s="3286" t="s">
        <v>4773</v>
      </c>
      <c r="AE448" s="3286" t="s">
        <v>4877</v>
      </c>
      <c r="AF448" s="3286"/>
      <c r="AG448" s="3323"/>
      <c r="AH448" s="3255">
        <v>44029</v>
      </c>
      <c r="AI448" s="3255"/>
      <c r="AJ448" s="3255"/>
      <c r="AK448" s="3287" t="str">
        <f t="shared" si="87"/>
        <v/>
      </c>
      <c r="AL448" s="3288" t="str">
        <f t="shared" si="88"/>
        <v/>
      </c>
      <c r="AM448" s="3226" t="s">
        <v>4634</v>
      </c>
      <c r="AN448" s="3289">
        <v>1510000</v>
      </c>
      <c r="AO448" s="3300"/>
      <c r="AP448" s="3300"/>
      <c r="AQ448" s="3300"/>
      <c r="AR448" s="3292"/>
      <c r="AS448" s="3292"/>
      <c r="AT448" s="3292"/>
      <c r="AU448" s="3293"/>
      <c r="AV448" s="3293"/>
      <c r="AW448" s="3294"/>
      <c r="AX448" s="3236"/>
      <c r="AY448" s="3244"/>
      <c r="AZ448" s="3325" t="s">
        <v>4894</v>
      </c>
      <c r="BA448" s="3296" t="str">
        <f t="shared" si="89"/>
        <v>签约</v>
      </c>
      <c r="BB448" s="3226"/>
      <c r="BC448" s="3226"/>
      <c r="BD448" s="3292"/>
      <c r="BE448" s="3297" t="s">
        <v>4449</v>
      </c>
      <c r="BG448" s="3297">
        <f>IFERROR(VLOOKUP(B448,[3]Sheet2!A$1:B$65536,2,FALSE),0)</f>
        <v>0</v>
      </c>
      <c r="BI448" s="3297">
        <f>IFERROR(VLOOKUP(B448,[3]Sheet2!A$1:C$65536,2,FALSE),0)</f>
        <v>0</v>
      </c>
      <c r="BJ448" s="3297">
        <f>IFERROR(VLOOKUP(B448,[3]Sheet2!A$1:C$65536,3,FALSE),0)</f>
        <v>0</v>
      </c>
    </row>
    <row r="449" spans="1:64" s="3261" customFormat="1" ht="20.25" customHeight="1">
      <c r="A449" s="3226">
        <v>447</v>
      </c>
      <c r="B449" s="3250" t="s">
        <v>4035</v>
      </c>
      <c r="C449" s="3227" t="s">
        <v>3333</v>
      </c>
      <c r="D449" s="3251" t="s">
        <v>4036</v>
      </c>
      <c r="E449" s="3229">
        <v>44023</v>
      </c>
      <c r="F449" s="3230">
        <v>50000</v>
      </c>
      <c r="G449" s="3231">
        <v>138.25</v>
      </c>
      <c r="H449" s="3231" t="str">
        <f t="shared" si="80"/>
        <v>普通住宅</v>
      </c>
      <c r="I449" s="3230">
        <v>2217654</v>
      </c>
      <c r="J449" s="3229">
        <v>44029</v>
      </c>
      <c r="K449" s="3284">
        <f t="shared" si="81"/>
        <v>7</v>
      </c>
      <c r="L449" s="3230">
        <v>2197654</v>
      </c>
      <c r="M449" s="3235">
        <f t="shared" si="82"/>
        <v>15896.231464737793</v>
      </c>
      <c r="N449" s="3236">
        <v>617654</v>
      </c>
      <c r="O449" s="3244"/>
      <c r="P449" s="3244"/>
      <c r="Q449" s="3244"/>
      <c r="R449" s="3244">
        <f t="shared" si="83"/>
        <v>667654</v>
      </c>
      <c r="S449" s="3244"/>
      <c r="T449" s="3236"/>
      <c r="U449" s="3236"/>
      <c r="V449" s="3236"/>
      <c r="W449" s="3236"/>
      <c r="X449" s="3244">
        <f t="shared" si="84"/>
        <v>667654</v>
      </c>
      <c r="Y449" s="3244">
        <f t="shared" si="85"/>
        <v>1530000</v>
      </c>
      <c r="Z449" s="3285">
        <f t="shared" si="86"/>
        <v>0.30380305544002834</v>
      </c>
      <c r="AA449" s="3226" t="s">
        <v>3319</v>
      </c>
      <c r="AB449" s="3226" t="s">
        <v>4587</v>
      </c>
      <c r="AC449" s="3226" t="s">
        <v>4698</v>
      </c>
      <c r="AD449" s="3286" t="s">
        <v>4773</v>
      </c>
      <c r="AE449" s="3286" t="s">
        <v>4877</v>
      </c>
      <c r="AF449" s="3286"/>
      <c r="AG449" s="3323"/>
      <c r="AH449" s="3255">
        <v>44029</v>
      </c>
      <c r="AI449" s="3255"/>
      <c r="AJ449" s="3255"/>
      <c r="AK449" s="3287" t="str">
        <f t="shared" si="87"/>
        <v/>
      </c>
      <c r="AL449" s="3288" t="str">
        <f t="shared" si="88"/>
        <v/>
      </c>
      <c r="AM449" s="3226" t="s">
        <v>4634</v>
      </c>
      <c r="AN449" s="3289">
        <v>1530000</v>
      </c>
      <c r="AO449" s="3300"/>
      <c r="AP449" s="3300"/>
      <c r="AQ449" s="3300"/>
      <c r="AR449" s="3292"/>
      <c r="AS449" s="3292"/>
      <c r="AT449" s="3292"/>
      <c r="AU449" s="3293"/>
      <c r="AV449" s="3293"/>
      <c r="AW449" s="3294"/>
      <c r="AX449" s="3236"/>
      <c r="AY449" s="3244"/>
      <c r="AZ449" s="3325" t="s">
        <v>4894</v>
      </c>
      <c r="BA449" s="3296" t="str">
        <f t="shared" si="89"/>
        <v>签约</v>
      </c>
      <c r="BB449" s="3226"/>
      <c r="BC449" s="3226"/>
      <c r="BD449" s="3292"/>
      <c r="BE449" s="3297" t="s">
        <v>4696</v>
      </c>
      <c r="BG449" s="3297">
        <f>IFERROR(VLOOKUP(B449,[3]Sheet2!A$1:B$65536,2,FALSE),0)</f>
        <v>0</v>
      </c>
      <c r="BI449" s="3297">
        <f>IFERROR(VLOOKUP(B449,[3]Sheet2!A$1:C$65536,2,FALSE),0)</f>
        <v>0</v>
      </c>
      <c r="BJ449" s="3297">
        <f>IFERROR(VLOOKUP(B449,[3]Sheet2!A$1:C$65536,3,FALSE),0)</f>
        <v>0</v>
      </c>
    </row>
    <row r="450" spans="1:64" s="3261" customFormat="1" ht="20.25" customHeight="1">
      <c r="A450" s="3226">
        <v>448</v>
      </c>
      <c r="B450" s="3250" t="s">
        <v>4037</v>
      </c>
      <c r="C450" s="3227" t="s">
        <v>3333</v>
      </c>
      <c r="D450" s="3251" t="s">
        <v>4038</v>
      </c>
      <c r="E450" s="3229">
        <v>44037</v>
      </c>
      <c r="F450" s="3230">
        <v>0</v>
      </c>
      <c r="G450" s="3231">
        <v>138.25</v>
      </c>
      <c r="H450" s="3231" t="str">
        <f t="shared" si="80"/>
        <v>普通住宅</v>
      </c>
      <c r="I450" s="3230">
        <v>2246159</v>
      </c>
      <c r="J450" s="3229">
        <v>44037</v>
      </c>
      <c r="K450" s="3284">
        <f t="shared" si="81"/>
        <v>7</v>
      </c>
      <c r="L450" s="3230">
        <v>2226159</v>
      </c>
      <c r="M450" s="3235">
        <f t="shared" si="82"/>
        <v>16102.415913200723</v>
      </c>
      <c r="N450" s="3236">
        <f>706159+20000</f>
        <v>726159</v>
      </c>
      <c r="O450" s="3244"/>
      <c r="P450" s="3244"/>
      <c r="Q450" s="3244"/>
      <c r="R450" s="3244">
        <f t="shared" si="83"/>
        <v>726159</v>
      </c>
      <c r="S450" s="3244"/>
      <c r="T450" s="3236"/>
      <c r="U450" s="3236"/>
      <c r="V450" s="3236"/>
      <c r="W450" s="3236"/>
      <c r="X450" s="3244">
        <f t="shared" si="84"/>
        <v>726159</v>
      </c>
      <c r="Y450" s="3244">
        <f t="shared" si="85"/>
        <v>1500000</v>
      </c>
      <c r="Z450" s="3285">
        <f t="shared" si="86"/>
        <v>0.32619368158339096</v>
      </c>
      <c r="AA450" s="3226" t="s">
        <v>3319</v>
      </c>
      <c r="AB450" s="3226" t="s">
        <v>4587</v>
      </c>
      <c r="AC450" s="3226" t="s">
        <v>4698</v>
      </c>
      <c r="AD450" s="3286" t="s">
        <v>4773</v>
      </c>
      <c r="AE450" s="3286" t="s">
        <v>4774</v>
      </c>
      <c r="AF450" s="3286"/>
      <c r="AG450" s="3323"/>
      <c r="AH450" s="3255"/>
      <c r="AI450" s="3255"/>
      <c r="AJ450" s="3255"/>
      <c r="AK450" s="3287" t="str">
        <f t="shared" si="87"/>
        <v/>
      </c>
      <c r="AL450" s="3288" t="str">
        <f t="shared" si="88"/>
        <v/>
      </c>
      <c r="AM450" s="3226"/>
      <c r="AN450" s="3289"/>
      <c r="AO450" s="3300"/>
      <c r="AP450" s="3300"/>
      <c r="AQ450" s="3300"/>
      <c r="AR450" s="3292"/>
      <c r="AS450" s="3292"/>
      <c r="AT450" s="3292"/>
      <c r="AU450" s="3293"/>
      <c r="AV450" s="3293"/>
      <c r="AW450" s="3294"/>
      <c r="AX450" s="3236"/>
      <c r="AY450" s="3244"/>
      <c r="AZ450" s="3325" t="s">
        <v>4882</v>
      </c>
      <c r="BA450" s="3296" t="str">
        <f t="shared" si="89"/>
        <v>签约</v>
      </c>
      <c r="BB450" s="3226"/>
      <c r="BC450" s="3226"/>
      <c r="BD450" s="3292"/>
      <c r="BE450" s="3297" t="s">
        <v>4449</v>
      </c>
      <c r="BG450" s="3297">
        <f>IFERROR(VLOOKUP(B450,[3]Sheet2!A$1:B$65536,2,FALSE),0)</f>
        <v>0</v>
      </c>
      <c r="BI450" s="3297">
        <f>IFERROR(VLOOKUP(B450,[3]Sheet2!A$1:C$65536,2,FALSE),0)</f>
        <v>0</v>
      </c>
      <c r="BJ450" s="3297">
        <f>IFERROR(VLOOKUP(B450,[3]Sheet2!A$1:C$65536,3,FALSE),0)</f>
        <v>0</v>
      </c>
    </row>
    <row r="451" spans="1:64" s="3261" customFormat="1" ht="20.25" customHeight="1">
      <c r="A451" s="3226">
        <v>449</v>
      </c>
      <c r="B451" s="3250" t="s">
        <v>4039</v>
      </c>
      <c r="C451" s="3227" t="s">
        <v>3333</v>
      </c>
      <c r="D451" s="3251" t="s">
        <v>4040</v>
      </c>
      <c r="E451" s="3229">
        <v>44027</v>
      </c>
      <c r="F451" s="3230">
        <v>50000</v>
      </c>
      <c r="G451" s="3231">
        <v>138.25</v>
      </c>
      <c r="H451" s="3231" t="str">
        <f t="shared" si="80"/>
        <v>普通住宅</v>
      </c>
      <c r="I451" s="3230">
        <v>2274664</v>
      </c>
      <c r="J451" s="3229">
        <v>44027</v>
      </c>
      <c r="K451" s="3284">
        <f t="shared" si="81"/>
        <v>7</v>
      </c>
      <c r="L451" s="3230">
        <v>2254664</v>
      </c>
      <c r="M451" s="3235">
        <f t="shared" si="82"/>
        <v>16308.600361663654</v>
      </c>
      <c r="N451" s="3236">
        <v>634664</v>
      </c>
      <c r="O451" s="3244"/>
      <c r="P451" s="3244"/>
      <c r="Q451" s="3244"/>
      <c r="R451" s="3244">
        <f t="shared" si="83"/>
        <v>684664</v>
      </c>
      <c r="S451" s="3244"/>
      <c r="T451" s="3236"/>
      <c r="U451" s="3236"/>
      <c r="V451" s="3236"/>
      <c r="W451" s="3236"/>
      <c r="X451" s="3244">
        <f t="shared" si="84"/>
        <v>684664</v>
      </c>
      <c r="Y451" s="3244">
        <f t="shared" si="85"/>
        <v>1570000</v>
      </c>
      <c r="Z451" s="3285">
        <f t="shared" si="86"/>
        <v>0.3036656459676475</v>
      </c>
      <c r="AA451" s="3226" t="s">
        <v>3319</v>
      </c>
      <c r="AB451" s="3226" t="s">
        <v>4587</v>
      </c>
      <c r="AC451" s="3226" t="s">
        <v>4698</v>
      </c>
      <c r="AD451" s="3286" t="s">
        <v>4773</v>
      </c>
      <c r="AE451" s="3286" t="s">
        <v>4774</v>
      </c>
      <c r="AF451" s="3286"/>
      <c r="AG451" s="3323"/>
      <c r="AH451" s="3255"/>
      <c r="AI451" s="3255"/>
      <c r="AJ451" s="3255"/>
      <c r="AK451" s="3287" t="str">
        <f t="shared" si="87"/>
        <v/>
      </c>
      <c r="AL451" s="3288" t="str">
        <f t="shared" si="88"/>
        <v/>
      </c>
      <c r="AM451" s="3226"/>
      <c r="AN451" s="3289"/>
      <c r="AO451" s="3300"/>
      <c r="AP451" s="3300"/>
      <c r="AQ451" s="3300"/>
      <c r="AR451" s="3292"/>
      <c r="AS451" s="3292"/>
      <c r="AT451" s="3292"/>
      <c r="AU451" s="3293"/>
      <c r="AV451" s="3293"/>
      <c r="AW451" s="3294"/>
      <c r="AX451" s="3236"/>
      <c r="AY451" s="3244"/>
      <c r="AZ451" s="3325" t="s">
        <v>4507</v>
      </c>
      <c r="BA451" s="3296" t="str">
        <f t="shared" si="89"/>
        <v>签约</v>
      </c>
      <c r="BB451" s="3226"/>
      <c r="BC451" s="3226"/>
      <c r="BD451" s="3292"/>
      <c r="BE451" s="3297" t="s">
        <v>4465</v>
      </c>
      <c r="BG451" s="3297">
        <f>IFERROR(VLOOKUP(B451,[3]Sheet2!A$1:B$65536,2,FALSE),0)</f>
        <v>0</v>
      </c>
      <c r="BI451" s="3297">
        <f>IFERROR(VLOOKUP(B451,[3]Sheet2!A$1:C$65536,2,FALSE),0)</f>
        <v>0</v>
      </c>
      <c r="BJ451" s="3297">
        <f>IFERROR(VLOOKUP(B451,[3]Sheet2!A$1:C$65536,3,FALSE),0)</f>
        <v>0</v>
      </c>
    </row>
    <row r="452" spans="1:64" s="3261" customFormat="1" ht="20.25" customHeight="1">
      <c r="A452" s="3226">
        <v>450</v>
      </c>
      <c r="B452" s="3250" t="s">
        <v>4041</v>
      </c>
      <c r="C452" s="3227" t="s">
        <v>3333</v>
      </c>
      <c r="D452" s="3251" t="s">
        <v>4042</v>
      </c>
      <c r="E452" s="3229">
        <v>44023</v>
      </c>
      <c r="F452" s="3230">
        <v>50000</v>
      </c>
      <c r="G452" s="3231">
        <v>138.25</v>
      </c>
      <c r="H452" s="3231" t="str">
        <f t="shared" ref="H452:H515" si="90">IF(G452&lt;144,"普通住宅","非普通住宅")</f>
        <v>普通住宅</v>
      </c>
      <c r="I452" s="3230">
        <v>2303169</v>
      </c>
      <c r="J452" s="3229">
        <v>44027</v>
      </c>
      <c r="K452" s="3284">
        <f t="shared" ref="K452:K515" si="91">IF(ISBLANK(J452),"",MONTH(J452))</f>
        <v>7</v>
      </c>
      <c r="L452" s="3230">
        <v>2283169</v>
      </c>
      <c r="M452" s="3235">
        <f t="shared" ref="M452:M515" si="92">L452/G452</f>
        <v>16514.784810126581</v>
      </c>
      <c r="N452" s="3236">
        <f>400000+243169</f>
        <v>643169</v>
      </c>
      <c r="O452" s="3244"/>
      <c r="P452" s="3244">
        <v>1590000</v>
      </c>
      <c r="Q452" s="3244"/>
      <c r="R452" s="3244">
        <f t="shared" ref="R452:R515" si="93">F452+N452</f>
        <v>693169</v>
      </c>
      <c r="S452" s="3244"/>
      <c r="T452" s="3236"/>
      <c r="U452" s="3236"/>
      <c r="V452" s="3236">
        <v>1590000</v>
      </c>
      <c r="W452" s="3236"/>
      <c r="X452" s="3244">
        <f t="shared" ref="X452:X515" si="94">R452+V452+W452</f>
        <v>2283169</v>
      </c>
      <c r="Y452" s="3244">
        <f t="shared" ref="Y452:Y515" si="95">L452-X452</f>
        <v>0</v>
      </c>
      <c r="Z452" s="3285">
        <f t="shared" ref="Z452:Z515" si="96">X452/L452</f>
        <v>1</v>
      </c>
      <c r="AA452" s="3226" t="s">
        <v>3319</v>
      </c>
      <c r="AB452" s="3226" t="s">
        <v>4587</v>
      </c>
      <c r="AC452" s="3226" t="s">
        <v>4698</v>
      </c>
      <c r="AD452" s="3286" t="s">
        <v>4539</v>
      </c>
      <c r="AE452" s="3286" t="s">
        <v>4427</v>
      </c>
      <c r="AF452" s="3286"/>
      <c r="AG452" s="3323"/>
      <c r="AH452" s="3255">
        <v>44031</v>
      </c>
      <c r="AI452" s="3255">
        <v>44032</v>
      </c>
      <c r="AJ452" s="3255">
        <v>44041</v>
      </c>
      <c r="AK452" s="3287">
        <f t="shared" ref="AK452:AK495" si="97">IF(ISBLANK(AJ452),"",YEAR(AJ452))</f>
        <v>2020</v>
      </c>
      <c r="AL452" s="3288">
        <f t="shared" ref="AL452:AL495" si="98">IF(ISBLANK(AJ452),"",MONTH(AJ452))</f>
        <v>7</v>
      </c>
      <c r="AM452" s="3226" t="s">
        <v>4433</v>
      </c>
      <c r="AN452" s="3289">
        <v>1590000</v>
      </c>
      <c r="AO452" s="3300"/>
      <c r="AP452" s="3300"/>
      <c r="AQ452" s="3300"/>
      <c r="AR452" s="3292"/>
      <c r="AS452" s="3292"/>
      <c r="AT452" s="3292"/>
      <c r="AU452" s="3293"/>
      <c r="AV452" s="3293"/>
      <c r="AW452" s="3294"/>
      <c r="AX452" s="3236"/>
      <c r="AY452" s="3244"/>
      <c r="AZ452" s="3325" t="s">
        <v>4735</v>
      </c>
      <c r="BA452" s="3296" t="str">
        <f t="shared" ref="BA452:BA515" si="99">IF(E452=0,"未售",IF(J452&gt;0,"签约","认购"))</f>
        <v>签约</v>
      </c>
      <c r="BB452" s="3226"/>
      <c r="BC452" s="3226"/>
      <c r="BD452" s="3292"/>
      <c r="BE452" s="3297" t="s">
        <v>4367</v>
      </c>
      <c r="BG452" s="3297"/>
      <c r="BI452" s="3297">
        <f>IFERROR(VLOOKUP(B452,[3]Sheet2!A$1:C$65536,2,FALSE),0)</f>
        <v>1590000</v>
      </c>
      <c r="BJ452" s="3297" t="str">
        <f>IFERROR(VLOOKUP(B452,[3]Sheet2!A$1:C$65536,3,FALSE),0)</f>
        <v>中国银行湾里支行</v>
      </c>
      <c r="BL452" s="3261">
        <f>BI452-AN452</f>
        <v>0</v>
      </c>
    </row>
    <row r="453" spans="1:64" s="3261" customFormat="1" ht="20.25" customHeight="1">
      <c r="A453" s="3226">
        <v>451</v>
      </c>
      <c r="B453" s="3250" t="s">
        <v>4043</v>
      </c>
      <c r="C453" s="3227" t="s">
        <v>3333</v>
      </c>
      <c r="D453" s="3251" t="s">
        <v>4044</v>
      </c>
      <c r="E453" s="3229">
        <v>44023</v>
      </c>
      <c r="F453" s="3230">
        <v>50000</v>
      </c>
      <c r="G453" s="3231">
        <v>138.25</v>
      </c>
      <c r="H453" s="3231" t="str">
        <f t="shared" si="90"/>
        <v>普通住宅</v>
      </c>
      <c r="I453" s="3230">
        <v>2174896</v>
      </c>
      <c r="J453" s="3229">
        <v>44028</v>
      </c>
      <c r="K453" s="3284">
        <f t="shared" si="91"/>
        <v>7</v>
      </c>
      <c r="L453" s="3230">
        <v>2154896</v>
      </c>
      <c r="M453" s="3235">
        <f t="shared" si="92"/>
        <v>15586.951175406872</v>
      </c>
      <c r="N453" s="3236">
        <v>604896</v>
      </c>
      <c r="O453" s="3244"/>
      <c r="P453" s="3244"/>
      <c r="Q453" s="3244"/>
      <c r="R453" s="3244">
        <f t="shared" si="93"/>
        <v>654896</v>
      </c>
      <c r="S453" s="3244"/>
      <c r="T453" s="3236"/>
      <c r="U453" s="3236"/>
      <c r="V453" s="3236"/>
      <c r="W453" s="3236"/>
      <c r="X453" s="3244">
        <f t="shared" si="94"/>
        <v>654896</v>
      </c>
      <c r="Y453" s="3244">
        <f t="shared" si="95"/>
        <v>1500000</v>
      </c>
      <c r="Z453" s="3285">
        <f t="shared" si="96"/>
        <v>0.30391072237360878</v>
      </c>
      <c r="AA453" s="3226" t="s">
        <v>3319</v>
      </c>
      <c r="AB453" s="3226" t="s">
        <v>4587</v>
      </c>
      <c r="AC453" s="3226" t="s">
        <v>4698</v>
      </c>
      <c r="AD453" s="3286" t="s">
        <v>4773</v>
      </c>
      <c r="AE453" s="3286" t="s">
        <v>4877</v>
      </c>
      <c r="AF453" s="3286"/>
      <c r="AG453" s="3323"/>
      <c r="AH453" s="3255">
        <v>44027</v>
      </c>
      <c r="AI453" s="3255"/>
      <c r="AJ453" s="3255"/>
      <c r="AK453" s="3287" t="str">
        <f t="shared" si="97"/>
        <v/>
      </c>
      <c r="AL453" s="3288" t="str">
        <f t="shared" si="98"/>
        <v/>
      </c>
      <c r="AM453" s="3226" t="s">
        <v>4634</v>
      </c>
      <c r="AN453" s="3289">
        <v>1500000</v>
      </c>
      <c r="AO453" s="3300"/>
      <c r="AP453" s="3300"/>
      <c r="AQ453" s="3300"/>
      <c r="AR453" s="3292"/>
      <c r="AS453" s="3292"/>
      <c r="AT453" s="3292"/>
      <c r="AU453" s="3293"/>
      <c r="AV453" s="3293"/>
      <c r="AW453" s="3294"/>
      <c r="AX453" s="3236"/>
      <c r="AY453" s="3244"/>
      <c r="AZ453" s="3325" t="s">
        <v>4886</v>
      </c>
      <c r="BA453" s="3296" t="str">
        <f t="shared" si="99"/>
        <v>签约</v>
      </c>
      <c r="BB453" s="3226"/>
      <c r="BC453" s="3226"/>
      <c r="BD453" s="3292"/>
      <c r="BE453" s="3297" t="s">
        <v>4465</v>
      </c>
      <c r="BG453" s="3297">
        <f>IFERROR(VLOOKUP(B453,[3]Sheet2!A$1:B$65536,2,FALSE),0)</f>
        <v>0</v>
      </c>
      <c r="BI453" s="3297">
        <f>IFERROR(VLOOKUP(B453,[3]Sheet2!A$1:C$65536,2,FALSE),0)</f>
        <v>0</v>
      </c>
      <c r="BJ453" s="3297">
        <f>IFERROR(VLOOKUP(B453,[3]Sheet2!A$1:C$65536,3,FALSE),0)</f>
        <v>0</v>
      </c>
    </row>
    <row r="454" spans="1:64" s="3261" customFormat="1" ht="20.25" customHeight="1">
      <c r="A454" s="3226">
        <v>452</v>
      </c>
      <c r="B454" s="3250" t="s">
        <v>4902</v>
      </c>
      <c r="C454" s="3227" t="s">
        <v>3009</v>
      </c>
      <c r="D454" s="3251"/>
      <c r="E454" s="3229"/>
      <c r="F454" s="3230"/>
      <c r="G454" s="3231">
        <v>246.83</v>
      </c>
      <c r="H454" s="3231" t="str">
        <f t="shared" si="90"/>
        <v>非普通住宅</v>
      </c>
      <c r="I454" s="3230">
        <v>8926525</v>
      </c>
      <c r="J454" s="3229"/>
      <c r="K454" s="3284" t="str">
        <f t="shared" si="91"/>
        <v/>
      </c>
      <c r="L454" s="3230"/>
      <c r="M454" s="3235">
        <f t="shared" si="92"/>
        <v>0</v>
      </c>
      <c r="N454" s="3236"/>
      <c r="O454" s="3244"/>
      <c r="P454" s="3244"/>
      <c r="Q454" s="3244"/>
      <c r="R454" s="3244">
        <f t="shared" si="93"/>
        <v>0</v>
      </c>
      <c r="S454" s="3244"/>
      <c r="T454" s="3236"/>
      <c r="U454" s="3236"/>
      <c r="V454" s="3236"/>
      <c r="W454" s="3236"/>
      <c r="X454" s="3244">
        <f t="shared" si="94"/>
        <v>0</v>
      </c>
      <c r="Y454" s="3244">
        <f t="shared" si="95"/>
        <v>0</v>
      </c>
      <c r="Z454" s="3285" t="e">
        <f t="shared" si="96"/>
        <v>#DIV/0!</v>
      </c>
      <c r="AA454" s="3226"/>
      <c r="AB454" s="3226"/>
      <c r="AC454" s="3226"/>
      <c r="AD454" s="3286"/>
      <c r="AE454" s="3286"/>
      <c r="AF454" s="3286"/>
      <c r="AG454" s="3323"/>
      <c r="AH454" s="3255"/>
      <c r="AI454" s="3255"/>
      <c r="AJ454" s="3255"/>
      <c r="AK454" s="3287" t="str">
        <f t="shared" si="97"/>
        <v/>
      </c>
      <c r="AL454" s="3288" t="str">
        <f t="shared" si="98"/>
        <v/>
      </c>
      <c r="AM454" s="3226"/>
      <c r="AN454" s="3289"/>
      <c r="AO454" s="3300"/>
      <c r="AP454" s="3300"/>
      <c r="AQ454" s="3300"/>
      <c r="AR454" s="3292"/>
      <c r="AS454" s="3292"/>
      <c r="AT454" s="3292"/>
      <c r="AU454" s="3293"/>
      <c r="AV454" s="3293"/>
      <c r="AW454" s="3294"/>
      <c r="AX454" s="3236"/>
      <c r="AY454" s="3244"/>
      <c r="AZ454" s="3325"/>
      <c r="BA454" s="3296" t="str">
        <f t="shared" si="99"/>
        <v>未售</v>
      </c>
      <c r="BB454" s="3226"/>
      <c r="BC454" s="3226"/>
      <c r="BD454" s="3292"/>
      <c r="BE454" s="3297"/>
      <c r="BG454" s="3297">
        <f>IFERROR(VLOOKUP(B454,[3]Sheet2!A$1:B$65536,2,FALSE),0)</f>
        <v>0</v>
      </c>
      <c r="BI454" s="3297">
        <f>IFERROR(VLOOKUP(B454,[3]Sheet2!A$1:C$65536,2,FALSE),0)</f>
        <v>0</v>
      </c>
      <c r="BJ454" s="3297">
        <f>IFERROR(VLOOKUP(B454,[3]Sheet2!A$1:C$65536,3,FALSE),0)</f>
        <v>0</v>
      </c>
    </row>
    <row r="455" spans="1:64" s="3261" customFormat="1" ht="20.25" customHeight="1">
      <c r="A455" s="3226">
        <v>453</v>
      </c>
      <c r="B455" s="3250" t="s">
        <v>4256</v>
      </c>
      <c r="C455" s="3227" t="s">
        <v>3009</v>
      </c>
      <c r="D455" s="3251" t="s">
        <v>4257</v>
      </c>
      <c r="E455" s="3229">
        <v>44030</v>
      </c>
      <c r="F455" s="3230">
        <v>50000</v>
      </c>
      <c r="G455" s="3231">
        <v>234.54</v>
      </c>
      <c r="H455" s="3231" t="str">
        <f t="shared" si="90"/>
        <v>非普通住宅</v>
      </c>
      <c r="I455" s="3230">
        <v>5384527</v>
      </c>
      <c r="J455" s="3229">
        <v>44037</v>
      </c>
      <c r="K455" s="3284">
        <f t="shared" si="91"/>
        <v>7</v>
      </c>
      <c r="L455" s="3230">
        <v>5364527</v>
      </c>
      <c r="M455" s="3235">
        <f t="shared" si="92"/>
        <v>22872.546260765754</v>
      </c>
      <c r="N455" s="3236">
        <v>1654527</v>
      </c>
      <c r="O455" s="3244"/>
      <c r="P455" s="3244"/>
      <c r="Q455" s="3244"/>
      <c r="R455" s="3244">
        <f t="shared" si="93"/>
        <v>1704527</v>
      </c>
      <c r="S455" s="3244"/>
      <c r="T455" s="3236"/>
      <c r="U455" s="3236"/>
      <c r="V455" s="3236"/>
      <c r="W455" s="3236"/>
      <c r="X455" s="3244">
        <f t="shared" si="94"/>
        <v>1704527</v>
      </c>
      <c r="Y455" s="3244">
        <f t="shared" si="95"/>
        <v>3660000</v>
      </c>
      <c r="Z455" s="3285">
        <f t="shared" si="96"/>
        <v>0.31774040842743451</v>
      </c>
      <c r="AA455" s="3226" t="s">
        <v>3319</v>
      </c>
      <c r="AB455" s="3226" t="s">
        <v>4587</v>
      </c>
      <c r="AC455" s="3226" t="s">
        <v>4698</v>
      </c>
      <c r="AD455" s="3286" t="s">
        <v>4773</v>
      </c>
      <c r="AE455" s="3286" t="s">
        <v>4774</v>
      </c>
      <c r="AF455" s="3286"/>
      <c r="AG455" s="3323"/>
      <c r="AH455" s="3255"/>
      <c r="AI455" s="3255"/>
      <c r="AJ455" s="3255"/>
      <c r="AK455" s="3287" t="str">
        <f t="shared" si="97"/>
        <v/>
      </c>
      <c r="AL455" s="3288" t="str">
        <f t="shared" si="98"/>
        <v/>
      </c>
      <c r="AM455" s="3226"/>
      <c r="AN455" s="3289"/>
      <c r="AO455" s="3300"/>
      <c r="AP455" s="3300"/>
      <c r="AQ455" s="3300"/>
      <c r="AR455" s="3292"/>
      <c r="AS455" s="3292"/>
      <c r="AT455" s="3292"/>
      <c r="AU455" s="3293"/>
      <c r="AV455" s="3293"/>
      <c r="AW455" s="3294"/>
      <c r="AX455" s="3236"/>
      <c r="AY455" s="3244"/>
      <c r="AZ455" s="3325" t="s">
        <v>4735</v>
      </c>
      <c r="BA455" s="3296" t="str">
        <f t="shared" si="99"/>
        <v>签约</v>
      </c>
      <c r="BB455" s="3226"/>
      <c r="BC455" s="3226"/>
      <c r="BD455" s="3292"/>
      <c r="BE455" s="3297" t="s">
        <v>4449</v>
      </c>
      <c r="BG455" s="3297">
        <f>IFERROR(VLOOKUP(B455,[3]Sheet2!A$1:B$65536,2,FALSE),0)</f>
        <v>0</v>
      </c>
      <c r="BI455" s="3297">
        <f>IFERROR(VLOOKUP(B455,[3]Sheet2!A$1:C$65536,2,FALSE),0)</f>
        <v>0</v>
      </c>
      <c r="BJ455" s="3297">
        <f>IFERROR(VLOOKUP(B455,[3]Sheet2!A$1:C$65536,3,FALSE),0)</f>
        <v>0</v>
      </c>
    </row>
    <row r="456" spans="1:64" s="3261" customFormat="1" ht="20.25" customHeight="1">
      <c r="A456" s="3226">
        <v>454</v>
      </c>
      <c r="B456" s="3250" t="s">
        <v>4258</v>
      </c>
      <c r="C456" s="3227" t="s">
        <v>3009</v>
      </c>
      <c r="D456" s="3251" t="s">
        <v>4259</v>
      </c>
      <c r="E456" s="3229">
        <v>44032</v>
      </c>
      <c r="F456" s="3230">
        <v>100000</v>
      </c>
      <c r="G456" s="3231">
        <v>184.64</v>
      </c>
      <c r="H456" s="3231" t="str">
        <f t="shared" si="90"/>
        <v>非普通住宅</v>
      </c>
      <c r="I456" s="3230">
        <v>4568251</v>
      </c>
      <c r="J456" s="3229">
        <v>44040</v>
      </c>
      <c r="K456" s="3284">
        <f t="shared" si="91"/>
        <v>7</v>
      </c>
      <c r="L456" s="3230">
        <v>4548251</v>
      </c>
      <c r="M456" s="3235">
        <f t="shared" si="92"/>
        <v>24633.075173310226</v>
      </c>
      <c r="N456" s="3236">
        <f>400000+868251</f>
        <v>1268251</v>
      </c>
      <c r="O456" s="3244">
        <f>L456-P456-Q456</f>
        <v>4548251</v>
      </c>
      <c r="P456" s="3244"/>
      <c r="Q456" s="3244"/>
      <c r="R456" s="3244">
        <f t="shared" si="93"/>
        <v>1368251</v>
      </c>
      <c r="S456" s="3244">
        <f>R456-T456-U456</f>
        <v>1368251</v>
      </c>
      <c r="T456" s="3236"/>
      <c r="U456" s="3236"/>
      <c r="V456" s="3236"/>
      <c r="W456" s="3236"/>
      <c r="X456" s="3244">
        <f t="shared" si="94"/>
        <v>1368251</v>
      </c>
      <c r="Y456" s="3244">
        <f t="shared" si="95"/>
        <v>3180000</v>
      </c>
      <c r="Z456" s="3285">
        <f t="shared" si="96"/>
        <v>0.30083014327925173</v>
      </c>
      <c r="AA456" s="3226" t="s">
        <v>3319</v>
      </c>
      <c r="AB456" s="3226" t="s">
        <v>4587</v>
      </c>
      <c r="AC456" s="3226" t="s">
        <v>4698</v>
      </c>
      <c r="AD456" s="3286"/>
      <c r="AE456" s="3286"/>
      <c r="AF456" s="3286"/>
      <c r="AG456" s="3323"/>
      <c r="AH456" s="3255"/>
      <c r="AI456" s="3255"/>
      <c r="AJ456" s="3255"/>
      <c r="AK456" s="3287" t="str">
        <f t="shared" si="97"/>
        <v/>
      </c>
      <c r="AL456" s="3288" t="str">
        <f t="shared" si="98"/>
        <v/>
      </c>
      <c r="AM456" s="3226"/>
      <c r="AN456" s="3289"/>
      <c r="AO456" s="3300"/>
      <c r="AP456" s="3300"/>
      <c r="AQ456" s="3300"/>
      <c r="AR456" s="3292"/>
      <c r="AS456" s="3292"/>
      <c r="AT456" s="3292"/>
      <c r="AU456" s="3293"/>
      <c r="AV456" s="3293"/>
      <c r="AW456" s="3294"/>
      <c r="AX456" s="3236"/>
      <c r="AY456" s="3244"/>
      <c r="AZ456" s="3325" t="s">
        <v>3385</v>
      </c>
      <c r="BA456" s="3296" t="str">
        <f t="shared" si="99"/>
        <v>签约</v>
      </c>
      <c r="BB456" s="3226"/>
      <c r="BC456" s="3226"/>
      <c r="BD456" s="3292"/>
      <c r="BE456" s="3297" t="s">
        <v>4449</v>
      </c>
      <c r="BG456" s="3297"/>
      <c r="BI456" s="3297">
        <f>IFERROR(VLOOKUP(B456,[3]Sheet2!A$1:C$65536,2,FALSE),0)</f>
        <v>0</v>
      </c>
      <c r="BJ456" s="3297">
        <f>IFERROR(VLOOKUP(B456,[3]Sheet2!A$1:C$65536,3,FALSE),0)</f>
        <v>0</v>
      </c>
    </row>
    <row r="457" spans="1:64" s="3261" customFormat="1" ht="20.25" customHeight="1">
      <c r="A457" s="3226">
        <v>455</v>
      </c>
      <c r="B457" s="3250" t="s">
        <v>4260</v>
      </c>
      <c r="C457" s="3227" t="s">
        <v>3009</v>
      </c>
      <c r="D457" s="3251" t="s">
        <v>4261</v>
      </c>
      <c r="E457" s="3229">
        <v>44030</v>
      </c>
      <c r="F457" s="3230">
        <v>500000</v>
      </c>
      <c r="G457" s="3231">
        <v>184.64</v>
      </c>
      <c r="H457" s="3231" t="str">
        <f t="shared" si="90"/>
        <v>非普通住宅</v>
      </c>
      <c r="I457" s="3230">
        <v>4600895</v>
      </c>
      <c r="J457" s="3229">
        <v>44035</v>
      </c>
      <c r="K457" s="3284">
        <f t="shared" si="91"/>
        <v>7</v>
      </c>
      <c r="L457" s="3230">
        <v>4580895</v>
      </c>
      <c r="M457" s="3235">
        <f t="shared" si="92"/>
        <v>24809.87326689775</v>
      </c>
      <c r="N457" s="3236">
        <v>1000895</v>
      </c>
      <c r="O457" s="3244"/>
      <c r="P457" s="3244"/>
      <c r="Q457" s="3244"/>
      <c r="R457" s="3244">
        <f t="shared" si="93"/>
        <v>1500895</v>
      </c>
      <c r="S457" s="3244"/>
      <c r="T457" s="3236"/>
      <c r="U457" s="3236"/>
      <c r="V457" s="3236"/>
      <c r="W457" s="3236"/>
      <c r="X457" s="3244">
        <f t="shared" si="94"/>
        <v>1500895</v>
      </c>
      <c r="Y457" s="3244">
        <f t="shared" si="95"/>
        <v>3080000</v>
      </c>
      <c r="Z457" s="3285">
        <f t="shared" si="96"/>
        <v>0.32764230570663594</v>
      </c>
      <c r="AA457" s="3226" t="s">
        <v>3319</v>
      </c>
      <c r="AB457" s="3226" t="s">
        <v>4587</v>
      </c>
      <c r="AC457" s="3226" t="s">
        <v>4698</v>
      </c>
      <c r="AD457" s="3286" t="s">
        <v>4773</v>
      </c>
      <c r="AE457" s="3286" t="s">
        <v>4774</v>
      </c>
      <c r="AF457" s="3286"/>
      <c r="AG457" s="3323"/>
      <c r="AH457" s="3255"/>
      <c r="AI457" s="3255"/>
      <c r="AJ457" s="3255"/>
      <c r="AK457" s="3287" t="str">
        <f t="shared" si="97"/>
        <v/>
      </c>
      <c r="AL457" s="3288" t="str">
        <f t="shared" si="98"/>
        <v/>
      </c>
      <c r="AM457" s="3226"/>
      <c r="AN457" s="3289"/>
      <c r="AO457" s="3300"/>
      <c r="AP457" s="3300"/>
      <c r="AQ457" s="3300"/>
      <c r="AR457" s="3292"/>
      <c r="AS457" s="3292"/>
      <c r="AT457" s="3292"/>
      <c r="AU457" s="3293"/>
      <c r="AV457" s="3293"/>
      <c r="AW457" s="3294"/>
      <c r="AX457" s="3236"/>
      <c r="AY457" s="3244"/>
      <c r="AZ457" s="3325" t="s">
        <v>4441</v>
      </c>
      <c r="BA457" s="3296" t="str">
        <f t="shared" si="99"/>
        <v>签约</v>
      </c>
      <c r="BB457" s="3226"/>
      <c r="BC457" s="3226"/>
      <c r="BD457" s="3292"/>
      <c r="BE457" s="3297" t="s">
        <v>4449</v>
      </c>
      <c r="BG457" s="3297">
        <f>IFERROR(VLOOKUP(B457,[3]Sheet2!A$1:B$65536,2,FALSE),0)</f>
        <v>0</v>
      </c>
      <c r="BI457" s="3297">
        <f>IFERROR(VLOOKUP(B457,[3]Sheet2!A$1:C$65536,2,FALSE),0)</f>
        <v>0</v>
      </c>
      <c r="BJ457" s="3297">
        <f>IFERROR(VLOOKUP(B457,[3]Sheet2!A$1:C$65536,3,FALSE),0)</f>
        <v>0</v>
      </c>
    </row>
    <row r="458" spans="1:64" s="3261" customFormat="1" ht="20.25" customHeight="1">
      <c r="A458" s="3226">
        <v>456</v>
      </c>
      <c r="B458" s="3250" t="s">
        <v>4262</v>
      </c>
      <c r="C458" s="3227" t="s">
        <v>3009</v>
      </c>
      <c r="D458" s="3251" t="s">
        <v>4263</v>
      </c>
      <c r="E458" s="3229">
        <v>44030</v>
      </c>
      <c r="F458" s="3230">
        <v>500000</v>
      </c>
      <c r="G458" s="3231">
        <v>184.64</v>
      </c>
      <c r="H458" s="3231" t="str">
        <f t="shared" si="90"/>
        <v>非普通住宅</v>
      </c>
      <c r="I458" s="3230">
        <v>4633538</v>
      </c>
      <c r="J458" s="3229">
        <v>44035</v>
      </c>
      <c r="K458" s="3284">
        <f t="shared" si="91"/>
        <v>7</v>
      </c>
      <c r="L458" s="3230">
        <v>4613538</v>
      </c>
      <c r="M458" s="3235">
        <f t="shared" si="92"/>
        <v>24986.665944540731</v>
      </c>
      <c r="N458" s="3236">
        <f>1000000+113538</f>
        <v>1113538</v>
      </c>
      <c r="O458" s="3244"/>
      <c r="P458" s="3244"/>
      <c r="Q458" s="3244"/>
      <c r="R458" s="3244">
        <f t="shared" si="93"/>
        <v>1613538</v>
      </c>
      <c r="S458" s="3244"/>
      <c r="T458" s="3236"/>
      <c r="U458" s="3236"/>
      <c r="V458" s="3236"/>
      <c r="W458" s="3236"/>
      <c r="X458" s="3244">
        <f t="shared" si="94"/>
        <v>1613538</v>
      </c>
      <c r="Y458" s="3244">
        <f t="shared" si="95"/>
        <v>3000000</v>
      </c>
      <c r="Z458" s="3285">
        <f t="shared" si="96"/>
        <v>0.34973983090634564</v>
      </c>
      <c r="AA458" s="3226" t="s">
        <v>3319</v>
      </c>
      <c r="AB458" s="3226" t="s">
        <v>4587</v>
      </c>
      <c r="AC458" s="3226" t="s">
        <v>4698</v>
      </c>
      <c r="AD458" s="3286" t="s">
        <v>4773</v>
      </c>
      <c r="AE458" s="3286" t="s">
        <v>4774</v>
      </c>
      <c r="AF458" s="3286"/>
      <c r="AG458" s="3323"/>
      <c r="AH458" s="3255"/>
      <c r="AI458" s="3255"/>
      <c r="AJ458" s="3255"/>
      <c r="AK458" s="3287" t="str">
        <f t="shared" si="97"/>
        <v/>
      </c>
      <c r="AL458" s="3288" t="str">
        <f t="shared" si="98"/>
        <v/>
      </c>
      <c r="AM458" s="3226"/>
      <c r="AN458" s="3289"/>
      <c r="AO458" s="3300"/>
      <c r="AP458" s="3300"/>
      <c r="AQ458" s="3300"/>
      <c r="AR458" s="3292"/>
      <c r="AS458" s="3292"/>
      <c r="AT458" s="3292"/>
      <c r="AU458" s="3293"/>
      <c r="AV458" s="3293"/>
      <c r="AW458" s="3294"/>
      <c r="AX458" s="3236"/>
      <c r="AY458" s="3244"/>
      <c r="AZ458" s="3325" t="s">
        <v>4445</v>
      </c>
      <c r="BA458" s="3296" t="str">
        <f t="shared" si="99"/>
        <v>签约</v>
      </c>
      <c r="BB458" s="3226"/>
      <c r="BC458" s="3226"/>
      <c r="BD458" s="3292"/>
      <c r="BE458" s="3297" t="s">
        <v>4696</v>
      </c>
      <c r="BG458" s="3297">
        <f>IFERROR(VLOOKUP(B458,[3]Sheet2!A$1:B$65536,2,FALSE),0)</f>
        <v>0</v>
      </c>
      <c r="BI458" s="3297">
        <f>IFERROR(VLOOKUP(B458,[3]Sheet2!A$1:C$65536,2,FALSE),0)</f>
        <v>0</v>
      </c>
      <c r="BJ458" s="3297">
        <f>IFERROR(VLOOKUP(B458,[3]Sheet2!A$1:C$65536,3,FALSE),0)</f>
        <v>0</v>
      </c>
    </row>
    <row r="459" spans="1:64" s="3261" customFormat="1" ht="20.25" customHeight="1">
      <c r="A459" s="3226">
        <v>457</v>
      </c>
      <c r="B459" s="3250" t="s">
        <v>4264</v>
      </c>
      <c r="C459" s="3227" t="s">
        <v>3009</v>
      </c>
      <c r="D459" s="3251" t="s">
        <v>4265</v>
      </c>
      <c r="E459" s="3229">
        <v>44030</v>
      </c>
      <c r="F459" s="3230">
        <v>500000</v>
      </c>
      <c r="G459" s="3231">
        <v>184.64</v>
      </c>
      <c r="H459" s="3231" t="str">
        <f t="shared" si="90"/>
        <v>非普通住宅</v>
      </c>
      <c r="I459" s="3230">
        <v>4666125</v>
      </c>
      <c r="J459" s="3229">
        <v>44035</v>
      </c>
      <c r="K459" s="3284">
        <f t="shared" si="91"/>
        <v>7</v>
      </c>
      <c r="L459" s="3230">
        <v>4646125</v>
      </c>
      <c r="M459" s="3235">
        <f t="shared" si="92"/>
        <v>25163.155329289431</v>
      </c>
      <c r="N459" s="3236">
        <v>1546125</v>
      </c>
      <c r="O459" s="3244"/>
      <c r="P459" s="3244"/>
      <c r="Q459" s="3244"/>
      <c r="R459" s="3244">
        <f t="shared" si="93"/>
        <v>2046125</v>
      </c>
      <c r="S459" s="3244"/>
      <c r="T459" s="3236"/>
      <c r="U459" s="3236"/>
      <c r="V459" s="3236"/>
      <c r="W459" s="3236"/>
      <c r="X459" s="3244">
        <f t="shared" si="94"/>
        <v>2046125</v>
      </c>
      <c r="Y459" s="3244">
        <f t="shared" si="95"/>
        <v>2600000</v>
      </c>
      <c r="Z459" s="3285">
        <f t="shared" si="96"/>
        <v>0.44039387661761142</v>
      </c>
      <c r="AA459" s="3226" t="s">
        <v>3319</v>
      </c>
      <c r="AB459" s="3226" t="s">
        <v>4587</v>
      </c>
      <c r="AC459" s="3226" t="s">
        <v>4698</v>
      </c>
      <c r="AD459" s="3286" t="s">
        <v>4773</v>
      </c>
      <c r="AE459" s="3286" t="s">
        <v>4774</v>
      </c>
      <c r="AF459" s="3286"/>
      <c r="AG459" s="3323"/>
      <c r="AH459" s="3255"/>
      <c r="AI459" s="3255"/>
      <c r="AJ459" s="3255"/>
      <c r="AK459" s="3287" t="str">
        <f t="shared" si="97"/>
        <v/>
      </c>
      <c r="AL459" s="3288" t="str">
        <f t="shared" si="98"/>
        <v/>
      </c>
      <c r="AM459" s="3226"/>
      <c r="AN459" s="3289"/>
      <c r="AO459" s="3300"/>
      <c r="AP459" s="3300"/>
      <c r="AQ459" s="3300"/>
      <c r="AR459" s="3292"/>
      <c r="AS459" s="3292"/>
      <c r="AT459" s="3292"/>
      <c r="AU459" s="3293"/>
      <c r="AV459" s="3293"/>
      <c r="AW459" s="3294"/>
      <c r="AX459" s="3236"/>
      <c r="AY459" s="3244"/>
      <c r="AZ459" s="3325" t="s">
        <v>4445</v>
      </c>
      <c r="BA459" s="3296" t="str">
        <f t="shared" si="99"/>
        <v>签约</v>
      </c>
      <c r="BB459" s="3226"/>
      <c r="BC459" s="3226"/>
      <c r="BD459" s="3292"/>
      <c r="BE459" s="3297" t="s">
        <v>4696</v>
      </c>
      <c r="BG459" s="3297">
        <f>IFERROR(VLOOKUP(B459,[3]Sheet2!A$1:B$65536,2,FALSE),0)</f>
        <v>0</v>
      </c>
      <c r="BI459" s="3297">
        <f>IFERROR(VLOOKUP(B459,[3]Sheet2!A$1:C$65536,2,FALSE),0)</f>
        <v>0</v>
      </c>
      <c r="BJ459" s="3297">
        <f>IFERROR(VLOOKUP(B459,[3]Sheet2!A$1:C$65536,3,FALSE),0)</f>
        <v>0</v>
      </c>
    </row>
    <row r="460" spans="1:64" s="3261" customFormat="1" ht="20.25" customHeight="1">
      <c r="A460" s="3226">
        <v>458</v>
      </c>
      <c r="B460" s="3250" t="s">
        <v>4903</v>
      </c>
      <c r="C460" s="3227" t="s">
        <v>3009</v>
      </c>
      <c r="D460" s="3251"/>
      <c r="E460" s="3229"/>
      <c r="F460" s="3230"/>
      <c r="G460" s="3231">
        <v>214.69</v>
      </c>
      <c r="H460" s="3231" t="str">
        <f t="shared" si="90"/>
        <v>非普通住宅</v>
      </c>
      <c r="I460" s="3230">
        <v>5283077</v>
      </c>
      <c r="J460" s="3229"/>
      <c r="K460" s="3284" t="str">
        <f t="shared" si="91"/>
        <v/>
      </c>
      <c r="L460" s="3230"/>
      <c r="M460" s="3235">
        <f t="shared" si="92"/>
        <v>0</v>
      </c>
      <c r="N460" s="3236"/>
      <c r="O460" s="3244"/>
      <c r="P460" s="3244"/>
      <c r="Q460" s="3244"/>
      <c r="R460" s="3244">
        <f t="shared" si="93"/>
        <v>0</v>
      </c>
      <c r="S460" s="3244"/>
      <c r="T460" s="3236"/>
      <c r="U460" s="3236"/>
      <c r="V460" s="3236"/>
      <c r="W460" s="3236"/>
      <c r="X460" s="3244">
        <f t="shared" si="94"/>
        <v>0</v>
      </c>
      <c r="Y460" s="3244">
        <f t="shared" si="95"/>
        <v>0</v>
      </c>
      <c r="Z460" s="3285" t="e">
        <f t="shared" si="96"/>
        <v>#DIV/0!</v>
      </c>
      <c r="AA460" s="3226"/>
      <c r="AB460" s="3226"/>
      <c r="AC460" s="3226"/>
      <c r="AD460" s="3286"/>
      <c r="AE460" s="3286"/>
      <c r="AF460" s="3286"/>
      <c r="AG460" s="3323"/>
      <c r="AH460" s="3255"/>
      <c r="AI460" s="3255"/>
      <c r="AJ460" s="3255"/>
      <c r="AK460" s="3287" t="str">
        <f t="shared" si="97"/>
        <v/>
      </c>
      <c r="AL460" s="3288" t="str">
        <f t="shared" si="98"/>
        <v/>
      </c>
      <c r="AM460" s="3226"/>
      <c r="AN460" s="3289"/>
      <c r="AO460" s="3300"/>
      <c r="AP460" s="3300"/>
      <c r="AQ460" s="3300"/>
      <c r="AR460" s="3292"/>
      <c r="AS460" s="3292"/>
      <c r="AT460" s="3292"/>
      <c r="AU460" s="3293"/>
      <c r="AV460" s="3293"/>
      <c r="AW460" s="3294"/>
      <c r="AX460" s="3236"/>
      <c r="AY460" s="3244"/>
      <c r="AZ460" s="3325"/>
      <c r="BA460" s="3296" t="str">
        <f t="shared" si="99"/>
        <v>未售</v>
      </c>
      <c r="BB460" s="3226"/>
      <c r="BC460" s="3226"/>
      <c r="BD460" s="3292"/>
      <c r="BE460" s="3297"/>
      <c r="BG460" s="3297">
        <f>IFERROR(VLOOKUP(B460,[3]Sheet2!A$1:B$65536,2,FALSE),0)</f>
        <v>0</v>
      </c>
      <c r="BI460" s="3297">
        <f>IFERROR(VLOOKUP(B460,[3]Sheet2!A$1:C$65536,2,FALSE),0)</f>
        <v>0</v>
      </c>
      <c r="BJ460" s="3297">
        <f>IFERROR(VLOOKUP(B460,[3]Sheet2!A$1:C$65536,3,FALSE),0)</f>
        <v>0</v>
      </c>
    </row>
    <row r="461" spans="1:64" s="3261" customFormat="1" ht="20.25" customHeight="1">
      <c r="A461" s="3226">
        <v>459</v>
      </c>
      <c r="B461" s="3250" t="s">
        <v>4266</v>
      </c>
      <c r="C461" s="3227" t="s">
        <v>3009</v>
      </c>
      <c r="D461" s="3251" t="s">
        <v>4257</v>
      </c>
      <c r="E461" s="3229">
        <v>44030</v>
      </c>
      <c r="F461" s="3230">
        <v>50000</v>
      </c>
      <c r="G461" s="3231">
        <v>206.23</v>
      </c>
      <c r="H461" s="3231" t="str">
        <f t="shared" si="90"/>
        <v>非普通住宅</v>
      </c>
      <c r="I461" s="3230">
        <v>4322361</v>
      </c>
      <c r="J461" s="3229">
        <v>44037</v>
      </c>
      <c r="K461" s="3284">
        <f t="shared" si="91"/>
        <v>7</v>
      </c>
      <c r="L461" s="3230">
        <v>4302361</v>
      </c>
      <c r="M461" s="3235">
        <f t="shared" si="92"/>
        <v>20861.955098676237</v>
      </c>
      <c r="N461" s="3236">
        <v>4252361</v>
      </c>
      <c r="O461" s="3244"/>
      <c r="P461" s="3244"/>
      <c r="Q461" s="3244"/>
      <c r="R461" s="3244">
        <f t="shared" si="93"/>
        <v>4302361</v>
      </c>
      <c r="S461" s="3244"/>
      <c r="T461" s="3236"/>
      <c r="U461" s="3236"/>
      <c r="V461" s="3236"/>
      <c r="W461" s="3236"/>
      <c r="X461" s="3244">
        <f t="shared" si="94"/>
        <v>4302361</v>
      </c>
      <c r="Y461" s="3244">
        <f t="shared" si="95"/>
        <v>0</v>
      </c>
      <c r="Z461" s="3285">
        <f t="shared" si="96"/>
        <v>1</v>
      </c>
      <c r="AA461" s="3226" t="s">
        <v>3319</v>
      </c>
      <c r="AB461" s="3226" t="s">
        <v>4676</v>
      </c>
      <c r="AC461" s="3226"/>
      <c r="AD461" s="3286"/>
      <c r="AE461" s="3286"/>
      <c r="AF461" s="3286"/>
      <c r="AG461" s="3323"/>
      <c r="AH461" s="3255"/>
      <c r="AI461" s="3255"/>
      <c r="AJ461" s="3255"/>
      <c r="AK461" s="3287" t="str">
        <f t="shared" si="97"/>
        <v/>
      </c>
      <c r="AL461" s="3288" t="str">
        <f t="shared" si="98"/>
        <v/>
      </c>
      <c r="AM461" s="3226"/>
      <c r="AN461" s="3289"/>
      <c r="AO461" s="3300"/>
      <c r="AP461" s="3300"/>
      <c r="AQ461" s="3300"/>
      <c r="AR461" s="3292"/>
      <c r="AS461" s="3292"/>
      <c r="AT461" s="3292"/>
      <c r="AU461" s="3293"/>
      <c r="AV461" s="3293"/>
      <c r="AW461" s="3294"/>
      <c r="AX461" s="3236"/>
      <c r="AY461" s="3244"/>
      <c r="AZ461" s="3325" t="s">
        <v>4735</v>
      </c>
      <c r="BA461" s="3296" t="str">
        <f t="shared" si="99"/>
        <v>签约</v>
      </c>
      <c r="BB461" s="3226"/>
      <c r="BC461" s="3226"/>
      <c r="BD461" s="3292"/>
      <c r="BE461" s="3297" t="s">
        <v>4449</v>
      </c>
      <c r="BG461" s="3297">
        <f>IFERROR(VLOOKUP(B461,[3]Sheet2!A$1:B$65536,2,FALSE),0)</f>
        <v>0</v>
      </c>
      <c r="BI461" s="3297">
        <f>IFERROR(VLOOKUP(B461,[3]Sheet2!A$1:C$65536,2,FALSE),0)</f>
        <v>0</v>
      </c>
      <c r="BJ461" s="3297">
        <f>IFERROR(VLOOKUP(B461,[3]Sheet2!A$1:C$65536,3,FALSE),0)</f>
        <v>0</v>
      </c>
    </row>
    <row r="462" spans="1:64" s="3261" customFormat="1" ht="20.25" customHeight="1">
      <c r="A462" s="3226">
        <v>460</v>
      </c>
      <c r="B462" s="3250" t="s">
        <v>4267</v>
      </c>
      <c r="C462" s="3227" t="s">
        <v>3009</v>
      </c>
      <c r="D462" s="3251" t="s">
        <v>4268</v>
      </c>
      <c r="E462" s="3229">
        <v>44030</v>
      </c>
      <c r="F462" s="3230">
        <f>30000+50000</f>
        <v>80000</v>
      </c>
      <c r="G462" s="3231">
        <v>178.73</v>
      </c>
      <c r="H462" s="3231" t="str">
        <f t="shared" si="90"/>
        <v>非普通住宅</v>
      </c>
      <c r="I462" s="3230">
        <v>3681332</v>
      </c>
      <c r="J462" s="3229">
        <v>44040</v>
      </c>
      <c r="K462" s="3284">
        <f t="shared" si="91"/>
        <v>7</v>
      </c>
      <c r="L462" s="3230">
        <v>3661332</v>
      </c>
      <c r="M462" s="3235">
        <f t="shared" si="92"/>
        <v>20485.268281765791</v>
      </c>
      <c r="N462" s="3236">
        <f>1021332+260000</f>
        <v>1281332</v>
      </c>
      <c r="O462" s="3244">
        <f>L462-P462-Q462</f>
        <v>3661332</v>
      </c>
      <c r="P462" s="3244"/>
      <c r="Q462" s="3244"/>
      <c r="R462" s="3244">
        <f t="shared" si="93"/>
        <v>1361332</v>
      </c>
      <c r="S462" s="3244">
        <f>R462-T462-U462</f>
        <v>1361332</v>
      </c>
      <c r="T462" s="3236"/>
      <c r="U462" s="3236"/>
      <c r="V462" s="3236"/>
      <c r="W462" s="3236"/>
      <c r="X462" s="3244">
        <f t="shared" si="94"/>
        <v>1361332</v>
      </c>
      <c r="Y462" s="3244">
        <f t="shared" si="95"/>
        <v>2300000</v>
      </c>
      <c r="Z462" s="3285">
        <f t="shared" si="96"/>
        <v>0.37181331821315305</v>
      </c>
      <c r="AA462" s="3226" t="s">
        <v>3319</v>
      </c>
      <c r="AB462" s="3226" t="s">
        <v>4587</v>
      </c>
      <c r="AC462" s="3226" t="s">
        <v>4698</v>
      </c>
      <c r="AD462" s="3286"/>
      <c r="AE462" s="3286"/>
      <c r="AF462" s="3286"/>
      <c r="AG462" s="3323"/>
      <c r="AH462" s="3255"/>
      <c r="AI462" s="3255"/>
      <c r="AJ462" s="3255"/>
      <c r="AK462" s="3287" t="str">
        <f t="shared" si="97"/>
        <v/>
      </c>
      <c r="AL462" s="3288" t="str">
        <f t="shared" si="98"/>
        <v/>
      </c>
      <c r="AM462" s="3226"/>
      <c r="AN462" s="3289"/>
      <c r="AO462" s="3300"/>
      <c r="AP462" s="3300"/>
      <c r="AQ462" s="3300"/>
      <c r="AR462" s="3292"/>
      <c r="AS462" s="3292"/>
      <c r="AT462" s="3292"/>
      <c r="AU462" s="3293"/>
      <c r="AV462" s="3293"/>
      <c r="AW462" s="3294"/>
      <c r="AX462" s="3236"/>
      <c r="AY462" s="3244"/>
      <c r="AZ462" s="3325" t="s">
        <v>4894</v>
      </c>
      <c r="BA462" s="3296" t="str">
        <f t="shared" si="99"/>
        <v>签约</v>
      </c>
      <c r="BB462" s="3226"/>
      <c r="BC462" s="3226"/>
      <c r="BD462" s="3292"/>
      <c r="BE462" s="3297" t="s">
        <v>4465</v>
      </c>
      <c r="BG462" s="3297"/>
      <c r="BI462" s="3297">
        <f>IFERROR(VLOOKUP(B462,[3]Sheet2!A$1:C$65536,2,FALSE),0)</f>
        <v>0</v>
      </c>
      <c r="BJ462" s="3297">
        <f>IFERROR(VLOOKUP(B462,[3]Sheet2!A$1:C$65536,3,FALSE),0)</f>
        <v>0</v>
      </c>
    </row>
    <row r="463" spans="1:64" s="3261" customFormat="1" ht="20.25" customHeight="1">
      <c r="A463" s="3226">
        <v>461</v>
      </c>
      <c r="B463" s="3250" t="s">
        <v>4269</v>
      </c>
      <c r="C463" s="3227" t="s">
        <v>3009</v>
      </c>
      <c r="D463" s="3251" t="s">
        <v>4270</v>
      </c>
      <c r="E463" s="3229">
        <v>44030</v>
      </c>
      <c r="F463" s="3230">
        <v>500000</v>
      </c>
      <c r="G463" s="3231">
        <v>178.73</v>
      </c>
      <c r="H463" s="3231" t="str">
        <f t="shared" si="90"/>
        <v>非普通住宅</v>
      </c>
      <c r="I463" s="3230">
        <v>3714539</v>
      </c>
      <c r="J463" s="3229">
        <v>44035</v>
      </c>
      <c r="K463" s="3284">
        <f t="shared" si="91"/>
        <v>7</v>
      </c>
      <c r="L463" s="3230">
        <v>3694539</v>
      </c>
      <c r="M463" s="3235">
        <f t="shared" si="92"/>
        <v>20671.062496503106</v>
      </c>
      <c r="N463" s="3236">
        <v>614539</v>
      </c>
      <c r="O463" s="3244"/>
      <c r="P463" s="3244"/>
      <c r="Q463" s="3244"/>
      <c r="R463" s="3244">
        <f t="shared" si="93"/>
        <v>1114539</v>
      </c>
      <c r="S463" s="3244"/>
      <c r="T463" s="3236"/>
      <c r="U463" s="3236"/>
      <c r="V463" s="3236"/>
      <c r="W463" s="3236"/>
      <c r="X463" s="3244">
        <f t="shared" si="94"/>
        <v>1114539</v>
      </c>
      <c r="Y463" s="3244">
        <f t="shared" si="95"/>
        <v>2580000</v>
      </c>
      <c r="Z463" s="3285">
        <f t="shared" si="96"/>
        <v>0.30167200833446339</v>
      </c>
      <c r="AA463" s="3226" t="s">
        <v>3319</v>
      </c>
      <c r="AB463" s="3226" t="s">
        <v>4587</v>
      </c>
      <c r="AC463" s="3226" t="s">
        <v>4698</v>
      </c>
      <c r="AD463" s="3286" t="s">
        <v>4773</v>
      </c>
      <c r="AE463" s="3286" t="s">
        <v>4774</v>
      </c>
      <c r="AF463" s="3286"/>
      <c r="AG463" s="3323"/>
      <c r="AH463" s="3255"/>
      <c r="AI463" s="3255"/>
      <c r="AJ463" s="3255"/>
      <c r="AK463" s="3287" t="str">
        <f t="shared" si="97"/>
        <v/>
      </c>
      <c r="AL463" s="3288" t="str">
        <f t="shared" si="98"/>
        <v/>
      </c>
      <c r="AM463" s="3226"/>
      <c r="AN463" s="3289"/>
      <c r="AO463" s="3300"/>
      <c r="AP463" s="3300"/>
      <c r="AQ463" s="3300"/>
      <c r="AR463" s="3292"/>
      <c r="AS463" s="3292"/>
      <c r="AT463" s="3292"/>
      <c r="AU463" s="3293"/>
      <c r="AV463" s="3293"/>
      <c r="AW463" s="3294"/>
      <c r="AX463" s="3236"/>
      <c r="AY463" s="3244"/>
      <c r="AZ463" s="3325" t="s">
        <v>4441</v>
      </c>
      <c r="BA463" s="3296" t="str">
        <f t="shared" si="99"/>
        <v>签约</v>
      </c>
      <c r="BB463" s="3226"/>
      <c r="BC463" s="3226"/>
      <c r="BD463" s="3292"/>
      <c r="BE463" s="3297" t="s">
        <v>4696</v>
      </c>
      <c r="BG463" s="3297">
        <f>IFERROR(VLOOKUP(B463,[3]Sheet2!A$1:B$65536,2,FALSE),0)</f>
        <v>0</v>
      </c>
      <c r="BI463" s="3297">
        <f>IFERROR(VLOOKUP(B463,[3]Sheet2!A$1:C$65536,2,FALSE),0)</f>
        <v>0</v>
      </c>
      <c r="BJ463" s="3297">
        <f>IFERROR(VLOOKUP(B463,[3]Sheet2!A$1:C$65536,3,FALSE),0)</f>
        <v>0</v>
      </c>
    </row>
    <row r="464" spans="1:64" s="3261" customFormat="1" ht="20.25" customHeight="1">
      <c r="A464" s="3226">
        <v>462</v>
      </c>
      <c r="B464" s="3250" t="s">
        <v>4271</v>
      </c>
      <c r="C464" s="3227" t="s">
        <v>3009</v>
      </c>
      <c r="D464" s="3251" t="s">
        <v>4272</v>
      </c>
      <c r="E464" s="3229">
        <v>44030</v>
      </c>
      <c r="F464" s="3230">
        <v>500000</v>
      </c>
      <c r="G464" s="3231">
        <v>178.73</v>
      </c>
      <c r="H464" s="3231" t="str">
        <f t="shared" si="90"/>
        <v>非普通住宅</v>
      </c>
      <c r="I464" s="3230">
        <v>3747747</v>
      </c>
      <c r="J464" s="3229">
        <v>44035</v>
      </c>
      <c r="K464" s="3284">
        <f t="shared" si="91"/>
        <v>7</v>
      </c>
      <c r="L464" s="3230">
        <v>3727747</v>
      </c>
      <c r="M464" s="3235">
        <f t="shared" si="92"/>
        <v>20856.862306272033</v>
      </c>
      <c r="N464" s="3236">
        <v>1227747</v>
      </c>
      <c r="O464" s="3244"/>
      <c r="P464" s="3244"/>
      <c r="Q464" s="3244"/>
      <c r="R464" s="3244">
        <f t="shared" si="93"/>
        <v>1727747</v>
      </c>
      <c r="S464" s="3244"/>
      <c r="T464" s="3236"/>
      <c r="U464" s="3236"/>
      <c r="V464" s="3236">
        <v>2000000</v>
      </c>
      <c r="W464" s="3236"/>
      <c r="X464" s="3244">
        <f t="shared" si="94"/>
        <v>3727747</v>
      </c>
      <c r="Y464" s="3244">
        <f t="shared" si="95"/>
        <v>0</v>
      </c>
      <c r="Z464" s="3285">
        <f t="shared" si="96"/>
        <v>1</v>
      </c>
      <c r="AA464" s="3226" t="s">
        <v>3319</v>
      </c>
      <c r="AB464" s="3226" t="s">
        <v>4587</v>
      </c>
      <c r="AC464" s="3226" t="s">
        <v>4698</v>
      </c>
      <c r="AD464" s="3286" t="s">
        <v>4539</v>
      </c>
      <c r="AE464" s="3286" t="s">
        <v>4427</v>
      </c>
      <c r="AF464" s="3286"/>
      <c r="AG464" s="3323"/>
      <c r="AH464" s="3255">
        <v>44035</v>
      </c>
      <c r="AI464" s="3255">
        <v>44037</v>
      </c>
      <c r="AJ464" s="3255">
        <v>44047</v>
      </c>
      <c r="AK464" s="3287">
        <f t="shared" si="97"/>
        <v>2020</v>
      </c>
      <c r="AL464" s="3288">
        <f t="shared" si="98"/>
        <v>8</v>
      </c>
      <c r="AM464" s="3226" t="s">
        <v>4881</v>
      </c>
      <c r="AN464" s="3289">
        <v>2000000</v>
      </c>
      <c r="AO464" s="3300"/>
      <c r="AP464" s="3300"/>
      <c r="AQ464" s="3300"/>
      <c r="AR464" s="3292"/>
      <c r="AS464" s="3292"/>
      <c r="AT464" s="3292"/>
      <c r="AU464" s="3293"/>
      <c r="AV464" s="3293"/>
      <c r="AW464" s="3294"/>
      <c r="AX464" s="3236"/>
      <c r="AY464" s="3244"/>
      <c r="AZ464" s="3325" t="s">
        <v>4892</v>
      </c>
      <c r="BA464" s="3296" t="str">
        <f t="shared" si="99"/>
        <v>签约</v>
      </c>
      <c r="BB464" s="3226"/>
      <c r="BC464" s="3226"/>
      <c r="BD464" s="3292"/>
      <c r="BE464" s="3297" t="s">
        <v>4449</v>
      </c>
      <c r="BG464" s="3297">
        <f>IFERROR(VLOOKUP(B464,[3]Sheet2!A$1:B$65536,2,FALSE),0)</f>
        <v>0</v>
      </c>
      <c r="BI464" s="3297">
        <f>IFERROR(VLOOKUP(B464,[3]Sheet2!A$1:C$65536,2,FALSE),0)</f>
        <v>0</v>
      </c>
      <c r="BJ464" s="3297">
        <f>IFERROR(VLOOKUP(B464,[3]Sheet2!A$1:C$65536,3,FALSE),0)</f>
        <v>0</v>
      </c>
    </row>
    <row r="465" spans="1:62" s="3261" customFormat="1" ht="20.25" customHeight="1">
      <c r="A465" s="3226">
        <v>463</v>
      </c>
      <c r="B465" s="3250" t="s">
        <v>4273</v>
      </c>
      <c r="C465" s="3227" t="s">
        <v>3009</v>
      </c>
      <c r="D465" s="3251" t="s">
        <v>4274</v>
      </c>
      <c r="E465" s="3229">
        <v>44040</v>
      </c>
      <c r="F465" s="3230">
        <v>50000</v>
      </c>
      <c r="G465" s="3231">
        <v>178.73</v>
      </c>
      <c r="H465" s="3231" t="str">
        <f t="shared" si="90"/>
        <v>非普通住宅</v>
      </c>
      <c r="I465" s="3230">
        <v>3780953</v>
      </c>
      <c r="J465" s="3229">
        <v>44040</v>
      </c>
      <c r="K465" s="3284">
        <f t="shared" si="91"/>
        <v>7</v>
      </c>
      <c r="L465" s="3230">
        <v>3760953</v>
      </c>
      <c r="M465" s="3235">
        <f t="shared" si="92"/>
        <v>21042.650925977734</v>
      </c>
      <c r="N465" s="3236">
        <v>1210953</v>
      </c>
      <c r="O465" s="3244">
        <f>L465-P465-Q465</f>
        <v>3760953</v>
      </c>
      <c r="P465" s="3244"/>
      <c r="Q465" s="3244"/>
      <c r="R465" s="3244">
        <f t="shared" si="93"/>
        <v>1260953</v>
      </c>
      <c r="S465" s="3244">
        <f>R465-T465-U465</f>
        <v>1260953</v>
      </c>
      <c r="T465" s="3236"/>
      <c r="U465" s="3236"/>
      <c r="V465" s="3236"/>
      <c r="W465" s="3236"/>
      <c r="X465" s="3244">
        <f t="shared" si="94"/>
        <v>1260953</v>
      </c>
      <c r="Y465" s="3244">
        <f t="shared" si="95"/>
        <v>2500000</v>
      </c>
      <c r="Z465" s="3285">
        <f t="shared" si="96"/>
        <v>0.3352748625148998</v>
      </c>
      <c r="AA465" s="3226" t="s">
        <v>3319</v>
      </c>
      <c r="AB465" s="3226" t="s">
        <v>4587</v>
      </c>
      <c r="AC465" s="3226" t="s">
        <v>4698</v>
      </c>
      <c r="AD465" s="3286"/>
      <c r="AE465" s="3286"/>
      <c r="AF465" s="3286"/>
      <c r="AG465" s="3323"/>
      <c r="AH465" s="3255"/>
      <c r="AI465" s="3255"/>
      <c r="AJ465" s="3255"/>
      <c r="AK465" s="3287" t="str">
        <f t="shared" si="97"/>
        <v/>
      </c>
      <c r="AL465" s="3288" t="str">
        <f t="shared" si="98"/>
        <v/>
      </c>
      <c r="AM465" s="3226"/>
      <c r="AN465" s="3289"/>
      <c r="AO465" s="3300"/>
      <c r="AP465" s="3300"/>
      <c r="AQ465" s="3300"/>
      <c r="AR465" s="3292"/>
      <c r="AS465" s="3292"/>
      <c r="AT465" s="3292"/>
      <c r="AU465" s="3293"/>
      <c r="AV465" s="3293"/>
      <c r="AW465" s="3294"/>
      <c r="AX465" s="3236"/>
      <c r="AY465" s="3244"/>
      <c r="AZ465" s="3325" t="s">
        <v>4441</v>
      </c>
      <c r="BA465" s="3296" t="str">
        <f t="shared" si="99"/>
        <v>签约</v>
      </c>
      <c r="BB465" s="3226"/>
      <c r="BC465" s="3226"/>
      <c r="BD465" s="3292"/>
      <c r="BE465" s="3297" t="s">
        <v>4449</v>
      </c>
      <c r="BG465" s="3297"/>
      <c r="BI465" s="3297">
        <f>IFERROR(VLOOKUP(B465,[3]Sheet2!A$1:C$65536,2,FALSE),0)</f>
        <v>0</v>
      </c>
      <c r="BJ465" s="3297">
        <f>IFERROR(VLOOKUP(B465,[3]Sheet2!A$1:C$65536,3,FALSE),0)</f>
        <v>0</v>
      </c>
    </row>
    <row r="466" spans="1:62" s="3261" customFormat="1" ht="20.25" customHeight="1">
      <c r="A466" s="3226">
        <v>464</v>
      </c>
      <c r="B466" s="3250" t="s">
        <v>4904</v>
      </c>
      <c r="C466" s="3227" t="s">
        <v>3009</v>
      </c>
      <c r="D466" s="3251"/>
      <c r="E466" s="3229"/>
      <c r="F466" s="3230"/>
      <c r="G466" s="3231">
        <v>206.23</v>
      </c>
      <c r="H466" s="3231" t="str">
        <f t="shared" si="90"/>
        <v>非普通住宅</v>
      </c>
      <c r="I466" s="3230">
        <v>4217043</v>
      </c>
      <c r="J466" s="3229"/>
      <c r="K466" s="3284" t="str">
        <f t="shared" si="91"/>
        <v/>
      </c>
      <c r="L466" s="3230"/>
      <c r="M466" s="3235">
        <f t="shared" si="92"/>
        <v>0</v>
      </c>
      <c r="N466" s="3236"/>
      <c r="O466" s="3244"/>
      <c r="P466" s="3244"/>
      <c r="Q466" s="3244"/>
      <c r="R466" s="3244">
        <f t="shared" si="93"/>
        <v>0</v>
      </c>
      <c r="S466" s="3244"/>
      <c r="T466" s="3236"/>
      <c r="U466" s="3236"/>
      <c r="V466" s="3236"/>
      <c r="W466" s="3236"/>
      <c r="X466" s="3244">
        <f t="shared" si="94"/>
        <v>0</v>
      </c>
      <c r="Y466" s="3244">
        <f t="shared" si="95"/>
        <v>0</v>
      </c>
      <c r="Z466" s="3285" t="e">
        <f t="shared" si="96"/>
        <v>#DIV/0!</v>
      </c>
      <c r="AA466" s="3226"/>
      <c r="AB466" s="3226"/>
      <c r="AC466" s="3226"/>
      <c r="AD466" s="3286"/>
      <c r="AE466" s="3286"/>
      <c r="AF466" s="3286"/>
      <c r="AG466" s="3323"/>
      <c r="AH466" s="3255"/>
      <c r="AI466" s="3255"/>
      <c r="AJ466" s="3255"/>
      <c r="AK466" s="3287" t="str">
        <f t="shared" si="97"/>
        <v/>
      </c>
      <c r="AL466" s="3288" t="str">
        <f t="shared" si="98"/>
        <v/>
      </c>
      <c r="AM466" s="3226"/>
      <c r="AN466" s="3289"/>
      <c r="AO466" s="3300"/>
      <c r="AP466" s="3300"/>
      <c r="AQ466" s="3300"/>
      <c r="AR466" s="3292"/>
      <c r="AS466" s="3292"/>
      <c r="AT466" s="3292"/>
      <c r="AU466" s="3293"/>
      <c r="AV466" s="3293"/>
      <c r="AW466" s="3294"/>
      <c r="AX466" s="3236"/>
      <c r="AY466" s="3244"/>
      <c r="AZ466" s="3325"/>
      <c r="BA466" s="3296" t="str">
        <f t="shared" si="99"/>
        <v>未售</v>
      </c>
      <c r="BB466" s="3226"/>
      <c r="BC466" s="3226"/>
      <c r="BD466" s="3292"/>
      <c r="BE466" s="3297"/>
      <c r="BG466" s="3297">
        <f>IFERROR(VLOOKUP(B466,[3]Sheet2!A$1:B$65536,2,FALSE),0)</f>
        <v>0</v>
      </c>
      <c r="BI466" s="3297">
        <f>IFERROR(VLOOKUP(B466,[3]Sheet2!A$1:C$65536,2,FALSE),0)</f>
        <v>0</v>
      </c>
      <c r="BJ466" s="3297">
        <f>IFERROR(VLOOKUP(B466,[3]Sheet2!A$1:C$65536,3,FALSE),0)</f>
        <v>0</v>
      </c>
    </row>
    <row r="467" spans="1:62" s="3261" customFormat="1" ht="20.25" customHeight="1">
      <c r="A467" s="3226">
        <v>465</v>
      </c>
      <c r="B467" s="3250" t="s">
        <v>4275</v>
      </c>
      <c r="C467" s="3227" t="s">
        <v>3009</v>
      </c>
      <c r="D467" s="3251" t="s">
        <v>4276</v>
      </c>
      <c r="E467" s="3229">
        <v>44031</v>
      </c>
      <c r="F467" s="3230">
        <v>500000</v>
      </c>
      <c r="G467" s="3231">
        <v>216.67</v>
      </c>
      <c r="H467" s="3231" t="str">
        <f t="shared" si="90"/>
        <v>非普通住宅</v>
      </c>
      <c r="I467" s="3230">
        <v>5218159</v>
      </c>
      <c r="J467" s="3229">
        <v>44036</v>
      </c>
      <c r="K467" s="3284">
        <f t="shared" si="91"/>
        <v>7</v>
      </c>
      <c r="L467" s="3230">
        <v>5198159</v>
      </c>
      <c r="M467" s="3235">
        <f t="shared" si="92"/>
        <v>23991.133982554114</v>
      </c>
      <c r="N467" s="3236">
        <v>1098159</v>
      </c>
      <c r="O467" s="3244"/>
      <c r="P467" s="3244"/>
      <c r="Q467" s="3244"/>
      <c r="R467" s="3244">
        <f t="shared" si="93"/>
        <v>1598159</v>
      </c>
      <c r="S467" s="3244"/>
      <c r="T467" s="3236"/>
      <c r="U467" s="3236"/>
      <c r="V467" s="3236"/>
      <c r="W467" s="3236"/>
      <c r="X467" s="3244">
        <f t="shared" si="94"/>
        <v>1598159</v>
      </c>
      <c r="Y467" s="3244">
        <f t="shared" si="95"/>
        <v>3600000</v>
      </c>
      <c r="Z467" s="3285">
        <f t="shared" si="96"/>
        <v>0.30744711733519503</v>
      </c>
      <c r="AA467" s="3226" t="s">
        <v>3319</v>
      </c>
      <c r="AB467" s="3226" t="s">
        <v>4587</v>
      </c>
      <c r="AC467" s="3226" t="s">
        <v>4698</v>
      </c>
      <c r="AD467" s="3286" t="s">
        <v>4773</v>
      </c>
      <c r="AE467" s="3286" t="s">
        <v>4877</v>
      </c>
      <c r="AF467" s="3286"/>
      <c r="AG467" s="3323"/>
      <c r="AH467" s="3255">
        <v>44033</v>
      </c>
      <c r="AI467" s="3255"/>
      <c r="AJ467" s="3255"/>
      <c r="AK467" s="3287" t="str">
        <f t="shared" si="97"/>
        <v/>
      </c>
      <c r="AL467" s="3288" t="str">
        <f t="shared" si="98"/>
        <v/>
      </c>
      <c r="AM467" s="3226" t="s">
        <v>4433</v>
      </c>
      <c r="AN467" s="3289">
        <v>3600000</v>
      </c>
      <c r="AO467" s="3300"/>
      <c r="AP467" s="3300"/>
      <c r="AQ467" s="3300"/>
      <c r="AR467" s="3292"/>
      <c r="AS467" s="3292"/>
      <c r="AT467" s="3292"/>
      <c r="AU467" s="3293"/>
      <c r="AV467" s="3293"/>
      <c r="AW467" s="3294"/>
      <c r="AX467" s="3236"/>
      <c r="AY467" s="3244"/>
      <c r="AZ467" s="3325" t="s">
        <v>4882</v>
      </c>
      <c r="BA467" s="3296" t="str">
        <f t="shared" si="99"/>
        <v>签约</v>
      </c>
      <c r="BB467" s="3226"/>
      <c r="BC467" s="3226"/>
      <c r="BD467" s="3292"/>
      <c r="BE467" s="3297" t="s">
        <v>4449</v>
      </c>
      <c r="BG467" s="3297">
        <f>IFERROR(VLOOKUP(B467,[3]Sheet2!A$1:B$65536,2,FALSE),0)</f>
        <v>0</v>
      </c>
      <c r="BI467" s="3297">
        <f>IFERROR(VLOOKUP(B467,[3]Sheet2!A$1:C$65536,2,FALSE),0)</f>
        <v>0</v>
      </c>
      <c r="BJ467" s="3297">
        <f>IFERROR(VLOOKUP(B467,[3]Sheet2!A$1:C$65536,3,FALSE),0)</f>
        <v>0</v>
      </c>
    </row>
    <row r="468" spans="1:62" s="3261" customFormat="1" ht="20.25" customHeight="1">
      <c r="A468" s="3226">
        <v>466</v>
      </c>
      <c r="B468" s="3250" t="s">
        <v>4277</v>
      </c>
      <c r="C468" s="3227" t="s">
        <v>3009</v>
      </c>
      <c r="D468" s="3251" t="s">
        <v>4278</v>
      </c>
      <c r="E468" s="3229">
        <v>44031</v>
      </c>
      <c r="F468" s="3230">
        <v>500000</v>
      </c>
      <c r="G468" s="3231">
        <v>186.34</v>
      </c>
      <c r="H468" s="3231" t="str">
        <f t="shared" si="90"/>
        <v>非普通住宅</v>
      </c>
      <c r="I468" s="3230">
        <v>4622807</v>
      </c>
      <c r="J468" s="3229">
        <v>44038</v>
      </c>
      <c r="K468" s="3284">
        <f t="shared" si="91"/>
        <v>7</v>
      </c>
      <c r="L468" s="3230">
        <v>4602807</v>
      </c>
      <c r="M468" s="3235">
        <f t="shared" si="92"/>
        <v>24701.12160566706</v>
      </c>
      <c r="N468" s="3236">
        <v>902807</v>
      </c>
      <c r="O468" s="3244"/>
      <c r="P468" s="3244"/>
      <c r="Q468" s="3244"/>
      <c r="R468" s="3244">
        <f t="shared" si="93"/>
        <v>1402807</v>
      </c>
      <c r="S468" s="3244"/>
      <c r="T468" s="3236"/>
      <c r="U468" s="3236"/>
      <c r="V468" s="3236"/>
      <c r="W468" s="3236"/>
      <c r="X468" s="3244">
        <f t="shared" si="94"/>
        <v>1402807</v>
      </c>
      <c r="Y468" s="3244">
        <f t="shared" si="95"/>
        <v>3200000</v>
      </c>
      <c r="Z468" s="3285">
        <f t="shared" si="96"/>
        <v>0.30477206626304337</v>
      </c>
      <c r="AA468" s="3226" t="s">
        <v>3319</v>
      </c>
      <c r="AB468" s="3226" t="s">
        <v>4587</v>
      </c>
      <c r="AC468" s="3226" t="s">
        <v>4698</v>
      </c>
      <c r="AD468" s="3286" t="s">
        <v>4773</v>
      </c>
      <c r="AE468" s="3286" t="s">
        <v>4774</v>
      </c>
      <c r="AF468" s="3286"/>
      <c r="AG468" s="3323"/>
      <c r="AH468" s="3255"/>
      <c r="AI468" s="3255"/>
      <c r="AJ468" s="3255"/>
      <c r="AK468" s="3287" t="str">
        <f t="shared" si="97"/>
        <v/>
      </c>
      <c r="AL468" s="3288" t="str">
        <f t="shared" si="98"/>
        <v/>
      </c>
      <c r="AM468" s="3226"/>
      <c r="AN468" s="3289"/>
      <c r="AO468" s="3300"/>
      <c r="AP468" s="3300"/>
      <c r="AQ468" s="3300"/>
      <c r="AR468" s="3292"/>
      <c r="AS468" s="3292"/>
      <c r="AT468" s="3292"/>
      <c r="AU468" s="3293"/>
      <c r="AV468" s="3293"/>
      <c r="AW468" s="3294"/>
      <c r="AX468" s="3236"/>
      <c r="AY468" s="3244"/>
      <c r="AZ468" s="3325" t="s">
        <v>4429</v>
      </c>
      <c r="BA468" s="3296" t="str">
        <f t="shared" si="99"/>
        <v>签约</v>
      </c>
      <c r="BB468" s="3226"/>
      <c r="BC468" s="3226"/>
      <c r="BD468" s="3292"/>
      <c r="BE468" s="3297" t="s">
        <v>4696</v>
      </c>
      <c r="BG468" s="3297">
        <f>IFERROR(VLOOKUP(B468,[3]Sheet2!A$1:B$65536,2,FALSE),0)</f>
        <v>0</v>
      </c>
      <c r="BI468" s="3297">
        <f>IFERROR(VLOOKUP(B468,[3]Sheet2!A$1:C$65536,2,FALSE),0)</f>
        <v>0</v>
      </c>
      <c r="BJ468" s="3297">
        <f>IFERROR(VLOOKUP(B468,[3]Sheet2!A$1:C$65536,3,FALSE),0)</f>
        <v>0</v>
      </c>
    </row>
    <row r="469" spans="1:62" s="3261" customFormat="1" ht="20.25" customHeight="1">
      <c r="A469" s="3226">
        <v>467</v>
      </c>
      <c r="B469" s="3250" t="s">
        <v>4279</v>
      </c>
      <c r="C469" s="3227" t="s">
        <v>3009</v>
      </c>
      <c r="D469" s="3251" t="s">
        <v>4280</v>
      </c>
      <c r="E469" s="3229">
        <v>44037</v>
      </c>
      <c r="F469" s="3230">
        <v>200000</v>
      </c>
      <c r="G469" s="3231">
        <v>186.34</v>
      </c>
      <c r="H469" s="3231" t="str">
        <f t="shared" si="90"/>
        <v>非普通住宅</v>
      </c>
      <c r="I469" s="3230">
        <v>4677339</v>
      </c>
      <c r="J469" s="3229">
        <v>44037</v>
      </c>
      <c r="K469" s="3284">
        <f t="shared" si="91"/>
        <v>7</v>
      </c>
      <c r="L469" s="3230">
        <v>4657339</v>
      </c>
      <c r="M469" s="3235">
        <f t="shared" si="92"/>
        <v>24993.769453686808</v>
      </c>
      <c r="N469" s="3236">
        <v>1207339</v>
      </c>
      <c r="O469" s="3244"/>
      <c r="P469" s="3244"/>
      <c r="Q469" s="3244"/>
      <c r="R469" s="3244">
        <f t="shared" si="93"/>
        <v>1407339</v>
      </c>
      <c r="S469" s="3244"/>
      <c r="T469" s="3236"/>
      <c r="U469" s="3236"/>
      <c r="V469" s="3236"/>
      <c r="W469" s="3236"/>
      <c r="X469" s="3244">
        <f t="shared" si="94"/>
        <v>1407339</v>
      </c>
      <c r="Y469" s="3244">
        <f t="shared" si="95"/>
        <v>3250000</v>
      </c>
      <c r="Z469" s="3285">
        <f t="shared" si="96"/>
        <v>0.30217662918675237</v>
      </c>
      <c r="AA469" s="3226" t="s">
        <v>3319</v>
      </c>
      <c r="AB469" s="3226" t="s">
        <v>4587</v>
      </c>
      <c r="AC469" s="3226" t="s">
        <v>4698</v>
      </c>
      <c r="AD469" s="3286" t="s">
        <v>4773</v>
      </c>
      <c r="AE469" s="3286" t="s">
        <v>4774</v>
      </c>
      <c r="AF469" s="3286"/>
      <c r="AG469" s="3323"/>
      <c r="AH469" s="3255"/>
      <c r="AI469" s="3255"/>
      <c r="AJ469" s="3255"/>
      <c r="AK469" s="3287" t="str">
        <f t="shared" si="97"/>
        <v/>
      </c>
      <c r="AL469" s="3288" t="str">
        <f t="shared" si="98"/>
        <v/>
      </c>
      <c r="AM469" s="3226"/>
      <c r="AN469" s="3289"/>
      <c r="AO469" s="3300"/>
      <c r="AP469" s="3300"/>
      <c r="AQ469" s="3300"/>
      <c r="AR469" s="3292"/>
      <c r="AS469" s="3292"/>
      <c r="AT469" s="3292"/>
      <c r="AU469" s="3293"/>
      <c r="AV469" s="3293"/>
      <c r="AW469" s="3294"/>
      <c r="AX469" s="3236"/>
      <c r="AY469" s="3244"/>
      <c r="AZ469" s="3325" t="s">
        <v>4905</v>
      </c>
      <c r="BA469" s="3296" t="str">
        <f t="shared" si="99"/>
        <v>签约</v>
      </c>
      <c r="BB469" s="3226"/>
      <c r="BC469" s="3226"/>
      <c r="BD469" s="3292"/>
      <c r="BE469" s="3297" t="s">
        <v>4465</v>
      </c>
      <c r="BG469" s="3297">
        <f>IFERROR(VLOOKUP(B469,[3]Sheet2!A$1:B$65536,2,FALSE),0)</f>
        <v>0</v>
      </c>
      <c r="BI469" s="3297">
        <f>IFERROR(VLOOKUP(B469,[3]Sheet2!A$1:C$65536,2,FALSE),0)</f>
        <v>0</v>
      </c>
      <c r="BJ469" s="3297">
        <f>IFERROR(VLOOKUP(B469,[3]Sheet2!A$1:C$65536,3,FALSE),0)</f>
        <v>0</v>
      </c>
    </row>
    <row r="470" spans="1:62" s="3261" customFormat="1" ht="20.25" customHeight="1">
      <c r="A470" s="3226">
        <v>468</v>
      </c>
      <c r="B470" s="3250" t="s">
        <v>4906</v>
      </c>
      <c r="C470" s="3227" t="s">
        <v>3009</v>
      </c>
      <c r="D470" s="3251" t="s">
        <v>4907</v>
      </c>
      <c r="E470" s="3229">
        <v>44030</v>
      </c>
      <c r="F470" s="3230">
        <f>10000+190000</f>
        <v>200000</v>
      </c>
      <c r="G470" s="3231">
        <v>216.67</v>
      </c>
      <c r="H470" s="3231" t="str">
        <f t="shared" si="90"/>
        <v>非普通住宅</v>
      </c>
      <c r="I470" s="3230">
        <v>5916349</v>
      </c>
      <c r="J470" s="3229"/>
      <c r="K470" s="3284" t="str">
        <f t="shared" si="91"/>
        <v/>
      </c>
      <c r="L470" s="3230"/>
      <c r="M470" s="3235">
        <f t="shared" si="92"/>
        <v>0</v>
      </c>
      <c r="N470" s="3236"/>
      <c r="O470" s="3244"/>
      <c r="P470" s="3244"/>
      <c r="Q470" s="3244"/>
      <c r="R470" s="3244">
        <f t="shared" si="93"/>
        <v>200000</v>
      </c>
      <c r="S470" s="3244"/>
      <c r="T470" s="3236"/>
      <c r="U470" s="3236"/>
      <c r="V470" s="3236"/>
      <c r="W470" s="3236"/>
      <c r="X470" s="3244">
        <f t="shared" si="94"/>
        <v>200000</v>
      </c>
      <c r="Y470" s="3244">
        <f t="shared" si="95"/>
        <v>-200000</v>
      </c>
      <c r="Z470" s="3285" t="e">
        <f t="shared" si="96"/>
        <v>#DIV/0!</v>
      </c>
      <c r="AA470" s="3226" t="s">
        <v>3318</v>
      </c>
      <c r="AB470" s="3226"/>
      <c r="AC470" s="3226"/>
      <c r="AD470" s="3286"/>
      <c r="AE470" s="3286"/>
      <c r="AF470" s="3286"/>
      <c r="AG470" s="3323"/>
      <c r="AH470" s="3255"/>
      <c r="AI470" s="3255"/>
      <c r="AJ470" s="3255"/>
      <c r="AK470" s="3287" t="str">
        <f t="shared" si="97"/>
        <v/>
      </c>
      <c r="AL470" s="3288" t="str">
        <f t="shared" si="98"/>
        <v/>
      </c>
      <c r="AM470" s="3226"/>
      <c r="AN470" s="3289"/>
      <c r="AO470" s="3300"/>
      <c r="AP470" s="3300"/>
      <c r="AQ470" s="3300"/>
      <c r="AR470" s="3292"/>
      <c r="AS470" s="3292"/>
      <c r="AT470" s="3292"/>
      <c r="AU470" s="3293"/>
      <c r="AV470" s="3293"/>
      <c r="AW470" s="3294"/>
      <c r="AX470" s="3236"/>
      <c r="AY470" s="3244"/>
      <c r="AZ470" s="3325"/>
      <c r="BA470" s="3296" t="str">
        <f t="shared" si="99"/>
        <v>认购</v>
      </c>
      <c r="BB470" s="3226"/>
      <c r="BC470" s="3226"/>
      <c r="BD470" s="3292"/>
      <c r="BE470" s="3297"/>
      <c r="BG470" s="3297">
        <f>IFERROR(VLOOKUP(B470,[3]Sheet2!A$1:B$65536,2,FALSE),0)</f>
        <v>0</v>
      </c>
      <c r="BI470" s="3297">
        <f>IFERROR(VLOOKUP(B470,[3]Sheet2!A$1:C$65536,2,FALSE),0)</f>
        <v>0</v>
      </c>
      <c r="BJ470" s="3297">
        <f>IFERROR(VLOOKUP(B470,[3]Sheet2!A$1:C$65536,3,FALSE),0)</f>
        <v>0</v>
      </c>
    </row>
    <row r="471" spans="1:62" s="3261" customFormat="1" ht="20.25" customHeight="1">
      <c r="A471" s="3226">
        <v>469</v>
      </c>
      <c r="B471" s="3250" t="s">
        <v>4281</v>
      </c>
      <c r="C471" s="3227" t="s">
        <v>3009</v>
      </c>
      <c r="D471" s="3251" t="s">
        <v>4282</v>
      </c>
      <c r="E471" s="3229">
        <v>44037</v>
      </c>
      <c r="F471" s="3230">
        <v>500000</v>
      </c>
      <c r="G471" s="3231">
        <v>208.14</v>
      </c>
      <c r="H471" s="3231" t="str">
        <f t="shared" si="90"/>
        <v>非普通住宅</v>
      </c>
      <c r="I471" s="3230">
        <v>4152272</v>
      </c>
      <c r="J471" s="3229">
        <v>44039</v>
      </c>
      <c r="K471" s="3284">
        <f t="shared" si="91"/>
        <v>7</v>
      </c>
      <c r="L471" s="3230">
        <v>4132272</v>
      </c>
      <c r="M471" s="3235">
        <f t="shared" si="92"/>
        <v>19853.329489766504</v>
      </c>
      <c r="N471" s="3236">
        <v>802272</v>
      </c>
      <c r="O471" s="3244"/>
      <c r="P471" s="3244"/>
      <c r="Q471" s="3244"/>
      <c r="R471" s="3244">
        <f t="shared" si="93"/>
        <v>1302272</v>
      </c>
      <c r="S471" s="3244"/>
      <c r="T471" s="3236"/>
      <c r="U471" s="3236"/>
      <c r="V471" s="3236"/>
      <c r="W471" s="3236"/>
      <c r="X471" s="3244">
        <f t="shared" si="94"/>
        <v>1302272</v>
      </c>
      <c r="Y471" s="3244">
        <f t="shared" si="95"/>
        <v>2830000</v>
      </c>
      <c r="Z471" s="3285">
        <f t="shared" si="96"/>
        <v>0.31514672799854415</v>
      </c>
      <c r="AA471" s="3226" t="s">
        <v>3319</v>
      </c>
      <c r="AB471" s="3226" t="s">
        <v>4587</v>
      </c>
      <c r="AC471" s="3226" t="s">
        <v>4698</v>
      </c>
      <c r="AD471" s="3286" t="s">
        <v>4773</v>
      </c>
      <c r="AE471" s="3286" t="s">
        <v>4774</v>
      </c>
      <c r="AF471" s="3286"/>
      <c r="AG471" s="3323"/>
      <c r="AH471" s="3255"/>
      <c r="AI471" s="3255"/>
      <c r="AJ471" s="3255"/>
      <c r="AK471" s="3287" t="str">
        <f t="shared" si="97"/>
        <v/>
      </c>
      <c r="AL471" s="3288" t="str">
        <f t="shared" si="98"/>
        <v/>
      </c>
      <c r="AM471" s="3226"/>
      <c r="AN471" s="3289"/>
      <c r="AO471" s="3300"/>
      <c r="AP471" s="3300"/>
      <c r="AQ471" s="3300"/>
      <c r="AR471" s="3292"/>
      <c r="AS471" s="3292"/>
      <c r="AT471" s="3292"/>
      <c r="AU471" s="3293"/>
      <c r="AV471" s="3293"/>
      <c r="AW471" s="3294"/>
      <c r="AX471" s="3236"/>
      <c r="AY471" s="3244"/>
      <c r="AZ471" s="3325" t="s">
        <v>4441</v>
      </c>
      <c r="BA471" s="3296" t="str">
        <f t="shared" si="99"/>
        <v>签约</v>
      </c>
      <c r="BB471" s="3226"/>
      <c r="BC471" s="3226"/>
      <c r="BD471" s="3292"/>
      <c r="BE471" s="3297" t="s">
        <v>4696</v>
      </c>
      <c r="BG471" s="3297">
        <f>IFERROR(VLOOKUP(B471,[3]Sheet2!A$1:B$65536,2,FALSE),0)</f>
        <v>0</v>
      </c>
      <c r="BI471" s="3297">
        <f>IFERROR(VLOOKUP(B471,[3]Sheet2!A$1:C$65536,2,FALSE),0)</f>
        <v>0</v>
      </c>
      <c r="BJ471" s="3297">
        <f>IFERROR(VLOOKUP(B471,[3]Sheet2!A$1:C$65536,3,FALSE),0)</f>
        <v>0</v>
      </c>
    </row>
    <row r="472" spans="1:62" s="3261" customFormat="1" ht="20.25" customHeight="1">
      <c r="A472" s="3226">
        <v>470</v>
      </c>
      <c r="B472" s="3250" t="s">
        <v>4283</v>
      </c>
      <c r="C472" s="3227" t="s">
        <v>3009</v>
      </c>
      <c r="D472" s="3251" t="s">
        <v>4284</v>
      </c>
      <c r="E472" s="3229">
        <v>44030</v>
      </c>
      <c r="F472" s="3230">
        <v>500000</v>
      </c>
      <c r="G472" s="3231">
        <v>180.37</v>
      </c>
      <c r="H472" s="3231" t="str">
        <f t="shared" si="90"/>
        <v>非普通住宅</v>
      </c>
      <c r="I472" s="3230">
        <v>3727868</v>
      </c>
      <c r="J472" s="3229">
        <v>44040</v>
      </c>
      <c r="K472" s="3284">
        <f t="shared" si="91"/>
        <v>7</v>
      </c>
      <c r="L472" s="3230">
        <v>3707868</v>
      </c>
      <c r="M472" s="3235">
        <f t="shared" si="92"/>
        <v>20557.010589344125</v>
      </c>
      <c r="N472" s="3236">
        <v>617868</v>
      </c>
      <c r="O472" s="3244">
        <f>L472-P472-Q472</f>
        <v>3707868</v>
      </c>
      <c r="P472" s="3244"/>
      <c r="Q472" s="3244"/>
      <c r="R472" s="3244">
        <f t="shared" si="93"/>
        <v>1117868</v>
      </c>
      <c r="S472" s="3244">
        <f>R472-T472-U472</f>
        <v>1117868</v>
      </c>
      <c r="T472" s="3236"/>
      <c r="U472" s="3236"/>
      <c r="V472" s="3236"/>
      <c r="W472" s="3236"/>
      <c r="X472" s="3244">
        <f t="shared" si="94"/>
        <v>1117868</v>
      </c>
      <c r="Y472" s="3244">
        <f t="shared" si="95"/>
        <v>2590000</v>
      </c>
      <c r="Z472" s="3285">
        <f t="shared" si="96"/>
        <v>0.30148538189601137</v>
      </c>
      <c r="AA472" s="3226" t="s">
        <v>3319</v>
      </c>
      <c r="AB472" s="3226" t="s">
        <v>4587</v>
      </c>
      <c r="AC472" s="3226" t="s">
        <v>4698</v>
      </c>
      <c r="AD472" s="3286"/>
      <c r="AE472" s="3286"/>
      <c r="AF472" s="3286"/>
      <c r="AG472" s="3323"/>
      <c r="AH472" s="3255"/>
      <c r="AI472" s="3255"/>
      <c r="AJ472" s="3255"/>
      <c r="AK472" s="3287" t="str">
        <f t="shared" si="97"/>
        <v/>
      </c>
      <c r="AL472" s="3288" t="str">
        <f t="shared" si="98"/>
        <v/>
      </c>
      <c r="AM472" s="3226"/>
      <c r="AN472" s="3289"/>
      <c r="AO472" s="3300"/>
      <c r="AP472" s="3300"/>
      <c r="AQ472" s="3300"/>
      <c r="AR472" s="3292"/>
      <c r="AS472" s="3292"/>
      <c r="AT472" s="3292"/>
      <c r="AU472" s="3293"/>
      <c r="AV472" s="3293"/>
      <c r="AW472" s="3294"/>
      <c r="AX472" s="3236"/>
      <c r="AY472" s="3244"/>
      <c r="AZ472" s="3325" t="s">
        <v>4448</v>
      </c>
      <c r="BA472" s="3296" t="str">
        <f t="shared" si="99"/>
        <v>签约</v>
      </c>
      <c r="BB472" s="3226"/>
      <c r="BC472" s="3226"/>
      <c r="BD472" s="3292"/>
      <c r="BE472" s="3297" t="s">
        <v>4449</v>
      </c>
      <c r="BG472" s="3297"/>
      <c r="BI472" s="3297">
        <f>IFERROR(VLOOKUP(B472,[3]Sheet2!A$1:C$65536,2,FALSE),0)</f>
        <v>0</v>
      </c>
      <c r="BJ472" s="3297">
        <f>IFERROR(VLOOKUP(B472,[3]Sheet2!A$1:C$65536,3,FALSE),0)</f>
        <v>0</v>
      </c>
    </row>
    <row r="473" spans="1:62" s="3261" customFormat="1" ht="20.25" customHeight="1">
      <c r="A473" s="3226">
        <v>471</v>
      </c>
      <c r="B473" s="3250" t="s">
        <v>4285</v>
      </c>
      <c r="C473" s="3227" t="s">
        <v>3009</v>
      </c>
      <c r="D473" s="3251" t="s">
        <v>4286</v>
      </c>
      <c r="E473" s="3229">
        <v>44030</v>
      </c>
      <c r="F473" s="3230">
        <v>500000</v>
      </c>
      <c r="G473" s="3231">
        <v>180.37</v>
      </c>
      <c r="H473" s="3231" t="str">
        <f t="shared" si="90"/>
        <v>非普通住宅</v>
      </c>
      <c r="I473" s="3230">
        <v>3782090</v>
      </c>
      <c r="J473" s="3229">
        <v>44035</v>
      </c>
      <c r="K473" s="3284">
        <f t="shared" si="91"/>
        <v>7</v>
      </c>
      <c r="L473" s="3230">
        <v>3762090</v>
      </c>
      <c r="M473" s="3235">
        <f t="shared" si="92"/>
        <v>20857.62599101846</v>
      </c>
      <c r="N473" s="3236">
        <v>702090</v>
      </c>
      <c r="O473" s="3244"/>
      <c r="P473" s="3244"/>
      <c r="Q473" s="3244"/>
      <c r="R473" s="3244">
        <f t="shared" si="93"/>
        <v>1202090</v>
      </c>
      <c r="S473" s="3244"/>
      <c r="T473" s="3236"/>
      <c r="U473" s="3236"/>
      <c r="V473" s="3236"/>
      <c r="W473" s="3236"/>
      <c r="X473" s="3244">
        <f t="shared" si="94"/>
        <v>1202090</v>
      </c>
      <c r="Y473" s="3244">
        <f t="shared" si="95"/>
        <v>2560000</v>
      </c>
      <c r="Z473" s="3285">
        <f t="shared" si="96"/>
        <v>0.31952717771238859</v>
      </c>
      <c r="AA473" s="3226" t="s">
        <v>3319</v>
      </c>
      <c r="AB473" s="3226" t="s">
        <v>4587</v>
      </c>
      <c r="AC473" s="3226" t="s">
        <v>4698</v>
      </c>
      <c r="AD473" s="3286" t="s">
        <v>4773</v>
      </c>
      <c r="AE473" s="3286" t="s">
        <v>4774</v>
      </c>
      <c r="AF473" s="3286"/>
      <c r="AG473" s="3323"/>
      <c r="AH473" s="3255"/>
      <c r="AI473" s="3255"/>
      <c r="AJ473" s="3255"/>
      <c r="AK473" s="3287" t="str">
        <f t="shared" si="97"/>
        <v/>
      </c>
      <c r="AL473" s="3288" t="str">
        <f t="shared" si="98"/>
        <v/>
      </c>
      <c r="AM473" s="3226"/>
      <c r="AN473" s="3289"/>
      <c r="AO473" s="3300"/>
      <c r="AP473" s="3300"/>
      <c r="AQ473" s="3300"/>
      <c r="AR473" s="3292"/>
      <c r="AS473" s="3292"/>
      <c r="AT473" s="3292"/>
      <c r="AU473" s="3293"/>
      <c r="AV473" s="3293"/>
      <c r="AW473" s="3294"/>
      <c r="AX473" s="3236"/>
      <c r="AY473" s="3244"/>
      <c r="AZ473" s="3325" t="s">
        <v>4441</v>
      </c>
      <c r="BA473" s="3296" t="str">
        <f t="shared" si="99"/>
        <v>签约</v>
      </c>
      <c r="BB473" s="3226"/>
      <c r="BC473" s="3226"/>
      <c r="BD473" s="3292"/>
      <c r="BE473" s="3297" t="s">
        <v>4696</v>
      </c>
      <c r="BG473" s="3297">
        <f>IFERROR(VLOOKUP(B473,[3]Sheet2!A$1:B$65536,2,FALSE),0)</f>
        <v>0</v>
      </c>
      <c r="BI473" s="3297">
        <f>IFERROR(VLOOKUP(B473,[3]Sheet2!A$1:C$65536,2,FALSE),0)</f>
        <v>0</v>
      </c>
      <c r="BJ473" s="3297">
        <f>IFERROR(VLOOKUP(B473,[3]Sheet2!A$1:C$65536,3,FALSE),0)</f>
        <v>0</v>
      </c>
    </row>
    <row r="474" spans="1:62" s="3261" customFormat="1" ht="20.25" customHeight="1">
      <c r="A474" s="3226">
        <v>472</v>
      </c>
      <c r="B474" s="3250" t="s">
        <v>4908</v>
      </c>
      <c r="C474" s="3227" t="s">
        <v>3009</v>
      </c>
      <c r="D474" s="3251" t="s">
        <v>4907</v>
      </c>
      <c r="E474" s="3229">
        <v>44030</v>
      </c>
      <c r="F474" s="3230">
        <f>10000+190000</f>
        <v>200000</v>
      </c>
      <c r="G474" s="3231">
        <v>208.14</v>
      </c>
      <c r="H474" s="3231" t="str">
        <f t="shared" si="90"/>
        <v>非普通住宅</v>
      </c>
      <c r="I474" s="3230">
        <v>4253542</v>
      </c>
      <c r="J474" s="3229"/>
      <c r="K474" s="3284" t="str">
        <f t="shared" si="91"/>
        <v/>
      </c>
      <c r="L474" s="3230"/>
      <c r="M474" s="3235">
        <f t="shared" si="92"/>
        <v>0</v>
      </c>
      <c r="N474" s="3236"/>
      <c r="O474" s="3244"/>
      <c r="P474" s="3244"/>
      <c r="Q474" s="3244"/>
      <c r="R474" s="3244">
        <f t="shared" si="93"/>
        <v>200000</v>
      </c>
      <c r="S474" s="3244"/>
      <c r="T474" s="3236"/>
      <c r="U474" s="3236"/>
      <c r="V474" s="3236"/>
      <c r="W474" s="3236"/>
      <c r="X474" s="3244">
        <f t="shared" si="94"/>
        <v>200000</v>
      </c>
      <c r="Y474" s="3244">
        <f t="shared" si="95"/>
        <v>-200000</v>
      </c>
      <c r="Z474" s="3285" t="e">
        <f t="shared" si="96"/>
        <v>#DIV/0!</v>
      </c>
      <c r="AA474" s="3226" t="s">
        <v>3318</v>
      </c>
      <c r="AB474" s="3226"/>
      <c r="AC474" s="3226"/>
      <c r="AD474" s="3286"/>
      <c r="AE474" s="3286"/>
      <c r="AF474" s="3286"/>
      <c r="AG474" s="3323"/>
      <c r="AH474" s="3255"/>
      <c r="AI474" s="3255"/>
      <c r="AJ474" s="3255"/>
      <c r="AK474" s="3287" t="str">
        <f t="shared" si="97"/>
        <v/>
      </c>
      <c r="AL474" s="3288" t="str">
        <f t="shared" si="98"/>
        <v/>
      </c>
      <c r="AM474" s="3226"/>
      <c r="AN474" s="3289"/>
      <c r="AO474" s="3300"/>
      <c r="AP474" s="3300"/>
      <c r="AQ474" s="3300"/>
      <c r="AR474" s="3292"/>
      <c r="AS474" s="3292"/>
      <c r="AT474" s="3292"/>
      <c r="AU474" s="3293"/>
      <c r="AV474" s="3293"/>
      <c r="AW474" s="3294"/>
      <c r="AX474" s="3236"/>
      <c r="AY474" s="3244"/>
      <c r="AZ474" s="3325"/>
      <c r="BA474" s="3296" t="str">
        <f t="shared" si="99"/>
        <v>认购</v>
      </c>
      <c r="BB474" s="3226"/>
      <c r="BC474" s="3226"/>
      <c r="BD474" s="3292"/>
      <c r="BE474" s="3297"/>
      <c r="BG474" s="3297">
        <f>IFERROR(VLOOKUP(B474,[3]Sheet2!A$1:B$65536,2,FALSE),0)</f>
        <v>0</v>
      </c>
      <c r="BI474" s="3297">
        <f>IFERROR(VLOOKUP(B474,[3]Sheet2!A$1:C$65536,2,FALSE),0)</f>
        <v>0</v>
      </c>
      <c r="BJ474" s="3297">
        <f>IFERROR(VLOOKUP(B474,[3]Sheet2!A$1:C$65536,3,FALSE),0)</f>
        <v>0</v>
      </c>
    </row>
    <row r="475" spans="1:62" s="3261" customFormat="1" ht="20.25" customHeight="1">
      <c r="A475" s="3226">
        <v>473</v>
      </c>
      <c r="B475" s="3250" t="s">
        <v>4287</v>
      </c>
      <c r="C475" s="3227" t="s">
        <v>3009</v>
      </c>
      <c r="D475" s="3251" t="s">
        <v>4288</v>
      </c>
      <c r="E475" s="3229">
        <v>44030</v>
      </c>
      <c r="F475" s="3230">
        <v>500000</v>
      </c>
      <c r="G475" s="3231">
        <v>216.95</v>
      </c>
      <c r="H475" s="3231" t="str">
        <f t="shared" si="90"/>
        <v>非普通住宅</v>
      </c>
      <c r="I475" s="3230">
        <v>5560448</v>
      </c>
      <c r="J475" s="3229">
        <v>44037</v>
      </c>
      <c r="K475" s="3284">
        <f t="shared" si="91"/>
        <v>7</v>
      </c>
      <c r="L475" s="3230">
        <v>5540448</v>
      </c>
      <c r="M475" s="3235">
        <f t="shared" si="92"/>
        <v>25537.902742567414</v>
      </c>
      <c r="N475" s="3236">
        <v>1440448</v>
      </c>
      <c r="O475" s="3244"/>
      <c r="P475" s="3244"/>
      <c r="Q475" s="3244"/>
      <c r="R475" s="3244">
        <f t="shared" si="93"/>
        <v>1940448</v>
      </c>
      <c r="S475" s="3244"/>
      <c r="T475" s="3236"/>
      <c r="U475" s="3236"/>
      <c r="V475" s="3236"/>
      <c r="W475" s="3236"/>
      <c r="X475" s="3244">
        <f t="shared" si="94"/>
        <v>1940448</v>
      </c>
      <c r="Y475" s="3244">
        <f t="shared" si="95"/>
        <v>3600000</v>
      </c>
      <c r="Z475" s="3285">
        <f t="shared" si="96"/>
        <v>0.35023304974615771</v>
      </c>
      <c r="AA475" s="3226" t="s">
        <v>3319</v>
      </c>
      <c r="AB475" s="3226" t="s">
        <v>4587</v>
      </c>
      <c r="AC475" s="3226" t="s">
        <v>4698</v>
      </c>
      <c r="AD475" s="3286" t="s">
        <v>4773</v>
      </c>
      <c r="AE475" s="3286" t="s">
        <v>4774</v>
      </c>
      <c r="AF475" s="3286"/>
      <c r="AG475" s="3323"/>
      <c r="AH475" s="3255"/>
      <c r="AI475" s="3255"/>
      <c r="AJ475" s="3255"/>
      <c r="AK475" s="3287" t="str">
        <f t="shared" si="97"/>
        <v/>
      </c>
      <c r="AL475" s="3288" t="str">
        <f t="shared" si="98"/>
        <v/>
      </c>
      <c r="AM475" s="3226"/>
      <c r="AN475" s="3289"/>
      <c r="AO475" s="3300"/>
      <c r="AP475" s="3300"/>
      <c r="AQ475" s="3300"/>
      <c r="AR475" s="3292"/>
      <c r="AS475" s="3292"/>
      <c r="AT475" s="3292"/>
      <c r="AU475" s="3293"/>
      <c r="AV475" s="3293"/>
      <c r="AW475" s="3294"/>
      <c r="AX475" s="3236"/>
      <c r="AY475" s="3244"/>
      <c r="AZ475" s="3325" t="s">
        <v>4507</v>
      </c>
      <c r="BA475" s="3296" t="str">
        <f t="shared" si="99"/>
        <v>签约</v>
      </c>
      <c r="BB475" s="3226"/>
      <c r="BC475" s="3226"/>
      <c r="BD475" s="3292"/>
      <c r="BE475" s="3297" t="s">
        <v>4696</v>
      </c>
      <c r="BG475" s="3297">
        <f>IFERROR(VLOOKUP(B475,[3]Sheet2!A$1:B$65536,2,FALSE),0)</f>
        <v>0</v>
      </c>
      <c r="BI475" s="3297">
        <f>IFERROR(VLOOKUP(B475,[3]Sheet2!A$1:C$65536,2,FALSE),0)</f>
        <v>0</v>
      </c>
      <c r="BJ475" s="3297">
        <f>IFERROR(VLOOKUP(B475,[3]Sheet2!A$1:C$65536,3,FALSE),0)</f>
        <v>0</v>
      </c>
    </row>
    <row r="476" spans="1:62" s="3261" customFormat="1" ht="20.25" customHeight="1">
      <c r="A476" s="3226">
        <v>474</v>
      </c>
      <c r="B476" s="3250" t="s">
        <v>4289</v>
      </c>
      <c r="C476" s="3227" t="s">
        <v>3009</v>
      </c>
      <c r="D476" s="3251" t="s">
        <v>4290</v>
      </c>
      <c r="E476" s="3229">
        <v>44030</v>
      </c>
      <c r="F476" s="3230">
        <v>60000</v>
      </c>
      <c r="G476" s="3231">
        <v>186.58</v>
      </c>
      <c r="H476" s="3231" t="str">
        <f t="shared" si="90"/>
        <v>非普通住宅</v>
      </c>
      <c r="I476" s="3230">
        <v>4683302</v>
      </c>
      <c r="J476" s="3229">
        <v>44034</v>
      </c>
      <c r="K476" s="3284">
        <f t="shared" si="91"/>
        <v>7</v>
      </c>
      <c r="L476" s="3230">
        <v>4663302</v>
      </c>
      <c r="M476" s="3235">
        <f t="shared" si="92"/>
        <v>24993.579161753671</v>
      </c>
      <c r="N476" s="3236">
        <f>440000+903302</f>
        <v>1343302</v>
      </c>
      <c r="O476" s="3244"/>
      <c r="P476" s="3244"/>
      <c r="Q476" s="3244"/>
      <c r="R476" s="3244">
        <f t="shared" si="93"/>
        <v>1403302</v>
      </c>
      <c r="S476" s="3244"/>
      <c r="T476" s="3236"/>
      <c r="U476" s="3236"/>
      <c r="V476" s="3236">
        <v>3260000</v>
      </c>
      <c r="W476" s="3236"/>
      <c r="X476" s="3244">
        <f t="shared" si="94"/>
        <v>4663302</v>
      </c>
      <c r="Y476" s="3244">
        <f t="shared" si="95"/>
        <v>0</v>
      </c>
      <c r="Z476" s="3285">
        <f t="shared" si="96"/>
        <v>1</v>
      </c>
      <c r="AA476" s="3226" t="s">
        <v>3319</v>
      </c>
      <c r="AB476" s="3226" t="s">
        <v>4587</v>
      </c>
      <c r="AC476" s="3226" t="s">
        <v>4698</v>
      </c>
      <c r="AD476" s="3286" t="s">
        <v>4539</v>
      </c>
      <c r="AE476" s="3286" t="s">
        <v>4427</v>
      </c>
      <c r="AF476" s="3286"/>
      <c r="AG476" s="3323"/>
      <c r="AH476" s="3255">
        <v>44033</v>
      </c>
      <c r="AI476" s="3255">
        <v>44037</v>
      </c>
      <c r="AJ476" s="3255">
        <v>44042</v>
      </c>
      <c r="AK476" s="3287">
        <f t="shared" si="97"/>
        <v>2020</v>
      </c>
      <c r="AL476" s="3288">
        <f t="shared" si="98"/>
        <v>7</v>
      </c>
      <c r="AM476" s="3226" t="s">
        <v>4881</v>
      </c>
      <c r="AN476" s="3289">
        <v>3260000</v>
      </c>
      <c r="AO476" s="3300"/>
      <c r="AP476" s="3300"/>
      <c r="AQ476" s="3300"/>
      <c r="AR476" s="3292"/>
      <c r="AS476" s="3292"/>
      <c r="AT476" s="3292"/>
      <c r="AU476" s="3293"/>
      <c r="AV476" s="3293"/>
      <c r="AW476" s="3294"/>
      <c r="AX476" s="3236"/>
      <c r="AY476" s="3244"/>
      <c r="AZ476" s="3325" t="s">
        <v>3385</v>
      </c>
      <c r="BA476" s="3296" t="str">
        <f t="shared" si="99"/>
        <v>签约</v>
      </c>
      <c r="BB476" s="3226"/>
      <c r="BC476" s="3226"/>
      <c r="BD476" s="3292"/>
      <c r="BE476" s="3297" t="s">
        <v>4449</v>
      </c>
      <c r="BG476" s="3297">
        <f>IFERROR(VLOOKUP(B476,[3]Sheet2!A$1:B$65536,2,FALSE),0)</f>
        <v>0</v>
      </c>
      <c r="BI476" s="3297">
        <f>IFERROR(VLOOKUP(B476,[3]Sheet2!A$1:C$65536,2,FALSE),0)</f>
        <v>0</v>
      </c>
      <c r="BJ476" s="3297">
        <f>IFERROR(VLOOKUP(B476,[3]Sheet2!A$1:C$65536,3,FALSE),0)</f>
        <v>0</v>
      </c>
    </row>
    <row r="477" spans="1:62" s="3261" customFormat="1" ht="20.25" customHeight="1">
      <c r="A477" s="3226">
        <v>475</v>
      </c>
      <c r="B477" s="3250" t="s">
        <v>4291</v>
      </c>
      <c r="C477" s="3227" t="s">
        <v>3009</v>
      </c>
      <c r="D477" s="3251" t="s">
        <v>4292</v>
      </c>
      <c r="E477" s="3229">
        <v>44037</v>
      </c>
      <c r="F477" s="3230">
        <v>0</v>
      </c>
      <c r="G477" s="3231">
        <v>186.58</v>
      </c>
      <c r="H477" s="3231" t="str">
        <f t="shared" si="90"/>
        <v>非普通住宅</v>
      </c>
      <c r="I477" s="3230">
        <v>4716647</v>
      </c>
      <c r="J477" s="3229">
        <v>44037</v>
      </c>
      <c r="K477" s="3284">
        <f t="shared" si="91"/>
        <v>7</v>
      </c>
      <c r="L477" s="3230">
        <v>4696647</v>
      </c>
      <c r="M477" s="3235">
        <f t="shared" si="92"/>
        <v>25172.296066030656</v>
      </c>
      <c r="N477" s="3236">
        <v>1416647</v>
      </c>
      <c r="O477" s="3244"/>
      <c r="P477" s="3244"/>
      <c r="Q477" s="3244"/>
      <c r="R477" s="3244">
        <f t="shared" si="93"/>
        <v>1416647</v>
      </c>
      <c r="S477" s="3244"/>
      <c r="T477" s="3236"/>
      <c r="U477" s="3236"/>
      <c r="V477" s="3236"/>
      <c r="W477" s="3236"/>
      <c r="X477" s="3244">
        <f t="shared" si="94"/>
        <v>1416647</v>
      </c>
      <c r="Y477" s="3244">
        <f t="shared" si="95"/>
        <v>3280000</v>
      </c>
      <c r="Z477" s="3285">
        <f t="shared" si="96"/>
        <v>0.3016294390444928</v>
      </c>
      <c r="AA477" s="3226" t="s">
        <v>3319</v>
      </c>
      <c r="AB477" s="3226" t="s">
        <v>4587</v>
      </c>
      <c r="AC477" s="3226" t="s">
        <v>4698</v>
      </c>
      <c r="AD477" s="3286" t="s">
        <v>4773</v>
      </c>
      <c r="AE477" s="3286" t="s">
        <v>4774</v>
      </c>
      <c r="AF477" s="3286"/>
      <c r="AG477" s="3323"/>
      <c r="AH477" s="3255"/>
      <c r="AI477" s="3255"/>
      <c r="AJ477" s="3255"/>
      <c r="AK477" s="3287" t="str">
        <f t="shared" si="97"/>
        <v/>
      </c>
      <c r="AL477" s="3288" t="str">
        <f t="shared" si="98"/>
        <v/>
      </c>
      <c r="AM477" s="3226"/>
      <c r="AN477" s="3289"/>
      <c r="AO477" s="3300"/>
      <c r="AP477" s="3300"/>
      <c r="AQ477" s="3300"/>
      <c r="AR477" s="3292"/>
      <c r="AS477" s="3292"/>
      <c r="AT477" s="3292"/>
      <c r="AU477" s="3293"/>
      <c r="AV477" s="3293"/>
      <c r="AW477" s="3294"/>
      <c r="AX477" s="3236"/>
      <c r="AY477" s="3244"/>
      <c r="AZ477" s="3325" t="s">
        <v>4437</v>
      </c>
      <c r="BA477" s="3296" t="str">
        <f t="shared" si="99"/>
        <v>签约</v>
      </c>
      <c r="BB477" s="3226"/>
      <c r="BC477" s="3226"/>
      <c r="BD477" s="3292"/>
      <c r="BE477" s="3297" t="s">
        <v>4449</v>
      </c>
      <c r="BG477" s="3297">
        <f>IFERROR(VLOOKUP(B477,[3]Sheet2!A$1:B$65536,2,FALSE),0)</f>
        <v>0</v>
      </c>
      <c r="BI477" s="3297">
        <f>IFERROR(VLOOKUP(B477,[3]Sheet2!A$1:C$65536,2,FALSE),0)</f>
        <v>0</v>
      </c>
      <c r="BJ477" s="3297">
        <f>IFERROR(VLOOKUP(B477,[3]Sheet2!A$1:C$65536,3,FALSE),0)</f>
        <v>0</v>
      </c>
    </row>
    <row r="478" spans="1:62" s="3261" customFormat="1" ht="20.25" customHeight="1">
      <c r="A478" s="3226">
        <v>476</v>
      </c>
      <c r="B478" s="3250" t="s">
        <v>4293</v>
      </c>
      <c r="C478" s="3227" t="s">
        <v>3009</v>
      </c>
      <c r="D478" s="3251" t="s">
        <v>4294</v>
      </c>
      <c r="E478" s="3229">
        <v>44030</v>
      </c>
      <c r="F478" s="3230">
        <v>200000</v>
      </c>
      <c r="G478" s="3231">
        <v>186.58</v>
      </c>
      <c r="H478" s="3231" t="str">
        <f t="shared" si="90"/>
        <v>非普通住宅</v>
      </c>
      <c r="I478" s="3230">
        <v>4750004</v>
      </c>
      <c r="J478" s="3229">
        <v>44035</v>
      </c>
      <c r="K478" s="3284">
        <f t="shared" si="91"/>
        <v>7</v>
      </c>
      <c r="L478" s="3230">
        <v>4730004</v>
      </c>
      <c r="M478" s="3235">
        <f t="shared" si="92"/>
        <v>25351.077285882729</v>
      </c>
      <c r="N478" s="3236">
        <f>1230004+450000</f>
        <v>1680004</v>
      </c>
      <c r="O478" s="3244"/>
      <c r="P478" s="3244"/>
      <c r="Q478" s="3244"/>
      <c r="R478" s="3244">
        <f t="shared" si="93"/>
        <v>1880004</v>
      </c>
      <c r="S478" s="3244"/>
      <c r="T478" s="3236"/>
      <c r="U478" s="3236"/>
      <c r="V478" s="3236"/>
      <c r="W478" s="3236"/>
      <c r="X478" s="3244">
        <f t="shared" si="94"/>
        <v>1880004</v>
      </c>
      <c r="Y478" s="3244">
        <f t="shared" si="95"/>
        <v>2850000</v>
      </c>
      <c r="Z478" s="3285">
        <f t="shared" si="96"/>
        <v>0.39746351165876392</v>
      </c>
      <c r="AA478" s="3226" t="s">
        <v>3319</v>
      </c>
      <c r="AB478" s="3226" t="s">
        <v>4587</v>
      </c>
      <c r="AC478" s="3226" t="s">
        <v>4698</v>
      </c>
      <c r="AD478" s="3286" t="s">
        <v>4773</v>
      </c>
      <c r="AE478" s="3286" t="s">
        <v>4877</v>
      </c>
      <c r="AF478" s="3286"/>
      <c r="AG478" s="3323"/>
      <c r="AH478" s="3255">
        <v>44036</v>
      </c>
      <c r="AI478" s="3255"/>
      <c r="AJ478" s="3255"/>
      <c r="AK478" s="3287" t="str">
        <f t="shared" si="97"/>
        <v/>
      </c>
      <c r="AL478" s="3288" t="str">
        <f t="shared" si="98"/>
        <v/>
      </c>
      <c r="AM478" s="3226" t="s">
        <v>4777</v>
      </c>
      <c r="AN478" s="3289">
        <v>2850000</v>
      </c>
      <c r="AO478" s="3300"/>
      <c r="AP478" s="3300"/>
      <c r="AQ478" s="3300"/>
      <c r="AR478" s="3292"/>
      <c r="AS478" s="3292"/>
      <c r="AT478" s="3292"/>
      <c r="AU478" s="3293"/>
      <c r="AV478" s="3293"/>
      <c r="AW478" s="3294"/>
      <c r="AX478" s="3236"/>
      <c r="AY478" s="3244"/>
      <c r="AZ478" s="3325" t="s">
        <v>4735</v>
      </c>
      <c r="BA478" s="3296" t="str">
        <f t="shared" si="99"/>
        <v>签约</v>
      </c>
      <c r="BB478" s="3226"/>
      <c r="BC478" s="3226"/>
      <c r="BD478" s="3292"/>
      <c r="BE478" s="3297" t="s">
        <v>4696</v>
      </c>
      <c r="BG478" s="3297">
        <f>IFERROR(VLOOKUP(B478,[3]Sheet2!A$1:B$65536,2,FALSE),0)</f>
        <v>0</v>
      </c>
      <c r="BI478" s="3297">
        <f>IFERROR(VLOOKUP(B478,[3]Sheet2!A$1:C$65536,2,FALSE),0)</f>
        <v>0</v>
      </c>
      <c r="BJ478" s="3297">
        <f>IFERROR(VLOOKUP(B478,[3]Sheet2!A$1:C$65536,3,FALSE),0)</f>
        <v>0</v>
      </c>
    </row>
    <row r="479" spans="1:62" s="3261" customFormat="1" ht="20.25" customHeight="1">
      <c r="A479" s="3226">
        <v>477</v>
      </c>
      <c r="B479" s="3250" t="s">
        <v>4295</v>
      </c>
      <c r="C479" s="3227" t="s">
        <v>3009</v>
      </c>
      <c r="D479" s="3251" t="s">
        <v>4296</v>
      </c>
      <c r="E479" s="3229">
        <v>44030</v>
      </c>
      <c r="F479" s="3230">
        <v>500000</v>
      </c>
      <c r="G479" s="3231">
        <v>186.58</v>
      </c>
      <c r="H479" s="3231" t="str">
        <f t="shared" si="90"/>
        <v>非普通住宅</v>
      </c>
      <c r="I479" s="3230">
        <v>4782820</v>
      </c>
      <c r="J479" s="3229">
        <v>44034</v>
      </c>
      <c r="K479" s="3284">
        <f t="shared" si="91"/>
        <v>7</v>
      </c>
      <c r="L479" s="3230">
        <v>4762820</v>
      </c>
      <c r="M479" s="3235">
        <f t="shared" si="92"/>
        <v>25526.958945224567</v>
      </c>
      <c r="N479" s="3236">
        <f>500000+452820</f>
        <v>952820</v>
      </c>
      <c r="O479" s="3244"/>
      <c r="P479" s="3244"/>
      <c r="Q479" s="3244"/>
      <c r="R479" s="3244">
        <f t="shared" si="93"/>
        <v>1452820</v>
      </c>
      <c r="S479" s="3244"/>
      <c r="T479" s="3236"/>
      <c r="U479" s="3236"/>
      <c r="V479" s="3236"/>
      <c r="W479" s="3236"/>
      <c r="X479" s="3244">
        <f t="shared" si="94"/>
        <v>1452820</v>
      </c>
      <c r="Y479" s="3244">
        <f t="shared" si="95"/>
        <v>3310000</v>
      </c>
      <c r="Z479" s="3285">
        <f t="shared" si="96"/>
        <v>0.30503357254735641</v>
      </c>
      <c r="AA479" s="3226" t="s">
        <v>3319</v>
      </c>
      <c r="AB479" s="3226" t="s">
        <v>4587</v>
      </c>
      <c r="AC479" s="3226" t="s">
        <v>4698</v>
      </c>
      <c r="AD479" s="3286" t="s">
        <v>4539</v>
      </c>
      <c r="AE479" s="3286" t="s">
        <v>4776</v>
      </c>
      <c r="AF479" s="3286"/>
      <c r="AG479" s="3323"/>
      <c r="AH479" s="3255">
        <v>44036</v>
      </c>
      <c r="AI479" s="3255">
        <v>44036</v>
      </c>
      <c r="AJ479" s="3255"/>
      <c r="AK479" s="3287" t="str">
        <f t="shared" si="97"/>
        <v/>
      </c>
      <c r="AL479" s="3288" t="str">
        <f t="shared" si="98"/>
        <v/>
      </c>
      <c r="AM479" s="3226" t="s">
        <v>4792</v>
      </c>
      <c r="AN479" s="3289">
        <v>3310000</v>
      </c>
      <c r="AO479" s="3300"/>
      <c r="AP479" s="3300"/>
      <c r="AQ479" s="3300"/>
      <c r="AR479" s="3292"/>
      <c r="AS479" s="3292"/>
      <c r="AT479" s="3292"/>
      <c r="AU479" s="3293"/>
      <c r="AV479" s="3293"/>
      <c r="AW479" s="3294"/>
      <c r="AX479" s="3236"/>
      <c r="AY479" s="3244"/>
      <c r="AZ479" s="3325" t="s">
        <v>4885</v>
      </c>
      <c r="BA479" s="3296" t="str">
        <f t="shared" si="99"/>
        <v>签约</v>
      </c>
      <c r="BB479" s="3226"/>
      <c r="BC479" s="3226"/>
      <c r="BD479" s="3292"/>
      <c r="BE479" s="3297" t="s">
        <v>4465</v>
      </c>
      <c r="BG479" s="3297">
        <f>IFERROR(VLOOKUP(B479,[3]Sheet2!A$1:B$65536,2,FALSE),0)</f>
        <v>0</v>
      </c>
      <c r="BI479" s="3297">
        <f>IFERROR(VLOOKUP(B479,[3]Sheet2!A$1:C$65536,2,FALSE),0)</f>
        <v>0</v>
      </c>
      <c r="BJ479" s="3297">
        <f>IFERROR(VLOOKUP(B479,[3]Sheet2!A$1:C$65536,3,FALSE),0)</f>
        <v>0</v>
      </c>
    </row>
    <row r="480" spans="1:62" s="3261" customFormat="1" ht="20.25" customHeight="1">
      <c r="A480" s="3226">
        <v>478</v>
      </c>
      <c r="B480" s="3250" t="s">
        <v>4909</v>
      </c>
      <c r="C480" s="3227" t="s">
        <v>3009</v>
      </c>
      <c r="D480" s="3251" t="s">
        <v>4910</v>
      </c>
      <c r="E480" s="3229">
        <v>44032</v>
      </c>
      <c r="F480" s="3230">
        <v>500000</v>
      </c>
      <c r="G480" s="3231">
        <v>229.56</v>
      </c>
      <c r="H480" s="3231" t="str">
        <f t="shared" si="90"/>
        <v>非普通住宅</v>
      </c>
      <c r="I480" s="3230">
        <v>5725810</v>
      </c>
      <c r="J480" s="3229"/>
      <c r="K480" s="3284" t="str">
        <f t="shared" si="91"/>
        <v/>
      </c>
      <c r="L480" s="3230"/>
      <c r="M480" s="3235">
        <f t="shared" si="92"/>
        <v>0</v>
      </c>
      <c r="N480" s="3236"/>
      <c r="O480" s="3244"/>
      <c r="P480" s="3244"/>
      <c r="Q480" s="3244"/>
      <c r="R480" s="3244">
        <f t="shared" si="93"/>
        <v>500000</v>
      </c>
      <c r="S480" s="3244"/>
      <c r="T480" s="3236"/>
      <c r="U480" s="3236"/>
      <c r="V480" s="3236"/>
      <c r="W480" s="3236"/>
      <c r="X480" s="3244">
        <f t="shared" si="94"/>
        <v>500000</v>
      </c>
      <c r="Y480" s="3244">
        <f t="shared" si="95"/>
        <v>-500000</v>
      </c>
      <c r="Z480" s="3285" t="e">
        <f t="shared" si="96"/>
        <v>#DIV/0!</v>
      </c>
      <c r="AA480" s="3226"/>
      <c r="AB480" s="3226"/>
      <c r="AC480" s="3226"/>
      <c r="AD480" s="3286"/>
      <c r="AE480" s="3286"/>
      <c r="AF480" s="3286"/>
      <c r="AG480" s="3323"/>
      <c r="AH480" s="3255"/>
      <c r="AI480" s="3255"/>
      <c r="AJ480" s="3255"/>
      <c r="AK480" s="3287" t="str">
        <f t="shared" si="97"/>
        <v/>
      </c>
      <c r="AL480" s="3288" t="str">
        <f t="shared" si="98"/>
        <v/>
      </c>
      <c r="AM480" s="3226"/>
      <c r="AN480" s="3289"/>
      <c r="AO480" s="3300"/>
      <c r="AP480" s="3300"/>
      <c r="AQ480" s="3300"/>
      <c r="AR480" s="3292"/>
      <c r="AS480" s="3292"/>
      <c r="AT480" s="3292"/>
      <c r="AU480" s="3293"/>
      <c r="AV480" s="3293"/>
      <c r="AW480" s="3294"/>
      <c r="AX480" s="3236"/>
      <c r="AY480" s="3244"/>
      <c r="AZ480" s="3325"/>
      <c r="BA480" s="3296" t="str">
        <f t="shared" si="99"/>
        <v>认购</v>
      </c>
      <c r="BB480" s="3226"/>
      <c r="BC480" s="3226"/>
      <c r="BD480" s="3292"/>
      <c r="BE480" s="3297"/>
      <c r="BG480" s="3297">
        <f>IFERROR(VLOOKUP(B480,[3]Sheet2!A$1:B$65536,2,FALSE),0)</f>
        <v>0</v>
      </c>
      <c r="BI480" s="3297">
        <f>IFERROR(VLOOKUP(B480,[3]Sheet2!A$1:C$65536,2,FALSE),0)</f>
        <v>0</v>
      </c>
      <c r="BJ480" s="3297">
        <f>IFERROR(VLOOKUP(B480,[3]Sheet2!A$1:C$65536,3,FALSE),0)</f>
        <v>0</v>
      </c>
    </row>
    <row r="481" spans="1:62" s="3261" customFormat="1" ht="20.25" customHeight="1">
      <c r="A481" s="3226">
        <v>479</v>
      </c>
      <c r="B481" s="3250" t="s">
        <v>4297</v>
      </c>
      <c r="C481" s="3227" t="s">
        <v>3009</v>
      </c>
      <c r="D481" s="3251" t="s">
        <v>4298</v>
      </c>
      <c r="E481" s="3229">
        <v>44030</v>
      </c>
      <c r="F481" s="3230">
        <v>100000</v>
      </c>
      <c r="G481" s="3231">
        <v>208.4</v>
      </c>
      <c r="H481" s="3231" t="str">
        <f t="shared" si="90"/>
        <v>非普通住宅</v>
      </c>
      <c r="I481" s="3230">
        <v>4231052</v>
      </c>
      <c r="J481" s="3229">
        <v>44035</v>
      </c>
      <c r="K481" s="3284">
        <f t="shared" si="91"/>
        <v>7</v>
      </c>
      <c r="L481" s="3230">
        <v>4211052</v>
      </c>
      <c r="M481" s="3235">
        <f t="shared" si="92"/>
        <v>20206.583493282149</v>
      </c>
      <c r="N481" s="3236">
        <v>1171052</v>
      </c>
      <c r="O481" s="3244"/>
      <c r="P481" s="3244"/>
      <c r="Q481" s="3244"/>
      <c r="R481" s="3244">
        <f t="shared" si="93"/>
        <v>1271052</v>
      </c>
      <c r="S481" s="3244"/>
      <c r="T481" s="3236"/>
      <c r="U481" s="3236"/>
      <c r="V481" s="3236">
        <v>2940000</v>
      </c>
      <c r="W481" s="3236"/>
      <c r="X481" s="3244">
        <f t="shared" si="94"/>
        <v>4211052</v>
      </c>
      <c r="Y481" s="3244">
        <f t="shared" si="95"/>
        <v>0</v>
      </c>
      <c r="Z481" s="3285">
        <f t="shared" si="96"/>
        <v>1</v>
      </c>
      <c r="AA481" s="3226" t="s">
        <v>3319</v>
      </c>
      <c r="AB481" s="3226" t="s">
        <v>4587</v>
      </c>
      <c r="AC481" s="3226" t="s">
        <v>4698</v>
      </c>
      <c r="AD481" s="3286" t="s">
        <v>4539</v>
      </c>
      <c r="AE481" s="3286" t="s">
        <v>4427</v>
      </c>
      <c r="AF481" s="3286"/>
      <c r="AG481" s="3323"/>
      <c r="AH481" s="3255">
        <v>44036</v>
      </c>
      <c r="AI481" s="3255">
        <v>44038</v>
      </c>
      <c r="AJ481" s="3255">
        <v>44043</v>
      </c>
      <c r="AK481" s="3287">
        <f t="shared" si="97"/>
        <v>2020</v>
      </c>
      <c r="AL481" s="3288">
        <f t="shared" si="98"/>
        <v>7</v>
      </c>
      <c r="AM481" s="3226" t="s">
        <v>4881</v>
      </c>
      <c r="AN481" s="3289">
        <v>2940000</v>
      </c>
      <c r="AO481" s="3300"/>
      <c r="AP481" s="3300"/>
      <c r="AQ481" s="3300"/>
      <c r="AR481" s="3292"/>
      <c r="AS481" s="3292"/>
      <c r="AT481" s="3292"/>
      <c r="AU481" s="3293"/>
      <c r="AV481" s="3293"/>
      <c r="AW481" s="3294"/>
      <c r="AX481" s="3236"/>
      <c r="AY481" s="3244"/>
      <c r="AZ481" s="3325" t="s">
        <v>4429</v>
      </c>
      <c r="BA481" s="3296" t="str">
        <f t="shared" si="99"/>
        <v>签约</v>
      </c>
      <c r="BB481" s="3226"/>
      <c r="BC481" s="3226"/>
      <c r="BD481" s="3292"/>
      <c r="BE481" s="3297" t="s">
        <v>4449</v>
      </c>
      <c r="BG481" s="3297">
        <f>IFERROR(VLOOKUP(B481,[3]Sheet2!A$1:B$65536,2,FALSE),0)</f>
        <v>0</v>
      </c>
      <c r="BI481" s="3297">
        <f>IFERROR(VLOOKUP(B481,[3]Sheet2!A$1:C$65536,2,FALSE),0)</f>
        <v>0</v>
      </c>
      <c r="BJ481" s="3297">
        <f>IFERROR(VLOOKUP(B481,[3]Sheet2!A$1:C$65536,3,FALSE),0)</f>
        <v>0</v>
      </c>
    </row>
    <row r="482" spans="1:62" s="3261" customFormat="1" ht="20.25" customHeight="1">
      <c r="A482" s="3226">
        <v>480</v>
      </c>
      <c r="B482" s="3250" t="s">
        <v>4299</v>
      </c>
      <c r="C482" s="3227" t="s">
        <v>3009</v>
      </c>
      <c r="D482" s="3251" t="s">
        <v>4300</v>
      </c>
      <c r="E482" s="3229">
        <v>44030</v>
      </c>
      <c r="F482" s="3230">
        <v>500000</v>
      </c>
      <c r="G482" s="3231">
        <v>180.61</v>
      </c>
      <c r="H482" s="3231" t="str">
        <f t="shared" si="90"/>
        <v>非普通住宅</v>
      </c>
      <c r="I482" s="3230">
        <v>3748466</v>
      </c>
      <c r="J482" s="3229">
        <v>44038</v>
      </c>
      <c r="K482" s="3284">
        <f t="shared" si="91"/>
        <v>7</v>
      </c>
      <c r="L482" s="3230">
        <v>3728466</v>
      </c>
      <c r="M482" s="3235">
        <f t="shared" si="92"/>
        <v>20643.740656663529</v>
      </c>
      <c r="N482" s="3236">
        <v>628466</v>
      </c>
      <c r="O482" s="3244"/>
      <c r="P482" s="3244"/>
      <c r="Q482" s="3244"/>
      <c r="R482" s="3244">
        <f t="shared" si="93"/>
        <v>1128466</v>
      </c>
      <c r="S482" s="3244"/>
      <c r="T482" s="3236"/>
      <c r="U482" s="3236"/>
      <c r="V482" s="3236">
        <v>2600000</v>
      </c>
      <c r="W482" s="3236"/>
      <c r="X482" s="3244">
        <f t="shared" si="94"/>
        <v>3728466</v>
      </c>
      <c r="Y482" s="3244">
        <f t="shared" si="95"/>
        <v>0</v>
      </c>
      <c r="Z482" s="3285">
        <f t="shared" si="96"/>
        <v>1</v>
      </c>
      <c r="AA482" s="3226" t="s">
        <v>3319</v>
      </c>
      <c r="AB482" s="3226" t="s">
        <v>4587</v>
      </c>
      <c r="AC482" s="3226" t="s">
        <v>4698</v>
      </c>
      <c r="AD482" s="3286" t="s">
        <v>4539</v>
      </c>
      <c r="AE482" s="3286" t="s">
        <v>4427</v>
      </c>
      <c r="AF482" s="3286"/>
      <c r="AG482" s="3323"/>
      <c r="AH482" s="3255">
        <v>44038</v>
      </c>
      <c r="AI482" s="3255">
        <v>44042</v>
      </c>
      <c r="AJ482" s="3255">
        <v>44048</v>
      </c>
      <c r="AK482" s="3287">
        <f t="shared" si="97"/>
        <v>2020</v>
      </c>
      <c r="AL482" s="3288">
        <f t="shared" si="98"/>
        <v>8</v>
      </c>
      <c r="AM482" s="3226" t="s">
        <v>4701</v>
      </c>
      <c r="AN482" s="3289">
        <v>2600000</v>
      </c>
      <c r="AO482" s="3300"/>
      <c r="AP482" s="3300"/>
      <c r="AQ482" s="3300"/>
      <c r="AR482" s="3292"/>
      <c r="AS482" s="3292"/>
      <c r="AT482" s="3292"/>
      <c r="AU482" s="3293"/>
      <c r="AV482" s="3293"/>
      <c r="AW482" s="3294"/>
      <c r="AX482" s="3236"/>
      <c r="AY482" s="3244"/>
      <c r="AZ482" s="3325" t="s">
        <v>4895</v>
      </c>
      <c r="BA482" s="3296" t="str">
        <f t="shared" si="99"/>
        <v>签约</v>
      </c>
      <c r="BB482" s="3226"/>
      <c r="BC482" s="3226"/>
      <c r="BD482" s="3292"/>
      <c r="BE482" s="3297" t="s">
        <v>4465</v>
      </c>
      <c r="BG482" s="3297">
        <f>IFERROR(VLOOKUP(B482,[3]Sheet2!A$1:B$65536,2,FALSE),0)</f>
        <v>0</v>
      </c>
      <c r="BI482" s="3297">
        <f>IFERROR(VLOOKUP(B482,[3]Sheet2!A$1:C$65536,2,FALSE),0)</f>
        <v>0</v>
      </c>
      <c r="BJ482" s="3297">
        <f>IFERROR(VLOOKUP(B482,[3]Sheet2!A$1:C$65536,3,FALSE),0)</f>
        <v>0</v>
      </c>
    </row>
    <row r="483" spans="1:62" s="3261" customFormat="1" ht="20.25" customHeight="1">
      <c r="A483" s="3226">
        <v>481</v>
      </c>
      <c r="B483" s="3250" t="s">
        <v>4301</v>
      </c>
      <c r="C483" s="3227" t="s">
        <v>3009</v>
      </c>
      <c r="D483" s="3251" t="s">
        <v>4302</v>
      </c>
      <c r="E483" s="3229">
        <v>44030</v>
      </c>
      <c r="F483" s="3230">
        <v>60000</v>
      </c>
      <c r="G483" s="3231">
        <v>180.61</v>
      </c>
      <c r="H483" s="3231" t="str">
        <f t="shared" si="90"/>
        <v>非普通住宅</v>
      </c>
      <c r="I483" s="3230">
        <v>3782927</v>
      </c>
      <c r="J483" s="3229">
        <v>44037</v>
      </c>
      <c r="K483" s="3284">
        <f t="shared" si="91"/>
        <v>7</v>
      </c>
      <c r="L483" s="3230">
        <v>3762927</v>
      </c>
      <c r="M483" s="3235">
        <f t="shared" si="92"/>
        <v>20834.544045180221</v>
      </c>
      <c r="N483" s="3236">
        <f>1022927+2480000</f>
        <v>3502927</v>
      </c>
      <c r="O483" s="3244"/>
      <c r="P483" s="3244"/>
      <c r="Q483" s="3244"/>
      <c r="R483" s="3244">
        <f t="shared" si="93"/>
        <v>3562927</v>
      </c>
      <c r="S483" s="3244"/>
      <c r="T483" s="3236"/>
      <c r="U483" s="3236"/>
      <c r="V483" s="3236"/>
      <c r="W483" s="3236"/>
      <c r="X483" s="3244">
        <f t="shared" si="94"/>
        <v>3562927</v>
      </c>
      <c r="Y483" s="3244">
        <f t="shared" si="95"/>
        <v>200000</v>
      </c>
      <c r="Z483" s="3285">
        <f t="shared" si="96"/>
        <v>0.94684988574054185</v>
      </c>
      <c r="AA483" s="3226" t="s">
        <v>3319</v>
      </c>
      <c r="AB483" s="3226" t="s">
        <v>4587</v>
      </c>
      <c r="AC483" s="3226" t="s">
        <v>4698</v>
      </c>
      <c r="AD483" s="3286" t="s">
        <v>4773</v>
      </c>
      <c r="AE483" s="3286" t="s">
        <v>4774</v>
      </c>
      <c r="AF483" s="3286"/>
      <c r="AG483" s="3323"/>
      <c r="AH483" s="3255"/>
      <c r="AI483" s="3255"/>
      <c r="AJ483" s="3255"/>
      <c r="AK483" s="3287" t="str">
        <f t="shared" si="97"/>
        <v/>
      </c>
      <c r="AL483" s="3288" t="str">
        <f t="shared" si="98"/>
        <v/>
      </c>
      <c r="AM483" s="3226"/>
      <c r="AN483" s="3289"/>
      <c r="AO483" s="3300"/>
      <c r="AP483" s="3300"/>
      <c r="AQ483" s="3300"/>
      <c r="AR483" s="3292"/>
      <c r="AS483" s="3292"/>
      <c r="AT483" s="3292"/>
      <c r="AU483" s="3293"/>
      <c r="AV483" s="3293"/>
      <c r="AW483" s="3294"/>
      <c r="AX483" s="3236"/>
      <c r="AY483" s="3244"/>
      <c r="AZ483" s="3325" t="s">
        <v>3385</v>
      </c>
      <c r="BA483" s="3296" t="str">
        <f t="shared" si="99"/>
        <v>签约</v>
      </c>
      <c r="BB483" s="3226"/>
      <c r="BC483" s="3226"/>
      <c r="BD483" s="3292"/>
      <c r="BE483" s="3297" t="s">
        <v>4449</v>
      </c>
      <c r="BG483" s="3297">
        <f>IFERROR(VLOOKUP(B483,[3]Sheet2!A$1:B$65536,2,FALSE),0)</f>
        <v>0</v>
      </c>
      <c r="BI483" s="3297">
        <f>IFERROR(VLOOKUP(B483,[3]Sheet2!A$1:C$65536,2,FALSE),0)</f>
        <v>0</v>
      </c>
      <c r="BJ483" s="3297">
        <f>IFERROR(VLOOKUP(B483,[3]Sheet2!A$1:C$65536,3,FALSE),0)</f>
        <v>0</v>
      </c>
    </row>
    <row r="484" spans="1:62" s="3261" customFormat="1" ht="20.25" customHeight="1">
      <c r="A484" s="3226">
        <v>482</v>
      </c>
      <c r="B484" s="3250" t="s">
        <v>4303</v>
      </c>
      <c r="C484" s="3227" t="s">
        <v>3009</v>
      </c>
      <c r="D484" s="3251" t="s">
        <v>4304</v>
      </c>
      <c r="E484" s="3229">
        <v>44040</v>
      </c>
      <c r="F484" s="3230">
        <v>500000</v>
      </c>
      <c r="G484" s="3231">
        <v>180.61</v>
      </c>
      <c r="H484" s="3231" t="str">
        <f t="shared" si="90"/>
        <v>非普通住宅</v>
      </c>
      <c r="I484" s="3230">
        <v>3816300</v>
      </c>
      <c r="J484" s="3229">
        <v>44041</v>
      </c>
      <c r="K484" s="3284">
        <f t="shared" si="91"/>
        <v>7</v>
      </c>
      <c r="L484" s="3230">
        <v>3796300</v>
      </c>
      <c r="M484" s="3235">
        <f t="shared" si="92"/>
        <v>21019.323404019709</v>
      </c>
      <c r="N484" s="3236">
        <v>2450000</v>
      </c>
      <c r="O484" s="3244">
        <f>L484-P484-Q484</f>
        <v>3796300</v>
      </c>
      <c r="P484" s="3244"/>
      <c r="Q484" s="3244"/>
      <c r="R484" s="3244">
        <f t="shared" si="93"/>
        <v>2950000</v>
      </c>
      <c r="S484" s="3244">
        <f>R484-T484-U484</f>
        <v>2950000</v>
      </c>
      <c r="T484" s="3236"/>
      <c r="U484" s="3236"/>
      <c r="V484" s="3236"/>
      <c r="W484" s="3236"/>
      <c r="X484" s="3244">
        <f t="shared" si="94"/>
        <v>2950000</v>
      </c>
      <c r="Y484" s="3244">
        <f t="shared" si="95"/>
        <v>846300</v>
      </c>
      <c r="Z484" s="3285">
        <f t="shared" si="96"/>
        <v>0.77707241261228033</v>
      </c>
      <c r="AA484" s="3226" t="s">
        <v>3319</v>
      </c>
      <c r="AB484" s="3226" t="s">
        <v>4676</v>
      </c>
      <c r="AC484" s="3226"/>
      <c r="AD484" s="3286"/>
      <c r="AE484" s="3286"/>
      <c r="AF484" s="3286"/>
      <c r="AG484" s="3323"/>
      <c r="AH484" s="3255"/>
      <c r="AI484" s="3255"/>
      <c r="AJ484" s="3255"/>
      <c r="AK484" s="3287" t="str">
        <f t="shared" si="97"/>
        <v/>
      </c>
      <c r="AL484" s="3288" t="str">
        <f t="shared" si="98"/>
        <v/>
      </c>
      <c r="AM484" s="3226"/>
      <c r="AN484" s="3289"/>
      <c r="AO484" s="3300"/>
      <c r="AP484" s="3300"/>
      <c r="AQ484" s="3300"/>
      <c r="AR484" s="3292"/>
      <c r="AS484" s="3292"/>
      <c r="AT484" s="3292"/>
      <c r="AU484" s="3293"/>
      <c r="AV484" s="3293"/>
      <c r="AW484" s="3294"/>
      <c r="AX484" s="3236"/>
      <c r="AY484" s="3244"/>
      <c r="AZ484" s="3325" t="s">
        <v>4429</v>
      </c>
      <c r="BA484" s="3296" t="str">
        <f t="shared" si="99"/>
        <v>签约</v>
      </c>
      <c r="BB484" s="3226"/>
      <c r="BC484" s="3226"/>
      <c r="BD484" s="3292"/>
      <c r="BE484" s="3297" t="s">
        <v>4449</v>
      </c>
      <c r="BG484" s="3297"/>
      <c r="BI484" s="3297">
        <f>IFERROR(VLOOKUP(B484,[3]Sheet2!A$1:C$65536,2,FALSE),0)</f>
        <v>0</v>
      </c>
      <c r="BJ484" s="3297">
        <f>IFERROR(VLOOKUP(B484,[3]Sheet2!A$1:C$65536,3,FALSE),0)</f>
        <v>0</v>
      </c>
    </row>
    <row r="485" spans="1:62" s="3261" customFormat="1" ht="20.25" customHeight="1">
      <c r="A485" s="3226">
        <v>483</v>
      </c>
      <c r="B485" s="3250" t="s">
        <v>4305</v>
      </c>
      <c r="C485" s="3227" t="s">
        <v>3009</v>
      </c>
      <c r="D485" s="3251" t="s">
        <v>4306</v>
      </c>
      <c r="E485" s="3229">
        <v>44030</v>
      </c>
      <c r="F485" s="3230">
        <v>500000</v>
      </c>
      <c r="G485" s="3231">
        <v>180.54</v>
      </c>
      <c r="H485" s="3231" t="str">
        <f t="shared" si="90"/>
        <v>非普通住宅</v>
      </c>
      <c r="I485" s="3230">
        <v>3849372</v>
      </c>
      <c r="J485" s="3229">
        <v>44033</v>
      </c>
      <c r="K485" s="3284">
        <f t="shared" si="91"/>
        <v>7</v>
      </c>
      <c r="L485" s="3230">
        <v>3829372</v>
      </c>
      <c r="M485" s="3235">
        <f t="shared" si="92"/>
        <v>21210.656918134486</v>
      </c>
      <c r="N485" s="3236">
        <v>2479372</v>
      </c>
      <c r="O485" s="3244"/>
      <c r="P485" s="3244"/>
      <c r="Q485" s="3244"/>
      <c r="R485" s="3244">
        <f t="shared" si="93"/>
        <v>2979372</v>
      </c>
      <c r="S485" s="3244"/>
      <c r="T485" s="3236"/>
      <c r="U485" s="3236"/>
      <c r="V485" s="3236">
        <v>850000</v>
      </c>
      <c r="W485" s="3236"/>
      <c r="X485" s="3244">
        <f t="shared" si="94"/>
        <v>3829372</v>
      </c>
      <c r="Y485" s="3244">
        <f t="shared" si="95"/>
        <v>0</v>
      </c>
      <c r="Z485" s="3285">
        <f t="shared" si="96"/>
        <v>1</v>
      </c>
      <c r="AA485" s="3226" t="s">
        <v>3319</v>
      </c>
      <c r="AB485" s="3226" t="s">
        <v>4587</v>
      </c>
      <c r="AC485" s="3226" t="s">
        <v>4698</v>
      </c>
      <c r="AD485" s="3286" t="s">
        <v>4539</v>
      </c>
      <c r="AE485" s="3286" t="s">
        <v>4427</v>
      </c>
      <c r="AF485" s="3286"/>
      <c r="AG485" s="3323"/>
      <c r="AH485" s="3255">
        <v>44027</v>
      </c>
      <c r="AI485" s="3255">
        <v>44037</v>
      </c>
      <c r="AJ485" s="3255">
        <v>44047</v>
      </c>
      <c r="AK485" s="3287">
        <f t="shared" si="97"/>
        <v>2020</v>
      </c>
      <c r="AL485" s="3288">
        <f t="shared" si="98"/>
        <v>8</v>
      </c>
      <c r="AM485" s="3226" t="s">
        <v>4701</v>
      </c>
      <c r="AN485" s="3289">
        <v>850000</v>
      </c>
      <c r="AO485" s="3300"/>
      <c r="AP485" s="3300"/>
      <c r="AQ485" s="3300"/>
      <c r="AR485" s="3292"/>
      <c r="AS485" s="3292"/>
      <c r="AT485" s="3292"/>
      <c r="AU485" s="3293"/>
      <c r="AV485" s="3293"/>
      <c r="AW485" s="3294"/>
      <c r="AX485" s="3236"/>
      <c r="AY485" s="3244"/>
      <c r="AZ485" s="3325" t="s">
        <v>4892</v>
      </c>
      <c r="BA485" s="3296" t="str">
        <f t="shared" si="99"/>
        <v>签约</v>
      </c>
      <c r="BB485" s="3226"/>
      <c r="BC485" s="3226"/>
      <c r="BD485" s="3292"/>
      <c r="BE485" s="3297" t="s">
        <v>4465</v>
      </c>
      <c r="BG485" s="3297">
        <f>IFERROR(VLOOKUP(B485,[3]Sheet2!A$1:B$65536,2,FALSE),0)</f>
        <v>0</v>
      </c>
      <c r="BI485" s="3297">
        <f>IFERROR(VLOOKUP(B485,[3]Sheet2!A$1:C$65536,2,FALSE),0)</f>
        <v>0</v>
      </c>
      <c r="BJ485" s="3297">
        <f>IFERROR(VLOOKUP(B485,[3]Sheet2!A$1:C$65536,3,FALSE),0)</f>
        <v>0</v>
      </c>
    </row>
    <row r="486" spans="1:62" s="3261" customFormat="1" ht="20.25" customHeight="1">
      <c r="A486" s="3226">
        <v>484</v>
      </c>
      <c r="B486" s="3250" t="s">
        <v>4911</v>
      </c>
      <c r="C486" s="3227" t="s">
        <v>3009</v>
      </c>
      <c r="D486" s="3251"/>
      <c r="E486" s="3229"/>
      <c r="F486" s="3230"/>
      <c r="G486" s="3231">
        <v>203.44</v>
      </c>
      <c r="H486" s="3231" t="str">
        <f t="shared" si="90"/>
        <v>非普通住宅</v>
      </c>
      <c r="I486" s="3230">
        <v>4208901</v>
      </c>
      <c r="J486" s="3229"/>
      <c r="K486" s="3284" t="str">
        <f t="shared" si="91"/>
        <v/>
      </c>
      <c r="L486" s="3230"/>
      <c r="M486" s="3235">
        <f t="shared" si="92"/>
        <v>0</v>
      </c>
      <c r="N486" s="3236"/>
      <c r="O486" s="3244"/>
      <c r="P486" s="3244"/>
      <c r="Q486" s="3244"/>
      <c r="R486" s="3244">
        <f t="shared" si="93"/>
        <v>0</v>
      </c>
      <c r="S486" s="3244"/>
      <c r="T486" s="3236"/>
      <c r="U486" s="3236"/>
      <c r="V486" s="3236"/>
      <c r="W486" s="3236"/>
      <c r="X486" s="3244">
        <f t="shared" si="94"/>
        <v>0</v>
      </c>
      <c r="Y486" s="3244">
        <f t="shared" si="95"/>
        <v>0</v>
      </c>
      <c r="Z486" s="3285" t="e">
        <f t="shared" si="96"/>
        <v>#DIV/0!</v>
      </c>
      <c r="AA486" s="3226"/>
      <c r="AB486" s="3226"/>
      <c r="AC486" s="3226"/>
      <c r="AD486" s="3286"/>
      <c r="AE486" s="3286"/>
      <c r="AF486" s="3286"/>
      <c r="AG486" s="3323"/>
      <c r="AH486" s="3255"/>
      <c r="AI486" s="3255"/>
      <c r="AJ486" s="3255"/>
      <c r="AK486" s="3287" t="str">
        <f t="shared" si="97"/>
        <v/>
      </c>
      <c r="AL486" s="3288" t="str">
        <f t="shared" si="98"/>
        <v/>
      </c>
      <c r="AM486" s="3226"/>
      <c r="AN486" s="3289"/>
      <c r="AO486" s="3300"/>
      <c r="AP486" s="3300"/>
      <c r="AQ486" s="3300"/>
      <c r="AR486" s="3292"/>
      <c r="AS486" s="3292"/>
      <c r="AT486" s="3292"/>
      <c r="AU486" s="3293"/>
      <c r="AV486" s="3293"/>
      <c r="AW486" s="3294"/>
      <c r="AX486" s="3236"/>
      <c r="AY486" s="3244"/>
      <c r="AZ486" s="3325"/>
      <c r="BA486" s="3296" t="str">
        <f t="shared" si="99"/>
        <v>未售</v>
      </c>
      <c r="BB486" s="3226"/>
      <c r="BC486" s="3226"/>
      <c r="BD486" s="3292"/>
      <c r="BE486" s="3297"/>
      <c r="BG486" s="3297">
        <f>IFERROR(VLOOKUP(B486,[3]Sheet2!A$1:B$65536,2,FALSE),0)</f>
        <v>0</v>
      </c>
      <c r="BI486" s="3297">
        <f>IFERROR(VLOOKUP(B486,[3]Sheet2!A$1:C$65536,2,FALSE),0)</f>
        <v>0</v>
      </c>
      <c r="BJ486" s="3297">
        <f>IFERROR(VLOOKUP(B486,[3]Sheet2!A$1:C$65536,3,FALSE),0)</f>
        <v>0</v>
      </c>
    </row>
    <row r="487" spans="1:62" s="3261" customFormat="1" ht="20.25" customHeight="1">
      <c r="A487" s="3226">
        <v>485</v>
      </c>
      <c r="B487" s="3250" t="s">
        <v>4912</v>
      </c>
      <c r="C487" s="3227" t="s">
        <v>3009</v>
      </c>
      <c r="D487" s="3251"/>
      <c r="E487" s="3229"/>
      <c r="F487" s="3230"/>
      <c r="G487" s="3231">
        <v>241.8</v>
      </c>
      <c r="H487" s="3231" t="str">
        <f t="shared" si="90"/>
        <v>非普通住宅</v>
      </c>
      <c r="I487" s="3230">
        <v>9646195</v>
      </c>
      <c r="J487" s="3229"/>
      <c r="K487" s="3284" t="str">
        <f t="shared" si="91"/>
        <v/>
      </c>
      <c r="L487" s="3230"/>
      <c r="M487" s="3235">
        <f t="shared" si="92"/>
        <v>0</v>
      </c>
      <c r="N487" s="3236"/>
      <c r="O487" s="3244"/>
      <c r="P487" s="3244"/>
      <c r="Q487" s="3244"/>
      <c r="R487" s="3244">
        <f t="shared" si="93"/>
        <v>0</v>
      </c>
      <c r="S487" s="3244"/>
      <c r="T487" s="3236"/>
      <c r="U487" s="3236"/>
      <c r="V487" s="3236"/>
      <c r="W487" s="3236"/>
      <c r="X487" s="3244">
        <f t="shared" si="94"/>
        <v>0</v>
      </c>
      <c r="Y487" s="3244">
        <f t="shared" si="95"/>
        <v>0</v>
      </c>
      <c r="Z487" s="3285" t="e">
        <f t="shared" si="96"/>
        <v>#DIV/0!</v>
      </c>
      <c r="AA487" s="3226"/>
      <c r="AB487" s="3226"/>
      <c r="AC487" s="3226"/>
      <c r="AD487" s="3286"/>
      <c r="AE487" s="3286"/>
      <c r="AF487" s="3286"/>
      <c r="AG487" s="3323"/>
      <c r="AH487" s="3255"/>
      <c r="AI487" s="3255"/>
      <c r="AJ487" s="3255"/>
      <c r="AK487" s="3287" t="str">
        <f t="shared" si="97"/>
        <v/>
      </c>
      <c r="AL487" s="3288" t="str">
        <f t="shared" si="98"/>
        <v/>
      </c>
      <c r="AM487" s="3226"/>
      <c r="AN487" s="3289"/>
      <c r="AO487" s="3300"/>
      <c r="AP487" s="3300"/>
      <c r="AQ487" s="3300"/>
      <c r="AR487" s="3292"/>
      <c r="AS487" s="3292"/>
      <c r="AT487" s="3292"/>
      <c r="AU487" s="3293"/>
      <c r="AV487" s="3293"/>
      <c r="AW487" s="3294"/>
      <c r="AX487" s="3236"/>
      <c r="AY487" s="3244"/>
      <c r="AZ487" s="3325"/>
      <c r="BA487" s="3296" t="str">
        <f t="shared" si="99"/>
        <v>未售</v>
      </c>
      <c r="BB487" s="3226"/>
      <c r="BC487" s="3226"/>
      <c r="BD487" s="3292"/>
      <c r="BE487" s="3297"/>
      <c r="BG487" s="3297">
        <f>IFERROR(VLOOKUP(B487,[3]Sheet2!A$1:B$65536,2,FALSE),0)</f>
        <v>0</v>
      </c>
      <c r="BI487" s="3297">
        <f>IFERROR(VLOOKUP(B487,[3]Sheet2!A$1:C$65536,2,FALSE),0)</f>
        <v>0</v>
      </c>
      <c r="BJ487" s="3297">
        <f>IFERROR(VLOOKUP(B487,[3]Sheet2!A$1:C$65536,3,FALSE),0)</f>
        <v>0</v>
      </c>
    </row>
    <row r="488" spans="1:62" s="3261" customFormat="1" ht="20.25" customHeight="1">
      <c r="A488" s="3226">
        <v>486</v>
      </c>
      <c r="B488" s="3250" t="s">
        <v>4913</v>
      </c>
      <c r="C488" s="3227" t="s">
        <v>3009</v>
      </c>
      <c r="D488" s="3251" t="s">
        <v>4914</v>
      </c>
      <c r="E488" s="3229">
        <v>44031</v>
      </c>
      <c r="F488" s="3230">
        <v>50000</v>
      </c>
      <c r="G488" s="3231">
        <v>233.56</v>
      </c>
      <c r="H488" s="3231" t="str">
        <f t="shared" si="90"/>
        <v>非普通住宅</v>
      </c>
      <c r="I488" s="3230">
        <v>5408816</v>
      </c>
      <c r="J488" s="3229"/>
      <c r="K488" s="3284" t="str">
        <f t="shared" si="91"/>
        <v/>
      </c>
      <c r="L488" s="3230"/>
      <c r="M488" s="3235">
        <f t="shared" si="92"/>
        <v>0</v>
      </c>
      <c r="N488" s="3236">
        <v>550000</v>
      </c>
      <c r="O488" s="3244"/>
      <c r="P488" s="3244"/>
      <c r="Q488" s="3244"/>
      <c r="R488" s="3244">
        <f t="shared" si="93"/>
        <v>600000</v>
      </c>
      <c r="S488" s="3244"/>
      <c r="T488" s="3236"/>
      <c r="U488" s="3236"/>
      <c r="V488" s="3236"/>
      <c r="W488" s="3236"/>
      <c r="X488" s="3244">
        <f t="shared" si="94"/>
        <v>600000</v>
      </c>
      <c r="Y488" s="3244">
        <f t="shared" si="95"/>
        <v>-600000</v>
      </c>
      <c r="Z488" s="3285" t="e">
        <f t="shared" si="96"/>
        <v>#DIV/0!</v>
      </c>
      <c r="AA488" s="3226" t="s">
        <v>3318</v>
      </c>
      <c r="AB488" s="3226"/>
      <c r="AC488" s="3226"/>
      <c r="AD488" s="3286"/>
      <c r="AE488" s="3286"/>
      <c r="AF488" s="3286"/>
      <c r="AG488" s="3323"/>
      <c r="AH488" s="3255"/>
      <c r="AI488" s="3255"/>
      <c r="AJ488" s="3255"/>
      <c r="AK488" s="3287" t="str">
        <f t="shared" si="97"/>
        <v/>
      </c>
      <c r="AL488" s="3288" t="str">
        <f t="shared" si="98"/>
        <v/>
      </c>
      <c r="AM488" s="3226"/>
      <c r="AN488" s="3289"/>
      <c r="AO488" s="3300"/>
      <c r="AP488" s="3300"/>
      <c r="AQ488" s="3300"/>
      <c r="AR488" s="3292"/>
      <c r="AS488" s="3292"/>
      <c r="AT488" s="3292"/>
      <c r="AU488" s="3293"/>
      <c r="AV488" s="3293"/>
      <c r="AW488" s="3294"/>
      <c r="AX488" s="3236"/>
      <c r="AY488" s="3244"/>
      <c r="AZ488" s="3325"/>
      <c r="BA488" s="3296" t="str">
        <f t="shared" si="99"/>
        <v>认购</v>
      </c>
      <c r="BB488" s="3226"/>
      <c r="BC488" s="3226"/>
      <c r="BD488" s="3292"/>
      <c r="BE488" s="3297"/>
      <c r="BG488" s="3297">
        <f>IFERROR(VLOOKUP(B488,[3]Sheet2!A$1:B$65536,2,FALSE),0)</f>
        <v>0</v>
      </c>
      <c r="BI488" s="3297">
        <f>IFERROR(VLOOKUP(B488,[3]Sheet2!A$1:C$65536,2,FALSE),0)</f>
        <v>0</v>
      </c>
      <c r="BJ488" s="3297">
        <f>IFERROR(VLOOKUP(B488,[3]Sheet2!A$1:C$65536,3,FALSE),0)</f>
        <v>0</v>
      </c>
    </row>
    <row r="489" spans="1:62" s="3261" customFormat="1" ht="20.25" customHeight="1">
      <c r="A489" s="3226">
        <v>487</v>
      </c>
      <c r="B489" s="3250" t="s">
        <v>4307</v>
      </c>
      <c r="C489" s="3227" t="s">
        <v>3009</v>
      </c>
      <c r="D489" s="3251" t="s">
        <v>4308</v>
      </c>
      <c r="E489" s="3229">
        <v>44032</v>
      </c>
      <c r="F489" s="3230">
        <v>200000</v>
      </c>
      <c r="G489" s="3231">
        <v>183.65</v>
      </c>
      <c r="H489" s="3231" t="str">
        <f t="shared" si="90"/>
        <v>非普通住宅</v>
      </c>
      <c r="I489" s="3230">
        <v>4566702</v>
      </c>
      <c r="J489" s="3229">
        <v>44042</v>
      </c>
      <c r="K489" s="3284">
        <f t="shared" si="91"/>
        <v>7</v>
      </c>
      <c r="L489" s="3230">
        <v>4526702</v>
      </c>
      <c r="M489" s="3235">
        <f t="shared" si="92"/>
        <v>24648.527089572555</v>
      </c>
      <c r="N489" s="3236">
        <v>1166702</v>
      </c>
      <c r="O489" s="3244"/>
      <c r="P489" s="3244"/>
      <c r="Q489" s="3244"/>
      <c r="R489" s="3244">
        <f t="shared" si="93"/>
        <v>1366702</v>
      </c>
      <c r="S489" s="3244"/>
      <c r="T489" s="3236"/>
      <c r="U489" s="3236"/>
      <c r="V489" s="3236"/>
      <c r="W489" s="3236"/>
      <c r="X489" s="3244">
        <f t="shared" si="94"/>
        <v>1366702</v>
      </c>
      <c r="Y489" s="3244">
        <f t="shared" si="95"/>
        <v>3160000</v>
      </c>
      <c r="Z489" s="3285">
        <f t="shared" si="96"/>
        <v>0.30192002919564842</v>
      </c>
      <c r="AA489" s="3226" t="s">
        <v>3319</v>
      </c>
      <c r="AB489" s="3226" t="s">
        <v>4587</v>
      </c>
      <c r="AC489" s="3226" t="s">
        <v>4698</v>
      </c>
      <c r="AD489" s="3286" t="s">
        <v>4773</v>
      </c>
      <c r="AE489" s="3286" t="s">
        <v>4774</v>
      </c>
      <c r="AF489" s="3286"/>
      <c r="AG489" s="3323"/>
      <c r="AH489" s="3255"/>
      <c r="AI489" s="3255"/>
      <c r="AJ489" s="3255"/>
      <c r="AK489" s="3287" t="str">
        <f t="shared" si="97"/>
        <v/>
      </c>
      <c r="AL489" s="3288" t="str">
        <f t="shared" si="98"/>
        <v/>
      </c>
      <c r="AM489" s="3226"/>
      <c r="AN489" s="3289"/>
      <c r="AO489" s="3300"/>
      <c r="AP489" s="3300"/>
      <c r="AQ489" s="3300"/>
      <c r="AR489" s="3292"/>
      <c r="AS489" s="3292"/>
      <c r="AT489" s="3292"/>
      <c r="AU489" s="3293"/>
      <c r="AV489" s="3293"/>
      <c r="AW489" s="3294"/>
      <c r="AX489" s="3236"/>
      <c r="AY489" s="3244"/>
      <c r="AZ489" s="3325" t="s">
        <v>4883</v>
      </c>
      <c r="BA489" s="3296" t="str">
        <f t="shared" si="99"/>
        <v>签约</v>
      </c>
      <c r="BB489" s="3226"/>
      <c r="BC489" s="3226"/>
      <c r="BD489" s="3292"/>
      <c r="BE489" s="3297" t="s">
        <v>4696</v>
      </c>
      <c r="BG489" s="3297">
        <f>IFERROR(VLOOKUP(B489,[3]Sheet2!A$1:B$65536,2,FALSE),0)</f>
        <v>0</v>
      </c>
      <c r="BI489" s="3297">
        <f>IFERROR(VLOOKUP(B489,[3]Sheet2!A$1:C$65536,2,FALSE),0)</f>
        <v>0</v>
      </c>
      <c r="BJ489" s="3297">
        <f>IFERROR(VLOOKUP(B489,[3]Sheet2!A$1:C$65536,3,FALSE),0)</f>
        <v>0</v>
      </c>
    </row>
    <row r="490" spans="1:62" s="3261" customFormat="1" ht="20.25" customHeight="1">
      <c r="A490" s="3226">
        <v>488</v>
      </c>
      <c r="B490" s="3250" t="s">
        <v>4309</v>
      </c>
      <c r="C490" s="3227" t="s">
        <v>3009</v>
      </c>
      <c r="D490" s="3251" t="s">
        <v>4310</v>
      </c>
      <c r="E490" s="3229">
        <v>44030</v>
      </c>
      <c r="F490" s="3230">
        <v>500000</v>
      </c>
      <c r="G490" s="3231">
        <v>183.65</v>
      </c>
      <c r="H490" s="3231" t="str">
        <f t="shared" si="90"/>
        <v>非普通住宅</v>
      </c>
      <c r="I490" s="3230">
        <v>4620997</v>
      </c>
      <c r="J490" s="3229">
        <v>44034</v>
      </c>
      <c r="K490" s="3284">
        <f t="shared" si="91"/>
        <v>7</v>
      </c>
      <c r="L490" s="3230">
        <v>4600997</v>
      </c>
      <c r="M490" s="3235">
        <f t="shared" si="92"/>
        <v>25053.073781649877</v>
      </c>
      <c r="N490" s="3236">
        <v>4100997</v>
      </c>
      <c r="O490" s="3244"/>
      <c r="P490" s="3244"/>
      <c r="Q490" s="3244"/>
      <c r="R490" s="3244">
        <f t="shared" si="93"/>
        <v>4600997</v>
      </c>
      <c r="S490" s="3244"/>
      <c r="T490" s="3236"/>
      <c r="U490" s="3236"/>
      <c r="V490" s="3236"/>
      <c r="W490" s="3236"/>
      <c r="X490" s="3244">
        <f t="shared" si="94"/>
        <v>4600997</v>
      </c>
      <c r="Y490" s="3244">
        <f t="shared" si="95"/>
        <v>0</v>
      </c>
      <c r="Z490" s="3285">
        <f t="shared" si="96"/>
        <v>1</v>
      </c>
      <c r="AA490" s="3226" t="s">
        <v>3319</v>
      </c>
      <c r="AB490" s="3226" t="s">
        <v>4676</v>
      </c>
      <c r="AC490" s="3226"/>
      <c r="AD490" s="3286"/>
      <c r="AE490" s="3286"/>
      <c r="AF490" s="3286"/>
      <c r="AG490" s="3323"/>
      <c r="AH490" s="3255"/>
      <c r="AI490" s="3255"/>
      <c r="AJ490" s="3255"/>
      <c r="AK490" s="3287" t="str">
        <f t="shared" si="97"/>
        <v/>
      </c>
      <c r="AL490" s="3288" t="str">
        <f t="shared" si="98"/>
        <v/>
      </c>
      <c r="AM490" s="3226"/>
      <c r="AN490" s="3289"/>
      <c r="AO490" s="3300"/>
      <c r="AP490" s="3300"/>
      <c r="AQ490" s="3300"/>
      <c r="AR490" s="3292"/>
      <c r="AS490" s="3292"/>
      <c r="AT490" s="3292"/>
      <c r="AU490" s="3293"/>
      <c r="AV490" s="3293"/>
      <c r="AW490" s="3294"/>
      <c r="AX490" s="3236"/>
      <c r="AY490" s="3244"/>
      <c r="AZ490" s="3325" t="s">
        <v>4507</v>
      </c>
      <c r="BA490" s="3296" t="str">
        <f t="shared" si="99"/>
        <v>签约</v>
      </c>
      <c r="BB490" s="3226"/>
      <c r="BC490" s="3226"/>
      <c r="BD490" s="3292"/>
      <c r="BE490" s="3297" t="s">
        <v>4465</v>
      </c>
      <c r="BG490" s="3297">
        <f>IFERROR(VLOOKUP(B490,[3]Sheet2!A$1:B$65536,2,FALSE),0)</f>
        <v>0</v>
      </c>
      <c r="BI490" s="3297">
        <f>IFERROR(VLOOKUP(B490,[3]Sheet2!A$1:C$65536,2,FALSE),0)</f>
        <v>0</v>
      </c>
      <c r="BJ490" s="3297">
        <f>IFERROR(VLOOKUP(B490,[3]Sheet2!A$1:C$65536,3,FALSE),0)</f>
        <v>0</v>
      </c>
    </row>
    <row r="491" spans="1:62" s="3261" customFormat="1" ht="20.25" customHeight="1">
      <c r="A491" s="3226">
        <v>489</v>
      </c>
      <c r="B491" s="3250" t="s">
        <v>4311</v>
      </c>
      <c r="C491" s="3227" t="s">
        <v>3009</v>
      </c>
      <c r="D491" s="3251" t="s">
        <v>4312</v>
      </c>
      <c r="E491" s="3229">
        <v>44030</v>
      </c>
      <c r="F491" s="3230">
        <v>500000</v>
      </c>
      <c r="G491" s="3231">
        <v>214.82</v>
      </c>
      <c r="H491" s="3231" t="str">
        <f t="shared" si="90"/>
        <v>非普通住宅</v>
      </c>
      <c r="I491" s="3230">
        <v>5844546</v>
      </c>
      <c r="J491" s="3229">
        <v>44035</v>
      </c>
      <c r="K491" s="3284">
        <f t="shared" si="91"/>
        <v>7</v>
      </c>
      <c r="L491" s="3230">
        <v>5824546</v>
      </c>
      <c r="M491" s="3235">
        <f t="shared" si="92"/>
        <v>27113.611395587002</v>
      </c>
      <c r="N491" s="3236">
        <f>1224546+30000+4070000</f>
        <v>5324546</v>
      </c>
      <c r="O491" s="3244"/>
      <c r="P491" s="3244"/>
      <c r="Q491" s="3244"/>
      <c r="R491" s="3244">
        <f t="shared" si="93"/>
        <v>5824546</v>
      </c>
      <c r="S491" s="3244"/>
      <c r="T491" s="3236"/>
      <c r="U491" s="3236"/>
      <c r="V491" s="3236"/>
      <c r="W491" s="3236"/>
      <c r="X491" s="3244">
        <f t="shared" si="94"/>
        <v>5824546</v>
      </c>
      <c r="Y491" s="3244">
        <f t="shared" si="95"/>
        <v>0</v>
      </c>
      <c r="Z491" s="3285">
        <f t="shared" si="96"/>
        <v>1</v>
      </c>
      <c r="AA491" s="3226" t="s">
        <v>3319</v>
      </c>
      <c r="AB491" s="3226" t="s">
        <v>4676</v>
      </c>
      <c r="AC491" s="3226"/>
      <c r="AD491" s="3286"/>
      <c r="AE491" s="3286"/>
      <c r="AF491" s="3286"/>
      <c r="AG491" s="3323"/>
      <c r="AH491" s="3255"/>
      <c r="AI491" s="3255"/>
      <c r="AJ491" s="3255"/>
      <c r="AK491" s="3287" t="str">
        <f t="shared" si="97"/>
        <v/>
      </c>
      <c r="AL491" s="3288" t="str">
        <f t="shared" si="98"/>
        <v/>
      </c>
      <c r="AM491" s="3226"/>
      <c r="AN491" s="3289"/>
      <c r="AO491" s="3300"/>
      <c r="AP491" s="3300"/>
      <c r="AQ491" s="3300"/>
      <c r="AR491" s="3292"/>
      <c r="AS491" s="3292"/>
      <c r="AT491" s="3292"/>
      <c r="AU491" s="3293"/>
      <c r="AV491" s="3293"/>
      <c r="AW491" s="3294"/>
      <c r="AX491" s="3236"/>
      <c r="AY491" s="3244"/>
      <c r="AZ491" s="3325" t="s">
        <v>4895</v>
      </c>
      <c r="BA491" s="3296" t="str">
        <f t="shared" si="99"/>
        <v>签约</v>
      </c>
      <c r="BB491" s="3226"/>
      <c r="BC491" s="3226"/>
      <c r="BD491" s="3292"/>
      <c r="BE491" s="3297" t="s">
        <v>4465</v>
      </c>
      <c r="BG491" s="3297">
        <f>IFERROR(VLOOKUP(B491,[3]Sheet2!A$1:B$65536,2,FALSE),0)</f>
        <v>0</v>
      </c>
      <c r="BI491" s="3297">
        <f>IFERROR(VLOOKUP(B491,[3]Sheet2!A$1:C$65536,2,FALSE),0)</f>
        <v>0</v>
      </c>
      <c r="BJ491" s="3297">
        <f>IFERROR(VLOOKUP(B491,[3]Sheet2!A$1:C$65536,3,FALSE),0)</f>
        <v>0</v>
      </c>
    </row>
    <row r="492" spans="1:62" s="3261" customFormat="1" ht="20.25" customHeight="1">
      <c r="A492" s="3226">
        <v>490</v>
      </c>
      <c r="B492" s="3250" t="s">
        <v>4313</v>
      </c>
      <c r="C492" s="3227" t="s">
        <v>3009</v>
      </c>
      <c r="D492" s="3251" t="s">
        <v>4314</v>
      </c>
      <c r="E492" s="3229">
        <v>44030</v>
      </c>
      <c r="F492" s="3230">
        <v>500000</v>
      </c>
      <c r="G492" s="3231">
        <v>203.19</v>
      </c>
      <c r="H492" s="3231" t="str">
        <f t="shared" si="90"/>
        <v>非普通住宅</v>
      </c>
      <c r="I492" s="3230">
        <v>4001963</v>
      </c>
      <c r="J492" s="3229">
        <v>44034</v>
      </c>
      <c r="K492" s="3284">
        <f t="shared" si="91"/>
        <v>7</v>
      </c>
      <c r="L492" s="3230">
        <v>3981963</v>
      </c>
      <c r="M492" s="3235">
        <f t="shared" si="92"/>
        <v>19597.2390373542</v>
      </c>
      <c r="N492" s="3236">
        <v>701963</v>
      </c>
      <c r="O492" s="3244"/>
      <c r="P492" s="3244"/>
      <c r="Q492" s="3244"/>
      <c r="R492" s="3244">
        <f t="shared" si="93"/>
        <v>1201963</v>
      </c>
      <c r="S492" s="3244"/>
      <c r="T492" s="3236"/>
      <c r="U492" s="3236"/>
      <c r="V492" s="3236">
        <v>2780000</v>
      </c>
      <c r="W492" s="3236"/>
      <c r="X492" s="3244">
        <f t="shared" si="94"/>
        <v>3981963</v>
      </c>
      <c r="Y492" s="3244">
        <f t="shared" si="95"/>
        <v>0</v>
      </c>
      <c r="Z492" s="3285">
        <f t="shared" si="96"/>
        <v>1</v>
      </c>
      <c r="AA492" s="3226" t="s">
        <v>3319</v>
      </c>
      <c r="AB492" s="3226" t="s">
        <v>4587</v>
      </c>
      <c r="AC492" s="3226" t="s">
        <v>4698</v>
      </c>
      <c r="AD492" s="3286" t="s">
        <v>4539</v>
      </c>
      <c r="AE492" s="3286" t="s">
        <v>4427</v>
      </c>
      <c r="AF492" s="3286"/>
      <c r="AG492" s="3323"/>
      <c r="AH492" s="3255">
        <v>44036</v>
      </c>
      <c r="AI492" s="3255">
        <v>44037</v>
      </c>
      <c r="AJ492" s="3255">
        <v>44043</v>
      </c>
      <c r="AK492" s="3287">
        <f t="shared" si="97"/>
        <v>2020</v>
      </c>
      <c r="AL492" s="3288">
        <f t="shared" si="98"/>
        <v>7</v>
      </c>
      <c r="AM492" s="3226" t="s">
        <v>4777</v>
      </c>
      <c r="AN492" s="3289">
        <v>2780000</v>
      </c>
      <c r="AO492" s="3300"/>
      <c r="AP492" s="3300"/>
      <c r="AQ492" s="3300"/>
      <c r="AR492" s="3292"/>
      <c r="AS492" s="3292"/>
      <c r="AT492" s="3292"/>
      <c r="AU492" s="3293"/>
      <c r="AV492" s="3293"/>
      <c r="AW492" s="3294"/>
      <c r="AX492" s="3236"/>
      <c r="AY492" s="3244"/>
      <c r="AZ492" s="3325" t="s">
        <v>4445</v>
      </c>
      <c r="BA492" s="3296" t="str">
        <f t="shared" si="99"/>
        <v>签约</v>
      </c>
      <c r="BB492" s="3226"/>
      <c r="BC492" s="3226"/>
      <c r="BD492" s="3292"/>
      <c r="BE492" s="3297" t="s">
        <v>4465</v>
      </c>
      <c r="BG492" s="3297">
        <f>IFERROR(VLOOKUP(B492,[3]Sheet2!A$1:B$65536,2,FALSE),0)</f>
        <v>0</v>
      </c>
      <c r="BI492" s="3297">
        <f>IFERROR(VLOOKUP(B492,[3]Sheet2!A$1:C$65536,2,FALSE),0)</f>
        <v>0</v>
      </c>
      <c r="BJ492" s="3297">
        <f>IFERROR(VLOOKUP(B492,[3]Sheet2!A$1:C$65536,3,FALSE),0)</f>
        <v>0</v>
      </c>
    </row>
    <row r="493" spans="1:62" s="3261" customFormat="1" ht="20.25" customHeight="1">
      <c r="A493" s="3226">
        <v>491</v>
      </c>
      <c r="B493" s="3250" t="s">
        <v>4915</v>
      </c>
      <c r="C493" s="3227" t="s">
        <v>3009</v>
      </c>
      <c r="D493" s="3251"/>
      <c r="E493" s="3229"/>
      <c r="F493" s="3230"/>
      <c r="G493" s="3231">
        <v>177.77</v>
      </c>
      <c r="H493" s="3231" t="str">
        <f t="shared" si="90"/>
        <v>非普通住宅</v>
      </c>
      <c r="I493" s="3230">
        <v>3657203</v>
      </c>
      <c r="J493" s="3229"/>
      <c r="K493" s="3284" t="str">
        <f t="shared" si="91"/>
        <v/>
      </c>
      <c r="L493" s="3230"/>
      <c r="M493" s="3235">
        <f t="shared" si="92"/>
        <v>0</v>
      </c>
      <c r="N493" s="3236"/>
      <c r="O493" s="3244"/>
      <c r="P493" s="3244"/>
      <c r="Q493" s="3244"/>
      <c r="R493" s="3244">
        <f t="shared" si="93"/>
        <v>0</v>
      </c>
      <c r="S493" s="3244"/>
      <c r="T493" s="3236"/>
      <c r="U493" s="3236"/>
      <c r="V493" s="3236"/>
      <c r="W493" s="3236"/>
      <c r="X493" s="3244">
        <f t="shared" si="94"/>
        <v>0</v>
      </c>
      <c r="Y493" s="3244">
        <f t="shared" si="95"/>
        <v>0</v>
      </c>
      <c r="Z493" s="3285" t="e">
        <f t="shared" si="96"/>
        <v>#DIV/0!</v>
      </c>
      <c r="AA493" s="3226"/>
      <c r="AB493" s="3226"/>
      <c r="AC493" s="3226"/>
      <c r="AD493" s="3286"/>
      <c r="AE493" s="3286"/>
      <c r="AF493" s="3286"/>
      <c r="AG493" s="3323"/>
      <c r="AH493" s="3255"/>
      <c r="AI493" s="3255"/>
      <c r="AJ493" s="3255"/>
      <c r="AK493" s="3287" t="str">
        <f t="shared" si="97"/>
        <v/>
      </c>
      <c r="AL493" s="3288" t="str">
        <f t="shared" si="98"/>
        <v/>
      </c>
      <c r="AM493" s="3226"/>
      <c r="AN493" s="3289"/>
      <c r="AO493" s="3300"/>
      <c r="AP493" s="3300"/>
      <c r="AQ493" s="3300"/>
      <c r="AR493" s="3292"/>
      <c r="AS493" s="3292"/>
      <c r="AT493" s="3292"/>
      <c r="AU493" s="3293"/>
      <c r="AV493" s="3293"/>
      <c r="AW493" s="3294"/>
      <c r="AX493" s="3236"/>
      <c r="AY493" s="3244"/>
      <c r="AZ493" s="3325"/>
      <c r="BA493" s="3296" t="str">
        <f t="shared" si="99"/>
        <v>未售</v>
      </c>
      <c r="BB493" s="3226"/>
      <c r="BC493" s="3226"/>
      <c r="BD493" s="3292"/>
      <c r="BE493" s="3297"/>
      <c r="BG493" s="3297">
        <f>IFERROR(VLOOKUP(B493,[3]Sheet2!A$1:B$65536,2,FALSE),0)</f>
        <v>0</v>
      </c>
      <c r="BI493" s="3297">
        <f>IFERROR(VLOOKUP(B493,[3]Sheet2!A$1:C$65536,2,FALSE),0)</f>
        <v>0</v>
      </c>
      <c r="BJ493" s="3297">
        <f>IFERROR(VLOOKUP(B493,[3]Sheet2!A$1:C$65536,3,FALSE),0)</f>
        <v>0</v>
      </c>
    </row>
    <row r="494" spans="1:62" s="3261" customFormat="1" ht="20.25" customHeight="1">
      <c r="A494" s="3226">
        <v>492</v>
      </c>
      <c r="B494" s="3250" t="s">
        <v>4315</v>
      </c>
      <c r="C494" s="3227" t="s">
        <v>3009</v>
      </c>
      <c r="D494" s="3251" t="s">
        <v>4316</v>
      </c>
      <c r="E494" s="3229">
        <v>44030</v>
      </c>
      <c r="F494" s="3230">
        <v>500000</v>
      </c>
      <c r="G494" s="3231">
        <v>177.77</v>
      </c>
      <c r="H494" s="3231" t="str">
        <f t="shared" si="90"/>
        <v>非普通住宅</v>
      </c>
      <c r="I494" s="3230">
        <v>3712065</v>
      </c>
      <c r="J494" s="3229">
        <v>44034</v>
      </c>
      <c r="K494" s="3284">
        <f t="shared" si="91"/>
        <v>7</v>
      </c>
      <c r="L494" s="3230">
        <v>3692065</v>
      </c>
      <c r="M494" s="3235">
        <f t="shared" si="92"/>
        <v>20768.774258873826</v>
      </c>
      <c r="N494" s="3236">
        <f>2082065+110000</f>
        <v>2192065</v>
      </c>
      <c r="O494" s="3244"/>
      <c r="P494" s="3244"/>
      <c r="Q494" s="3244"/>
      <c r="R494" s="3244">
        <f t="shared" si="93"/>
        <v>2692065</v>
      </c>
      <c r="S494" s="3244"/>
      <c r="T494" s="3236"/>
      <c r="U494" s="3236"/>
      <c r="V494" s="3236">
        <v>1000000</v>
      </c>
      <c r="W494" s="3236"/>
      <c r="X494" s="3244">
        <f t="shared" si="94"/>
        <v>3692065</v>
      </c>
      <c r="Y494" s="3244">
        <f t="shared" si="95"/>
        <v>0</v>
      </c>
      <c r="Z494" s="3285">
        <f t="shared" si="96"/>
        <v>1</v>
      </c>
      <c r="AA494" s="3226" t="s">
        <v>3319</v>
      </c>
      <c r="AB494" s="3226" t="s">
        <v>4587</v>
      </c>
      <c r="AC494" s="3226" t="s">
        <v>4698</v>
      </c>
      <c r="AD494" s="3286" t="s">
        <v>4539</v>
      </c>
      <c r="AE494" s="3286" t="s">
        <v>4427</v>
      </c>
      <c r="AF494" s="3286"/>
      <c r="AG494" s="3323"/>
      <c r="AH494" s="3255">
        <v>44036</v>
      </c>
      <c r="AI494" s="3255">
        <v>44037</v>
      </c>
      <c r="AJ494" s="3255">
        <v>44046</v>
      </c>
      <c r="AK494" s="3287">
        <f t="shared" si="97"/>
        <v>2020</v>
      </c>
      <c r="AL494" s="3288">
        <f t="shared" si="98"/>
        <v>8</v>
      </c>
      <c r="AM494" s="3226" t="s">
        <v>4881</v>
      </c>
      <c r="AN494" s="3289">
        <v>1000000</v>
      </c>
      <c r="AO494" s="3300" t="s">
        <v>4539</v>
      </c>
      <c r="AP494" s="3300" t="s">
        <v>4901</v>
      </c>
      <c r="AQ494" s="3300"/>
      <c r="AR494" s="3292">
        <v>44036</v>
      </c>
      <c r="AS494" s="3292">
        <v>44036</v>
      </c>
      <c r="AT494" s="3292"/>
      <c r="AU494" s="3293"/>
      <c r="AV494" s="3293"/>
      <c r="AW494" s="3294" t="s">
        <v>4657</v>
      </c>
      <c r="AX494" s="3236">
        <v>110000</v>
      </c>
      <c r="AY494" s="3244"/>
      <c r="AZ494" s="3325" t="s">
        <v>4507</v>
      </c>
      <c r="BA494" s="3296" t="str">
        <f t="shared" si="99"/>
        <v>签约</v>
      </c>
      <c r="BB494" s="3226"/>
      <c r="BC494" s="3226"/>
      <c r="BD494" s="3292"/>
      <c r="BE494" s="3297" t="s">
        <v>4696</v>
      </c>
      <c r="BG494" s="3297">
        <f>IFERROR(VLOOKUP(B494,[3]Sheet2!A$1:B$65536,2,FALSE),0)</f>
        <v>0</v>
      </c>
      <c r="BI494" s="3297">
        <f>IFERROR(VLOOKUP(B494,[3]Sheet2!A$1:C$65536,2,FALSE),0)</f>
        <v>0</v>
      </c>
      <c r="BJ494" s="3297">
        <f>IFERROR(VLOOKUP(B494,[3]Sheet2!A$1:C$65536,3,FALSE),0)</f>
        <v>0</v>
      </c>
    </row>
    <row r="495" spans="1:62" s="3261" customFormat="1" ht="20.25" customHeight="1">
      <c r="A495" s="3226">
        <v>493</v>
      </c>
      <c r="B495" s="3250" t="s">
        <v>4317</v>
      </c>
      <c r="C495" s="3227" t="s">
        <v>3009</v>
      </c>
      <c r="D495" s="3251" t="s">
        <v>4318</v>
      </c>
      <c r="E495" s="3229">
        <v>44030</v>
      </c>
      <c r="F495" s="3230">
        <v>500000</v>
      </c>
      <c r="G495" s="3231">
        <v>203.19</v>
      </c>
      <c r="H495" s="3231" t="str">
        <f t="shared" si="90"/>
        <v>非普通住宅</v>
      </c>
      <c r="I495" s="3230">
        <v>4306529</v>
      </c>
      <c r="J495" s="3229">
        <v>44036</v>
      </c>
      <c r="K495" s="3284">
        <f t="shared" si="91"/>
        <v>7</v>
      </c>
      <c r="L495" s="3230">
        <v>4286529</v>
      </c>
      <c r="M495" s="3235">
        <f t="shared" si="92"/>
        <v>21096.161228406909</v>
      </c>
      <c r="N495" s="3236">
        <v>786529</v>
      </c>
      <c r="O495" s="3244"/>
      <c r="P495" s="3244"/>
      <c r="Q495" s="3244"/>
      <c r="R495" s="3244">
        <f t="shared" si="93"/>
        <v>1286529</v>
      </c>
      <c r="S495" s="3244"/>
      <c r="T495" s="3236"/>
      <c r="U495" s="3236"/>
      <c r="V495" s="3236"/>
      <c r="W495" s="3236"/>
      <c r="X495" s="3244">
        <f t="shared" si="94"/>
        <v>1286529</v>
      </c>
      <c r="Y495" s="3244">
        <f t="shared" si="95"/>
        <v>3000000</v>
      </c>
      <c r="Z495" s="3285">
        <f t="shared" si="96"/>
        <v>0.30013304470820096</v>
      </c>
      <c r="AA495" s="3226" t="s">
        <v>3319</v>
      </c>
      <c r="AB495" s="3226" t="s">
        <v>4587</v>
      </c>
      <c r="AC495" s="3226" t="s">
        <v>4698</v>
      </c>
      <c r="AD495" s="3286" t="s">
        <v>4773</v>
      </c>
      <c r="AE495" s="3286" t="s">
        <v>4877</v>
      </c>
      <c r="AF495" s="3286"/>
      <c r="AG495" s="3323"/>
      <c r="AH495" s="3255">
        <v>44036</v>
      </c>
      <c r="AI495" s="3255"/>
      <c r="AJ495" s="3255"/>
      <c r="AK495" s="3287" t="str">
        <f t="shared" si="97"/>
        <v/>
      </c>
      <c r="AL495" s="3288" t="str">
        <f t="shared" si="98"/>
        <v/>
      </c>
      <c r="AM495" s="3226" t="s">
        <v>4433</v>
      </c>
      <c r="AN495" s="3289">
        <v>3000000</v>
      </c>
      <c r="AO495" s="3300"/>
      <c r="AP495" s="3300"/>
      <c r="AQ495" s="3300"/>
      <c r="AR495" s="3292"/>
      <c r="AS495" s="3292"/>
      <c r="AT495" s="3292"/>
      <c r="AU495" s="3293"/>
      <c r="AV495" s="3293"/>
      <c r="AW495" s="3294"/>
      <c r="AX495" s="3236"/>
      <c r="AY495" s="3244"/>
      <c r="AZ495" s="3325" t="s">
        <v>4900</v>
      </c>
      <c r="BA495" s="3296" t="str">
        <f t="shared" si="99"/>
        <v>签约</v>
      </c>
      <c r="BB495" s="3226"/>
      <c r="BC495" s="3226"/>
      <c r="BD495" s="3292"/>
      <c r="BE495" s="3297" t="s">
        <v>4465</v>
      </c>
      <c r="BG495" s="3297">
        <f>IFERROR(VLOOKUP(B495,[3]Sheet2!A$1:B$65536,2,FALSE),0)</f>
        <v>0</v>
      </c>
      <c r="BI495" s="3297">
        <f>IFERROR(VLOOKUP(B495,[3]Sheet2!A$1:C$65536,2,FALSE),0)</f>
        <v>0</v>
      </c>
      <c r="BJ495" s="3297">
        <f>IFERROR(VLOOKUP(B495,[3]Sheet2!A$1:C$65536,3,FALSE),0)</f>
        <v>0</v>
      </c>
    </row>
    <row r="496" spans="1:62" s="3261" customFormat="1" ht="20.25" customHeight="1">
      <c r="A496" s="3226">
        <v>494</v>
      </c>
      <c r="B496" s="3250" t="s">
        <v>4045</v>
      </c>
      <c r="C496" s="3227" t="s">
        <v>920</v>
      </c>
      <c r="D496" s="3251" t="s">
        <v>4046</v>
      </c>
      <c r="E496" s="3229">
        <v>44044</v>
      </c>
      <c r="F496" s="3230">
        <v>50000</v>
      </c>
      <c r="G496" s="3231">
        <v>151.06</v>
      </c>
      <c r="H496" s="3231" t="str">
        <f t="shared" si="90"/>
        <v>非普通住宅</v>
      </c>
      <c r="I496" s="3230">
        <v>2293901</v>
      </c>
      <c r="J496" s="3229">
        <v>44047</v>
      </c>
      <c r="K496" s="3284">
        <f t="shared" si="91"/>
        <v>8</v>
      </c>
      <c r="L496" s="3230">
        <v>2293901</v>
      </c>
      <c r="M496" s="3235">
        <f t="shared" si="92"/>
        <v>15185.363431748974</v>
      </c>
      <c r="N496" s="3236">
        <v>643901</v>
      </c>
      <c r="O496" s="3244"/>
      <c r="P496" s="3244"/>
      <c r="Q496" s="3244"/>
      <c r="R496" s="3244">
        <f t="shared" si="93"/>
        <v>693901</v>
      </c>
      <c r="S496" s="3244"/>
      <c r="T496" s="3236"/>
      <c r="U496" s="3236"/>
      <c r="V496" s="3236"/>
      <c r="W496" s="3236"/>
      <c r="X496" s="3244">
        <f t="shared" si="94"/>
        <v>693901</v>
      </c>
      <c r="Y496" s="3244">
        <f t="shared" si="95"/>
        <v>1600000</v>
      </c>
      <c r="Z496" s="3285">
        <f t="shared" si="96"/>
        <v>0.30249823335880666</v>
      </c>
      <c r="AA496" s="3226" t="s">
        <v>3319</v>
      </c>
      <c r="AB496" s="3226" t="s">
        <v>4587</v>
      </c>
      <c r="AC496" s="3226" t="s">
        <v>4698</v>
      </c>
      <c r="AD496" s="3286" t="s">
        <v>4773</v>
      </c>
      <c r="AE496" s="3286" t="s">
        <v>4774</v>
      </c>
      <c r="AF496" s="3286"/>
      <c r="AG496" s="3323"/>
      <c r="AH496" s="3255"/>
      <c r="AI496" s="3255"/>
      <c r="AJ496" s="3255"/>
      <c r="AK496" s="3287"/>
      <c r="AL496" s="3288"/>
      <c r="AM496" s="3226"/>
      <c r="AN496" s="3289"/>
      <c r="AO496" s="3300"/>
      <c r="AP496" s="3300"/>
      <c r="AQ496" s="3300"/>
      <c r="AR496" s="3292"/>
      <c r="AS496" s="3292"/>
      <c r="AT496" s="3292"/>
      <c r="AU496" s="3293"/>
      <c r="AV496" s="3293"/>
      <c r="AW496" s="3294"/>
      <c r="AX496" s="3236"/>
      <c r="AY496" s="3244"/>
      <c r="AZ496" s="3325" t="s">
        <v>3385</v>
      </c>
      <c r="BA496" s="3296" t="str">
        <f t="shared" si="99"/>
        <v>签约</v>
      </c>
      <c r="BB496" s="3226"/>
      <c r="BC496" s="3226"/>
      <c r="BD496" s="3292"/>
      <c r="BE496" s="3297" t="s">
        <v>4449</v>
      </c>
    </row>
    <row r="497" spans="1:57" s="3261" customFormat="1" ht="20.25" customHeight="1">
      <c r="A497" s="3226">
        <v>495</v>
      </c>
      <c r="B497" s="3250" t="s">
        <v>4047</v>
      </c>
      <c r="C497" s="3227" t="s">
        <v>920</v>
      </c>
      <c r="D497" s="3251" t="s">
        <v>4048</v>
      </c>
      <c r="E497" s="3229">
        <v>44044</v>
      </c>
      <c r="F497" s="3230">
        <v>20000</v>
      </c>
      <c r="G497" s="3231">
        <v>151.06</v>
      </c>
      <c r="H497" s="3231" t="str">
        <f t="shared" si="90"/>
        <v>非普通住宅</v>
      </c>
      <c r="I497" s="3230">
        <v>2325047</v>
      </c>
      <c r="J497" s="3229">
        <v>44046</v>
      </c>
      <c r="K497" s="3284">
        <f t="shared" si="91"/>
        <v>8</v>
      </c>
      <c r="L497" s="3230">
        <v>2325047</v>
      </c>
      <c r="M497" s="3235">
        <f t="shared" si="92"/>
        <v>15391.546405401827</v>
      </c>
      <c r="N497" s="3236">
        <v>685047</v>
      </c>
      <c r="O497" s="3244"/>
      <c r="P497" s="3244"/>
      <c r="Q497" s="3244"/>
      <c r="R497" s="3244">
        <f t="shared" si="93"/>
        <v>705047</v>
      </c>
      <c r="S497" s="3244"/>
      <c r="T497" s="3236"/>
      <c r="U497" s="3236"/>
      <c r="V497" s="3236"/>
      <c r="W497" s="3236"/>
      <c r="X497" s="3244">
        <f t="shared" si="94"/>
        <v>705047</v>
      </c>
      <c r="Y497" s="3244">
        <f t="shared" si="95"/>
        <v>1620000</v>
      </c>
      <c r="Z497" s="3285">
        <f t="shared" si="96"/>
        <v>0.30323989149466657</v>
      </c>
      <c r="AA497" s="3226" t="s">
        <v>3319</v>
      </c>
      <c r="AB497" s="3226" t="s">
        <v>4587</v>
      </c>
      <c r="AC497" s="3226" t="s">
        <v>4698</v>
      </c>
      <c r="AD497" s="3286" t="s">
        <v>4773</v>
      </c>
      <c r="AE497" s="3286" t="s">
        <v>4774</v>
      </c>
      <c r="AF497" s="3286"/>
      <c r="AG497" s="3323"/>
      <c r="AH497" s="3255"/>
      <c r="AI497" s="3255"/>
      <c r="AJ497" s="3255"/>
      <c r="AK497" s="3287"/>
      <c r="AL497" s="3288"/>
      <c r="AM497" s="3226"/>
      <c r="AN497" s="3289"/>
      <c r="AO497" s="3300"/>
      <c r="AP497" s="3300"/>
      <c r="AQ497" s="3300"/>
      <c r="AR497" s="3292"/>
      <c r="AS497" s="3292"/>
      <c r="AT497" s="3292"/>
      <c r="AU497" s="3293"/>
      <c r="AV497" s="3293"/>
      <c r="AW497" s="3294"/>
      <c r="AX497" s="3236"/>
      <c r="AY497" s="3244"/>
      <c r="AZ497" s="3325" t="s">
        <v>4437</v>
      </c>
      <c r="BA497" s="3296" t="str">
        <f t="shared" si="99"/>
        <v>签约</v>
      </c>
      <c r="BB497" s="3226"/>
      <c r="BC497" s="3226"/>
      <c r="BD497" s="3292"/>
      <c r="BE497" s="3297" t="s">
        <v>4465</v>
      </c>
    </row>
    <row r="498" spans="1:57" s="3261" customFormat="1" ht="20.25" customHeight="1">
      <c r="A498" s="3226">
        <v>496</v>
      </c>
      <c r="B498" s="3250" t="s">
        <v>4049</v>
      </c>
      <c r="C498" s="3227" t="s">
        <v>920</v>
      </c>
      <c r="D498" s="3251" t="s">
        <v>4050</v>
      </c>
      <c r="E498" s="3229">
        <v>44044</v>
      </c>
      <c r="F498" s="3230">
        <v>50000</v>
      </c>
      <c r="G498" s="3231">
        <v>151.06</v>
      </c>
      <c r="H498" s="3231" t="str">
        <f t="shared" si="90"/>
        <v>非普通住宅</v>
      </c>
      <c r="I498" s="3230">
        <v>2356194</v>
      </c>
      <c r="J498" s="3229">
        <v>44045</v>
      </c>
      <c r="K498" s="3284">
        <f t="shared" si="91"/>
        <v>8</v>
      </c>
      <c r="L498" s="3230">
        <v>2356194</v>
      </c>
      <c r="M498" s="3235">
        <f t="shared" si="92"/>
        <v>15597.735998940818</v>
      </c>
      <c r="N498" s="3236">
        <v>666194</v>
      </c>
      <c r="O498" s="3244"/>
      <c r="P498" s="3244"/>
      <c r="Q498" s="3244"/>
      <c r="R498" s="3244">
        <f t="shared" si="93"/>
        <v>716194</v>
      </c>
      <c r="S498" s="3244"/>
      <c r="T498" s="3236"/>
      <c r="U498" s="3236"/>
      <c r="V498" s="3236"/>
      <c r="W498" s="3236"/>
      <c r="X498" s="3244">
        <f t="shared" si="94"/>
        <v>716194</v>
      </c>
      <c r="Y498" s="3244">
        <f t="shared" si="95"/>
        <v>1640000</v>
      </c>
      <c r="Z498" s="3285">
        <f t="shared" si="96"/>
        <v>0.30396223740489958</v>
      </c>
      <c r="AA498" s="3226" t="s">
        <v>3319</v>
      </c>
      <c r="AB498" s="3226" t="s">
        <v>4587</v>
      </c>
      <c r="AC498" s="3226" t="s">
        <v>4698</v>
      </c>
      <c r="AD498" s="3286" t="s">
        <v>4773</v>
      </c>
      <c r="AE498" s="3286" t="s">
        <v>4774</v>
      </c>
      <c r="AF498" s="3286"/>
      <c r="AG498" s="3323"/>
      <c r="AH498" s="3255"/>
      <c r="AI498" s="3255"/>
      <c r="AJ498" s="3255"/>
      <c r="AK498" s="3287"/>
      <c r="AL498" s="3288"/>
      <c r="AM498" s="3226"/>
      <c r="AN498" s="3289"/>
      <c r="AO498" s="3300"/>
      <c r="AP498" s="3300"/>
      <c r="AQ498" s="3300"/>
      <c r="AR498" s="3292"/>
      <c r="AS498" s="3292"/>
      <c r="AT498" s="3292"/>
      <c r="AU498" s="3293"/>
      <c r="AV498" s="3293"/>
      <c r="AW498" s="3294"/>
      <c r="AX498" s="3236"/>
      <c r="AY498" s="3244"/>
      <c r="AZ498" s="3325" t="s">
        <v>4437</v>
      </c>
      <c r="BA498" s="3296" t="str">
        <f t="shared" si="99"/>
        <v>签约</v>
      </c>
      <c r="BB498" s="3226"/>
      <c r="BC498" s="3226"/>
      <c r="BD498" s="3292"/>
      <c r="BE498" s="3297" t="s">
        <v>4449</v>
      </c>
    </row>
    <row r="499" spans="1:57" s="3261" customFormat="1" ht="20.25" customHeight="1">
      <c r="A499" s="3226">
        <v>497</v>
      </c>
      <c r="B499" s="3250" t="s">
        <v>4916</v>
      </c>
      <c r="C499" s="3227" t="s">
        <v>920</v>
      </c>
      <c r="D499" s="3251"/>
      <c r="E499" s="3229"/>
      <c r="F499" s="3230"/>
      <c r="G499" s="3231">
        <v>151.06</v>
      </c>
      <c r="H499" s="3231" t="str">
        <f t="shared" si="90"/>
        <v>非普通住宅</v>
      </c>
      <c r="I499" s="3230">
        <v>2387340</v>
      </c>
      <c r="J499" s="3229"/>
      <c r="K499" s="3284" t="str">
        <f t="shared" si="91"/>
        <v/>
      </c>
      <c r="L499" s="3230"/>
      <c r="M499" s="3235">
        <f t="shared" si="92"/>
        <v>0</v>
      </c>
      <c r="N499" s="3236"/>
      <c r="O499" s="3244"/>
      <c r="P499" s="3244"/>
      <c r="Q499" s="3244"/>
      <c r="R499" s="3244">
        <f t="shared" si="93"/>
        <v>0</v>
      </c>
      <c r="S499" s="3244"/>
      <c r="T499" s="3236"/>
      <c r="U499" s="3236"/>
      <c r="V499" s="3236"/>
      <c r="W499" s="3236"/>
      <c r="X499" s="3244">
        <f t="shared" si="94"/>
        <v>0</v>
      </c>
      <c r="Y499" s="3244">
        <f t="shared" si="95"/>
        <v>0</v>
      </c>
      <c r="Z499" s="3285" t="e">
        <f t="shared" si="96"/>
        <v>#DIV/0!</v>
      </c>
      <c r="AA499" s="3226"/>
      <c r="AB499" s="3226"/>
      <c r="AC499" s="3226"/>
      <c r="AD499" s="3286"/>
      <c r="AE499" s="3286"/>
      <c r="AF499" s="3286"/>
      <c r="AG499" s="3323"/>
      <c r="AH499" s="3255"/>
      <c r="AI499" s="3255"/>
      <c r="AJ499" s="3255"/>
      <c r="AK499" s="3287"/>
      <c r="AL499" s="3288"/>
      <c r="AM499" s="3226"/>
      <c r="AN499" s="3289"/>
      <c r="AO499" s="3300"/>
      <c r="AP499" s="3300"/>
      <c r="AQ499" s="3300"/>
      <c r="AR499" s="3292"/>
      <c r="AS499" s="3292"/>
      <c r="AT499" s="3292"/>
      <c r="AU499" s="3293"/>
      <c r="AV499" s="3293"/>
      <c r="AW499" s="3294"/>
      <c r="AX499" s="3236"/>
      <c r="AY499" s="3244"/>
      <c r="AZ499" s="3325"/>
      <c r="BA499" s="3296" t="str">
        <f t="shared" si="99"/>
        <v>未售</v>
      </c>
      <c r="BB499" s="3226"/>
      <c r="BC499" s="3226"/>
      <c r="BD499" s="3292"/>
      <c r="BE499" s="3297"/>
    </row>
    <row r="500" spans="1:57" s="3261" customFormat="1" ht="20.25" customHeight="1">
      <c r="A500" s="3226">
        <v>498</v>
      </c>
      <c r="B500" s="3250" t="s">
        <v>4051</v>
      </c>
      <c r="C500" s="3227" t="s">
        <v>920</v>
      </c>
      <c r="D500" s="3251" t="s">
        <v>4052</v>
      </c>
      <c r="E500" s="3229">
        <v>44044</v>
      </c>
      <c r="F500" s="3230">
        <v>50000</v>
      </c>
      <c r="G500" s="3231">
        <v>151.06</v>
      </c>
      <c r="H500" s="3231" t="str">
        <f t="shared" si="90"/>
        <v>非普通住宅</v>
      </c>
      <c r="I500" s="3230">
        <v>2418487</v>
      </c>
      <c r="J500" s="3229">
        <v>44047</v>
      </c>
      <c r="K500" s="3284">
        <f t="shared" si="91"/>
        <v>8</v>
      </c>
      <c r="L500" s="3230">
        <v>2418487</v>
      </c>
      <c r="M500" s="3235">
        <f t="shared" si="92"/>
        <v>16010.108566132662</v>
      </c>
      <c r="N500" s="3236">
        <v>678487</v>
      </c>
      <c r="O500" s="3244"/>
      <c r="P500" s="3244"/>
      <c r="Q500" s="3244"/>
      <c r="R500" s="3244">
        <f t="shared" si="93"/>
        <v>728487</v>
      </c>
      <c r="S500" s="3244"/>
      <c r="T500" s="3236"/>
      <c r="U500" s="3236"/>
      <c r="V500" s="3236"/>
      <c r="W500" s="3236"/>
      <c r="X500" s="3244">
        <f t="shared" si="94"/>
        <v>728487</v>
      </c>
      <c r="Y500" s="3244">
        <f t="shared" si="95"/>
        <v>1690000</v>
      </c>
      <c r="Z500" s="3285">
        <f t="shared" si="96"/>
        <v>0.30121600819024458</v>
      </c>
      <c r="AA500" s="3226" t="s">
        <v>3319</v>
      </c>
      <c r="AB500" s="3226" t="s">
        <v>4587</v>
      </c>
      <c r="AC500" s="3226" t="s">
        <v>4698</v>
      </c>
      <c r="AD500" s="3286" t="s">
        <v>4773</v>
      </c>
      <c r="AE500" s="3286" t="s">
        <v>4774</v>
      </c>
      <c r="AF500" s="3286"/>
      <c r="AG500" s="3323"/>
      <c r="AH500" s="3255"/>
      <c r="AI500" s="3255"/>
      <c r="AJ500" s="3255"/>
      <c r="AK500" s="3287"/>
      <c r="AL500" s="3288"/>
      <c r="AM500" s="3226"/>
      <c r="AN500" s="3289"/>
      <c r="AO500" s="3300"/>
      <c r="AP500" s="3300"/>
      <c r="AQ500" s="3300"/>
      <c r="AR500" s="3292"/>
      <c r="AS500" s="3292"/>
      <c r="AT500" s="3292"/>
      <c r="AU500" s="3293"/>
      <c r="AV500" s="3293"/>
      <c r="AW500" s="3294"/>
      <c r="AX500" s="3236"/>
      <c r="AY500" s="3244"/>
      <c r="AZ500" s="3325" t="s">
        <v>4892</v>
      </c>
      <c r="BA500" s="3296" t="str">
        <f t="shared" si="99"/>
        <v>签约</v>
      </c>
      <c r="BB500" s="3226"/>
      <c r="BC500" s="3226"/>
      <c r="BD500" s="3292"/>
      <c r="BE500" s="3297" t="s">
        <v>4449</v>
      </c>
    </row>
    <row r="501" spans="1:57" s="3261" customFormat="1" ht="20.25" customHeight="1">
      <c r="A501" s="3226">
        <v>499</v>
      </c>
      <c r="B501" s="3250" t="s">
        <v>4917</v>
      </c>
      <c r="C501" s="3227" t="s">
        <v>920</v>
      </c>
      <c r="D501" s="3251" t="s">
        <v>4918</v>
      </c>
      <c r="E501" s="3229">
        <v>44044</v>
      </c>
      <c r="F501" s="3230">
        <v>50000</v>
      </c>
      <c r="G501" s="3231">
        <v>151.06</v>
      </c>
      <c r="H501" s="3231" t="str">
        <f t="shared" si="90"/>
        <v>非普通住宅</v>
      </c>
      <c r="I501" s="3230">
        <v>2449633</v>
      </c>
      <c r="J501" s="3229"/>
      <c r="K501" s="3284" t="str">
        <f t="shared" si="91"/>
        <v/>
      </c>
      <c r="L501" s="3230"/>
      <c r="M501" s="3235">
        <f t="shared" si="92"/>
        <v>0</v>
      </c>
      <c r="N501" s="3236"/>
      <c r="O501" s="3244"/>
      <c r="P501" s="3244"/>
      <c r="Q501" s="3244"/>
      <c r="R501" s="3244">
        <f t="shared" si="93"/>
        <v>50000</v>
      </c>
      <c r="S501" s="3244"/>
      <c r="T501" s="3236"/>
      <c r="U501" s="3236"/>
      <c r="V501" s="3236"/>
      <c r="W501" s="3236"/>
      <c r="X501" s="3244">
        <f t="shared" si="94"/>
        <v>50000</v>
      </c>
      <c r="Y501" s="3244">
        <f t="shared" si="95"/>
        <v>-50000</v>
      </c>
      <c r="Z501" s="3285" t="e">
        <f t="shared" si="96"/>
        <v>#DIV/0!</v>
      </c>
      <c r="AA501" s="3226"/>
      <c r="AB501" s="3226"/>
      <c r="AC501" s="3226"/>
      <c r="AD501" s="3286"/>
      <c r="AE501" s="3286"/>
      <c r="AF501" s="3286"/>
      <c r="AG501" s="3323"/>
      <c r="AH501" s="3255"/>
      <c r="AI501" s="3255"/>
      <c r="AJ501" s="3255"/>
      <c r="AK501" s="3287"/>
      <c r="AL501" s="3288"/>
      <c r="AM501" s="3226"/>
      <c r="AN501" s="3289"/>
      <c r="AO501" s="3300"/>
      <c r="AP501" s="3300"/>
      <c r="AQ501" s="3300"/>
      <c r="AR501" s="3292"/>
      <c r="AS501" s="3292"/>
      <c r="AT501" s="3292"/>
      <c r="AU501" s="3293"/>
      <c r="AV501" s="3293"/>
      <c r="AW501" s="3294"/>
      <c r="AX501" s="3236"/>
      <c r="AY501" s="3244"/>
      <c r="AZ501" s="3325"/>
      <c r="BA501" s="3296" t="str">
        <f t="shared" si="99"/>
        <v>认购</v>
      </c>
      <c r="BB501" s="3226"/>
      <c r="BC501" s="3226"/>
      <c r="BD501" s="3292"/>
      <c r="BE501" s="3297"/>
    </row>
    <row r="502" spans="1:57" s="3261" customFormat="1" ht="20.25" customHeight="1">
      <c r="A502" s="3226">
        <v>500</v>
      </c>
      <c r="B502" s="3250" t="s">
        <v>4053</v>
      </c>
      <c r="C502" s="3227" t="s">
        <v>920</v>
      </c>
      <c r="D502" s="3251" t="s">
        <v>4054</v>
      </c>
      <c r="E502" s="3229">
        <v>44044</v>
      </c>
      <c r="F502" s="3230">
        <v>50000</v>
      </c>
      <c r="G502" s="3231">
        <v>151.06</v>
      </c>
      <c r="H502" s="3231" t="str">
        <f t="shared" si="90"/>
        <v>非普通住宅</v>
      </c>
      <c r="I502" s="3230">
        <v>2480779</v>
      </c>
      <c r="J502" s="3229">
        <v>44044</v>
      </c>
      <c r="K502" s="3284">
        <f t="shared" si="91"/>
        <v>8</v>
      </c>
      <c r="L502" s="3230">
        <v>2480779</v>
      </c>
      <c r="M502" s="3235">
        <f t="shared" si="92"/>
        <v>16422.47451343837</v>
      </c>
      <c r="N502" s="3236">
        <v>2430779</v>
      </c>
      <c r="O502" s="3244"/>
      <c r="P502" s="3244"/>
      <c r="Q502" s="3244"/>
      <c r="R502" s="3244">
        <f t="shared" si="93"/>
        <v>2480779</v>
      </c>
      <c r="S502" s="3244"/>
      <c r="T502" s="3236"/>
      <c r="U502" s="3236"/>
      <c r="V502" s="3236"/>
      <c r="W502" s="3236"/>
      <c r="X502" s="3244">
        <f t="shared" si="94"/>
        <v>2480779</v>
      </c>
      <c r="Y502" s="3244">
        <f t="shared" si="95"/>
        <v>0</v>
      </c>
      <c r="Z502" s="3285">
        <f t="shared" si="96"/>
        <v>1</v>
      </c>
      <c r="AA502" s="3226" t="s">
        <v>3319</v>
      </c>
      <c r="AB502" s="3226" t="s">
        <v>4676</v>
      </c>
      <c r="AC502" s="3226"/>
      <c r="AD502" s="3286"/>
      <c r="AE502" s="3286"/>
      <c r="AF502" s="3286"/>
      <c r="AG502" s="3323"/>
      <c r="AH502" s="3255"/>
      <c r="AI502" s="3255"/>
      <c r="AJ502" s="3255"/>
      <c r="AK502" s="3287"/>
      <c r="AL502" s="3288"/>
      <c r="AM502" s="3226"/>
      <c r="AN502" s="3289"/>
      <c r="AO502" s="3300"/>
      <c r="AP502" s="3300"/>
      <c r="AQ502" s="3300"/>
      <c r="AR502" s="3292"/>
      <c r="AS502" s="3292"/>
      <c r="AT502" s="3292"/>
      <c r="AU502" s="3293"/>
      <c r="AV502" s="3293"/>
      <c r="AW502" s="3294"/>
      <c r="AX502" s="3236"/>
      <c r="AY502" s="3244"/>
      <c r="AZ502" s="3325" t="s">
        <v>4883</v>
      </c>
      <c r="BA502" s="3296" t="str">
        <f t="shared" si="99"/>
        <v>签约</v>
      </c>
      <c r="BB502" s="3226"/>
      <c r="BC502" s="3226"/>
      <c r="BD502" s="3292"/>
      <c r="BE502" s="3297" t="s">
        <v>4367</v>
      </c>
    </row>
    <row r="503" spans="1:57" s="3261" customFormat="1" ht="20.25" customHeight="1">
      <c r="A503" s="3226">
        <v>501</v>
      </c>
      <c r="B503" s="3250" t="s">
        <v>4919</v>
      </c>
      <c r="C503" s="3227" t="s">
        <v>920</v>
      </c>
      <c r="D503" s="3251" t="s">
        <v>4920</v>
      </c>
      <c r="E503" s="3229">
        <v>44044</v>
      </c>
      <c r="F503" s="3230">
        <v>100000</v>
      </c>
      <c r="G503" s="3231">
        <v>151.06</v>
      </c>
      <c r="H503" s="3231" t="str">
        <f t="shared" si="90"/>
        <v>非普通住宅</v>
      </c>
      <c r="I503" s="3230">
        <v>2511926</v>
      </c>
      <c r="J503" s="3229"/>
      <c r="K503" s="3284" t="str">
        <f t="shared" si="91"/>
        <v/>
      </c>
      <c r="L503" s="3230"/>
      <c r="M503" s="3235">
        <f t="shared" si="92"/>
        <v>0</v>
      </c>
      <c r="N503" s="3236"/>
      <c r="O503" s="3244"/>
      <c r="P503" s="3244"/>
      <c r="Q503" s="3244"/>
      <c r="R503" s="3244">
        <f t="shared" si="93"/>
        <v>100000</v>
      </c>
      <c r="S503" s="3244"/>
      <c r="T503" s="3236"/>
      <c r="U503" s="3236"/>
      <c r="V503" s="3236"/>
      <c r="W503" s="3236"/>
      <c r="X503" s="3244">
        <f t="shared" si="94"/>
        <v>100000</v>
      </c>
      <c r="Y503" s="3244">
        <f t="shared" si="95"/>
        <v>-100000</v>
      </c>
      <c r="Z503" s="3285" t="e">
        <f t="shared" si="96"/>
        <v>#DIV/0!</v>
      </c>
      <c r="AA503" s="3226"/>
      <c r="AB503" s="3226"/>
      <c r="AC503" s="3226"/>
      <c r="AD503" s="3286"/>
      <c r="AE503" s="3286"/>
      <c r="AF503" s="3286"/>
      <c r="AG503" s="3323"/>
      <c r="AH503" s="3255"/>
      <c r="AI503" s="3255"/>
      <c r="AJ503" s="3255"/>
      <c r="AK503" s="3287"/>
      <c r="AL503" s="3288"/>
      <c r="AM503" s="3226"/>
      <c r="AN503" s="3289"/>
      <c r="AO503" s="3300"/>
      <c r="AP503" s="3300"/>
      <c r="AQ503" s="3300"/>
      <c r="AR503" s="3292"/>
      <c r="AS503" s="3292"/>
      <c r="AT503" s="3292"/>
      <c r="AU503" s="3293"/>
      <c r="AV503" s="3293"/>
      <c r="AW503" s="3294"/>
      <c r="AX503" s="3236"/>
      <c r="AY503" s="3244"/>
      <c r="AZ503" s="3325"/>
      <c r="BA503" s="3296" t="str">
        <f t="shared" si="99"/>
        <v>认购</v>
      </c>
      <c r="BB503" s="3226"/>
      <c r="BC503" s="3226"/>
      <c r="BD503" s="3292"/>
      <c r="BE503" s="3297"/>
    </row>
    <row r="504" spans="1:57" s="3261" customFormat="1" ht="20.25" customHeight="1">
      <c r="A504" s="3226">
        <v>502</v>
      </c>
      <c r="B504" s="3250" t="s">
        <v>4055</v>
      </c>
      <c r="C504" s="3227" t="s">
        <v>920</v>
      </c>
      <c r="D504" s="3251" t="s">
        <v>4056</v>
      </c>
      <c r="E504" s="3229">
        <v>44044</v>
      </c>
      <c r="F504" s="3230">
        <v>50000</v>
      </c>
      <c r="G504" s="3231">
        <v>151.06</v>
      </c>
      <c r="H504" s="3231" t="str">
        <f t="shared" si="90"/>
        <v>非普通住宅</v>
      </c>
      <c r="I504" s="3230">
        <v>2543072</v>
      </c>
      <c r="J504" s="3229">
        <v>44046</v>
      </c>
      <c r="K504" s="3284">
        <f t="shared" si="91"/>
        <v>8</v>
      </c>
      <c r="L504" s="3230">
        <v>2543072</v>
      </c>
      <c r="M504" s="3235">
        <f t="shared" si="92"/>
        <v>16834.847080630214</v>
      </c>
      <c r="N504" s="3236">
        <v>2493072</v>
      </c>
      <c r="O504" s="3244"/>
      <c r="P504" s="3244"/>
      <c r="Q504" s="3244"/>
      <c r="R504" s="3244">
        <f t="shared" si="93"/>
        <v>2543072</v>
      </c>
      <c r="S504" s="3244"/>
      <c r="T504" s="3236"/>
      <c r="U504" s="3236"/>
      <c r="V504" s="3236"/>
      <c r="W504" s="3236"/>
      <c r="X504" s="3244">
        <f t="shared" si="94"/>
        <v>2543072</v>
      </c>
      <c r="Y504" s="3244">
        <f t="shared" si="95"/>
        <v>0</v>
      </c>
      <c r="Z504" s="3285">
        <f t="shared" si="96"/>
        <v>1</v>
      </c>
      <c r="AA504" s="3226" t="s">
        <v>3319</v>
      </c>
      <c r="AB504" s="3226" t="s">
        <v>4676</v>
      </c>
      <c r="AC504" s="3226"/>
      <c r="AD504" s="3286"/>
      <c r="AE504" s="3286"/>
      <c r="AF504" s="3286"/>
      <c r="AG504" s="3323"/>
      <c r="AH504" s="3255"/>
      <c r="AI504" s="3255"/>
      <c r="AJ504" s="3255"/>
      <c r="AK504" s="3287"/>
      <c r="AL504" s="3288"/>
      <c r="AM504" s="3226"/>
      <c r="AN504" s="3289"/>
      <c r="AO504" s="3300"/>
      <c r="AP504" s="3300"/>
      <c r="AQ504" s="3300"/>
      <c r="AR504" s="3292"/>
      <c r="AS504" s="3292"/>
      <c r="AT504" s="3292"/>
      <c r="AU504" s="3293"/>
      <c r="AV504" s="3293"/>
      <c r="AW504" s="3294"/>
      <c r="AX504" s="3236"/>
      <c r="AY504" s="3244"/>
      <c r="AZ504" s="3325" t="s">
        <v>4441</v>
      </c>
      <c r="BA504" s="3296" t="str">
        <f t="shared" si="99"/>
        <v>签约</v>
      </c>
      <c r="BB504" s="3226"/>
      <c r="BC504" s="3226"/>
      <c r="BD504" s="3292"/>
      <c r="BE504" s="3297" t="s">
        <v>4449</v>
      </c>
    </row>
    <row r="505" spans="1:57" s="3261" customFormat="1" ht="20.25" customHeight="1">
      <c r="A505" s="3226">
        <v>503</v>
      </c>
      <c r="B505" s="3250" t="s">
        <v>4057</v>
      </c>
      <c r="C505" s="3227" t="s">
        <v>920</v>
      </c>
      <c r="D505" s="3251" t="s">
        <v>4058</v>
      </c>
      <c r="E505" s="3229">
        <v>44044</v>
      </c>
      <c r="F505" s="3230">
        <v>250000</v>
      </c>
      <c r="G505" s="3231">
        <v>151.06</v>
      </c>
      <c r="H505" s="3231" t="str">
        <f t="shared" si="90"/>
        <v>非普通住宅</v>
      </c>
      <c r="I505" s="3230">
        <v>2402913</v>
      </c>
      <c r="J505" s="3229">
        <v>44047</v>
      </c>
      <c r="K505" s="3284">
        <f t="shared" si="91"/>
        <v>8</v>
      </c>
      <c r="L505" s="3230">
        <v>2402913</v>
      </c>
      <c r="M505" s="3235">
        <f t="shared" si="92"/>
        <v>15907.010459420098</v>
      </c>
      <c r="N505" s="3236">
        <v>472913</v>
      </c>
      <c r="O505" s="3244"/>
      <c r="P505" s="3244"/>
      <c r="Q505" s="3244"/>
      <c r="R505" s="3244">
        <f t="shared" si="93"/>
        <v>722913</v>
      </c>
      <c r="S505" s="3244"/>
      <c r="T505" s="3236"/>
      <c r="U505" s="3236"/>
      <c r="V505" s="3236"/>
      <c r="W505" s="3236"/>
      <c r="X505" s="3244">
        <f t="shared" si="94"/>
        <v>722913</v>
      </c>
      <c r="Y505" s="3244">
        <f t="shared" si="95"/>
        <v>1680000</v>
      </c>
      <c r="Z505" s="3285">
        <f t="shared" si="96"/>
        <v>0.30084859501779715</v>
      </c>
      <c r="AA505" s="3226" t="s">
        <v>3319</v>
      </c>
      <c r="AB505" s="3226" t="s">
        <v>4587</v>
      </c>
      <c r="AC505" s="3226" t="s">
        <v>4698</v>
      </c>
      <c r="AD505" s="3286" t="s">
        <v>4773</v>
      </c>
      <c r="AE505" s="3286" t="s">
        <v>4774</v>
      </c>
      <c r="AF505" s="3286"/>
      <c r="AG505" s="3323"/>
      <c r="AH505" s="3255"/>
      <c r="AI505" s="3255"/>
      <c r="AJ505" s="3255"/>
      <c r="AK505" s="3287"/>
      <c r="AL505" s="3288"/>
      <c r="AM505" s="3226"/>
      <c r="AN505" s="3289"/>
      <c r="AO505" s="3300"/>
      <c r="AP505" s="3300"/>
      <c r="AQ505" s="3300"/>
      <c r="AR505" s="3292"/>
      <c r="AS505" s="3292"/>
      <c r="AT505" s="3292"/>
      <c r="AU505" s="3293"/>
      <c r="AV505" s="3293"/>
      <c r="AW505" s="3294"/>
      <c r="AX505" s="3236"/>
      <c r="AY505" s="3244"/>
      <c r="AZ505" s="3325" t="s">
        <v>4886</v>
      </c>
      <c r="BA505" s="3296" t="str">
        <f t="shared" si="99"/>
        <v>签约</v>
      </c>
      <c r="BB505" s="3226"/>
      <c r="BC505" s="3226"/>
      <c r="BD505" s="3292"/>
      <c r="BE505" s="3297" t="s">
        <v>4367</v>
      </c>
    </row>
    <row r="506" spans="1:57" s="3261" customFormat="1" ht="20.25" customHeight="1">
      <c r="A506" s="3226">
        <v>504</v>
      </c>
      <c r="B506" s="3250" t="s">
        <v>4059</v>
      </c>
      <c r="C506" s="3227" t="s">
        <v>920</v>
      </c>
      <c r="D506" s="3251" t="s">
        <v>4060</v>
      </c>
      <c r="E506" s="3229">
        <v>44044</v>
      </c>
      <c r="F506" s="3230">
        <v>50000</v>
      </c>
      <c r="G506" s="3231">
        <v>134.97999999999999</v>
      </c>
      <c r="H506" s="3231" t="str">
        <f t="shared" si="90"/>
        <v>普通住宅</v>
      </c>
      <c r="I506" s="3230">
        <v>2038759</v>
      </c>
      <c r="J506" s="3229">
        <v>44047</v>
      </c>
      <c r="K506" s="3284">
        <f t="shared" si="91"/>
        <v>8</v>
      </c>
      <c r="L506" s="3230">
        <v>2038759</v>
      </c>
      <c r="M506" s="3235">
        <f t="shared" si="92"/>
        <v>15104.156171284636</v>
      </c>
      <c r="N506" s="3236">
        <f>368759+200000</f>
        <v>568759</v>
      </c>
      <c r="O506" s="3244"/>
      <c r="P506" s="3244"/>
      <c r="Q506" s="3244"/>
      <c r="R506" s="3244">
        <f t="shared" si="93"/>
        <v>618759</v>
      </c>
      <c r="S506" s="3244"/>
      <c r="T506" s="3236"/>
      <c r="U506" s="3236"/>
      <c r="V506" s="3236"/>
      <c r="W506" s="3236"/>
      <c r="X506" s="3244">
        <f t="shared" si="94"/>
        <v>618759</v>
      </c>
      <c r="Y506" s="3244">
        <f t="shared" si="95"/>
        <v>1420000</v>
      </c>
      <c r="Z506" s="3285">
        <f t="shared" si="96"/>
        <v>0.30349786316087385</v>
      </c>
      <c r="AA506" s="3226" t="s">
        <v>3319</v>
      </c>
      <c r="AB506" s="3226" t="s">
        <v>4587</v>
      </c>
      <c r="AC506" s="3226" t="s">
        <v>4698</v>
      </c>
      <c r="AD506" s="3286" t="s">
        <v>4773</v>
      </c>
      <c r="AE506" s="3286" t="s">
        <v>4774</v>
      </c>
      <c r="AF506" s="3286"/>
      <c r="AG506" s="3323"/>
      <c r="AH506" s="3255"/>
      <c r="AI506" s="3255"/>
      <c r="AJ506" s="3255"/>
      <c r="AK506" s="3287"/>
      <c r="AL506" s="3288"/>
      <c r="AM506" s="3226"/>
      <c r="AN506" s="3289"/>
      <c r="AO506" s="3300"/>
      <c r="AP506" s="3300"/>
      <c r="AQ506" s="3300"/>
      <c r="AR506" s="3292"/>
      <c r="AS506" s="3292"/>
      <c r="AT506" s="3292"/>
      <c r="AU506" s="3293"/>
      <c r="AV506" s="3293"/>
      <c r="AW506" s="3294"/>
      <c r="AX506" s="3236"/>
      <c r="AY506" s="3244"/>
      <c r="AZ506" s="3325" t="s">
        <v>4441</v>
      </c>
      <c r="BA506" s="3296" t="str">
        <f t="shared" si="99"/>
        <v>签约</v>
      </c>
      <c r="BB506" s="3226"/>
      <c r="BC506" s="3226"/>
      <c r="BD506" s="3292"/>
      <c r="BE506" s="3297">
        <v>0</v>
      </c>
    </row>
    <row r="507" spans="1:57" s="3261" customFormat="1" ht="20.25" customHeight="1">
      <c r="A507" s="3226">
        <v>505</v>
      </c>
      <c r="B507" s="3250" t="s">
        <v>4061</v>
      </c>
      <c r="C507" s="3227" t="s">
        <v>920</v>
      </c>
      <c r="D507" s="3251" t="s">
        <v>4062</v>
      </c>
      <c r="E507" s="3229">
        <v>44044</v>
      </c>
      <c r="F507" s="3230">
        <v>200000</v>
      </c>
      <c r="G507" s="3231">
        <v>134.97999999999999</v>
      </c>
      <c r="H507" s="3231" t="str">
        <f t="shared" si="90"/>
        <v>普通住宅</v>
      </c>
      <c r="I507" s="3230">
        <v>2066590</v>
      </c>
      <c r="J507" s="3229">
        <v>44047</v>
      </c>
      <c r="K507" s="3284">
        <f t="shared" si="91"/>
        <v>8</v>
      </c>
      <c r="L507" s="3230">
        <v>2066590</v>
      </c>
      <c r="M507" s="3235">
        <f t="shared" si="92"/>
        <v>15310.342272929323</v>
      </c>
      <c r="N507" s="3236">
        <v>466590</v>
      </c>
      <c r="O507" s="3244"/>
      <c r="P507" s="3244"/>
      <c r="Q507" s="3244"/>
      <c r="R507" s="3244">
        <f t="shared" si="93"/>
        <v>666590</v>
      </c>
      <c r="S507" s="3244"/>
      <c r="T507" s="3236"/>
      <c r="U507" s="3236"/>
      <c r="V507" s="3236"/>
      <c r="W507" s="3236"/>
      <c r="X507" s="3244">
        <f t="shared" si="94"/>
        <v>666590</v>
      </c>
      <c r="Y507" s="3244">
        <f t="shared" si="95"/>
        <v>1400000</v>
      </c>
      <c r="Z507" s="3285">
        <f t="shared" si="96"/>
        <v>0.32255551415617029</v>
      </c>
      <c r="AA507" s="3226" t="s">
        <v>3319</v>
      </c>
      <c r="AB507" s="3226" t="s">
        <v>4587</v>
      </c>
      <c r="AC507" s="3226" t="s">
        <v>4698</v>
      </c>
      <c r="AD507" s="3286" t="s">
        <v>4773</v>
      </c>
      <c r="AE507" s="3286" t="s">
        <v>4774</v>
      </c>
      <c r="AF507" s="3286"/>
      <c r="AG507" s="3323"/>
      <c r="AH507" s="3255"/>
      <c r="AI507" s="3255"/>
      <c r="AJ507" s="3255"/>
      <c r="AK507" s="3287"/>
      <c r="AL507" s="3288"/>
      <c r="AM507" s="3226"/>
      <c r="AN507" s="3289"/>
      <c r="AO507" s="3300"/>
      <c r="AP507" s="3300"/>
      <c r="AQ507" s="3300"/>
      <c r="AR507" s="3292"/>
      <c r="AS507" s="3292"/>
      <c r="AT507" s="3292"/>
      <c r="AU507" s="3293"/>
      <c r="AV507" s="3293"/>
      <c r="AW507" s="3294"/>
      <c r="AX507" s="3236"/>
      <c r="AY507" s="3244"/>
      <c r="AZ507" s="3325" t="s">
        <v>4735</v>
      </c>
      <c r="BA507" s="3296" t="str">
        <f t="shared" si="99"/>
        <v>签约</v>
      </c>
      <c r="BB507" s="3226"/>
      <c r="BC507" s="3226"/>
      <c r="BD507" s="3292"/>
      <c r="BE507" s="3297" t="s">
        <v>4696</v>
      </c>
    </row>
    <row r="508" spans="1:57" s="3261" customFormat="1" ht="20.25" customHeight="1">
      <c r="A508" s="3226">
        <v>506</v>
      </c>
      <c r="B508" s="3250" t="s">
        <v>4063</v>
      </c>
      <c r="C508" s="3227" t="s">
        <v>920</v>
      </c>
      <c r="D508" s="3251" t="s">
        <v>4064</v>
      </c>
      <c r="E508" s="3229">
        <v>44044</v>
      </c>
      <c r="F508" s="3230">
        <v>50000</v>
      </c>
      <c r="G508" s="3231">
        <v>134.97999999999999</v>
      </c>
      <c r="H508" s="3231" t="str">
        <f t="shared" si="90"/>
        <v>普通住宅</v>
      </c>
      <c r="I508" s="3230">
        <v>2094421</v>
      </c>
      <c r="J508" s="3229">
        <v>44046</v>
      </c>
      <c r="K508" s="3284">
        <f t="shared" si="91"/>
        <v>8</v>
      </c>
      <c r="L508" s="3230">
        <v>2094421</v>
      </c>
      <c r="M508" s="3235">
        <f t="shared" si="92"/>
        <v>15516.528374574013</v>
      </c>
      <c r="N508" s="3236">
        <v>374421</v>
      </c>
      <c r="O508" s="3244"/>
      <c r="P508" s="3244"/>
      <c r="Q508" s="3244"/>
      <c r="R508" s="3244">
        <f t="shared" si="93"/>
        <v>424421</v>
      </c>
      <c r="S508" s="3244"/>
      <c r="T508" s="3236"/>
      <c r="U508" s="3236"/>
      <c r="V508" s="3236"/>
      <c r="W508" s="3236"/>
      <c r="X508" s="3244">
        <f t="shared" si="94"/>
        <v>424421</v>
      </c>
      <c r="Y508" s="3244">
        <f t="shared" si="95"/>
        <v>1670000</v>
      </c>
      <c r="Z508" s="3285">
        <f t="shared" si="96"/>
        <v>0.20264359457816741</v>
      </c>
      <c r="AA508" s="3226" t="s">
        <v>3319</v>
      </c>
      <c r="AB508" s="3226" t="s">
        <v>4587</v>
      </c>
      <c r="AC508" s="3226" t="s">
        <v>4698</v>
      </c>
      <c r="AD508" s="3286" t="s">
        <v>4773</v>
      </c>
      <c r="AE508" s="3286" t="s">
        <v>4774</v>
      </c>
      <c r="AF508" s="3286"/>
      <c r="AG508" s="3323"/>
      <c r="AH508" s="3255"/>
      <c r="AI508" s="3255"/>
      <c r="AJ508" s="3255"/>
      <c r="AK508" s="3287"/>
      <c r="AL508" s="3288"/>
      <c r="AM508" s="3226"/>
      <c r="AN508" s="3289"/>
      <c r="AO508" s="3300"/>
      <c r="AP508" s="3300"/>
      <c r="AQ508" s="3300"/>
      <c r="AR508" s="3292"/>
      <c r="AS508" s="3292"/>
      <c r="AT508" s="3292"/>
      <c r="AU508" s="3293"/>
      <c r="AV508" s="3293"/>
      <c r="AW508" s="3294"/>
      <c r="AX508" s="3236"/>
      <c r="AY508" s="3244"/>
      <c r="AZ508" s="3325" t="s">
        <v>4507</v>
      </c>
      <c r="BA508" s="3296" t="str">
        <f t="shared" si="99"/>
        <v>签约</v>
      </c>
      <c r="BB508" s="3226"/>
      <c r="BC508" s="3226"/>
      <c r="BD508" s="3292"/>
      <c r="BE508" s="3297" t="s">
        <v>4367</v>
      </c>
    </row>
    <row r="509" spans="1:57" s="3261" customFormat="1" ht="20.25" customHeight="1">
      <c r="A509" s="3226">
        <v>507</v>
      </c>
      <c r="B509" s="3250" t="s">
        <v>4065</v>
      </c>
      <c r="C509" s="3227" t="s">
        <v>920</v>
      </c>
      <c r="D509" s="3251" t="s">
        <v>4066</v>
      </c>
      <c r="E509" s="3229">
        <v>44044</v>
      </c>
      <c r="F509" s="3230">
        <v>50000</v>
      </c>
      <c r="G509" s="3231">
        <v>134.97999999999999</v>
      </c>
      <c r="H509" s="3231" t="str">
        <f t="shared" si="90"/>
        <v>普通住宅</v>
      </c>
      <c r="I509" s="3230">
        <v>2122252</v>
      </c>
      <c r="J509" s="3229">
        <v>44047</v>
      </c>
      <c r="K509" s="3284">
        <f t="shared" si="91"/>
        <v>8</v>
      </c>
      <c r="L509" s="3230">
        <v>2122252</v>
      </c>
      <c r="M509" s="3235">
        <f t="shared" si="92"/>
        <v>15722.7144762187</v>
      </c>
      <c r="N509" s="3236">
        <v>592252</v>
      </c>
      <c r="O509" s="3244"/>
      <c r="P509" s="3244"/>
      <c r="Q509" s="3244"/>
      <c r="R509" s="3244">
        <f t="shared" si="93"/>
        <v>642252</v>
      </c>
      <c r="S509" s="3244"/>
      <c r="T509" s="3236"/>
      <c r="U509" s="3236"/>
      <c r="V509" s="3236"/>
      <c r="W509" s="3236"/>
      <c r="X509" s="3244">
        <f t="shared" si="94"/>
        <v>642252</v>
      </c>
      <c r="Y509" s="3244">
        <f t="shared" si="95"/>
        <v>1480000</v>
      </c>
      <c r="Z509" s="3285">
        <f t="shared" si="96"/>
        <v>0.30262758616790086</v>
      </c>
      <c r="AA509" s="3226" t="s">
        <v>3319</v>
      </c>
      <c r="AB509" s="3226" t="s">
        <v>4587</v>
      </c>
      <c r="AC509" s="3226" t="s">
        <v>4698</v>
      </c>
      <c r="AD509" s="3286" t="s">
        <v>4773</v>
      </c>
      <c r="AE509" s="3286" t="s">
        <v>4774</v>
      </c>
      <c r="AF509" s="3286"/>
      <c r="AG509" s="3323"/>
      <c r="AH509" s="3255"/>
      <c r="AI509" s="3255"/>
      <c r="AJ509" s="3255"/>
      <c r="AK509" s="3287"/>
      <c r="AL509" s="3288"/>
      <c r="AM509" s="3226"/>
      <c r="AN509" s="3289"/>
      <c r="AO509" s="3300"/>
      <c r="AP509" s="3300"/>
      <c r="AQ509" s="3300"/>
      <c r="AR509" s="3292"/>
      <c r="AS509" s="3292"/>
      <c r="AT509" s="3292"/>
      <c r="AU509" s="3293"/>
      <c r="AV509" s="3293"/>
      <c r="AW509" s="3294"/>
      <c r="AX509" s="3236"/>
      <c r="AY509" s="3244"/>
      <c r="AZ509" s="3325" t="s">
        <v>4445</v>
      </c>
      <c r="BA509" s="3296" t="str">
        <f t="shared" si="99"/>
        <v>签约</v>
      </c>
      <c r="BB509" s="3226"/>
      <c r="BC509" s="3226"/>
      <c r="BD509" s="3292"/>
      <c r="BE509" s="3297" t="s">
        <v>4449</v>
      </c>
    </row>
    <row r="510" spans="1:57" s="3261" customFormat="1" ht="20.25" customHeight="1">
      <c r="A510" s="3226">
        <v>508</v>
      </c>
      <c r="B510" s="3250" t="s">
        <v>4067</v>
      </c>
      <c r="C510" s="3227" t="s">
        <v>920</v>
      </c>
      <c r="D510" s="3251" t="s">
        <v>4068</v>
      </c>
      <c r="E510" s="3229">
        <v>44044</v>
      </c>
      <c r="F510" s="3230">
        <v>50000</v>
      </c>
      <c r="G510" s="3231">
        <v>134.97999999999999</v>
      </c>
      <c r="H510" s="3231" t="str">
        <f t="shared" si="90"/>
        <v>普通住宅</v>
      </c>
      <c r="I510" s="3230">
        <v>2150082</v>
      </c>
      <c r="J510" s="3229">
        <v>44048</v>
      </c>
      <c r="K510" s="3284">
        <f t="shared" si="91"/>
        <v>8</v>
      </c>
      <c r="L510" s="3230">
        <v>2150082</v>
      </c>
      <c r="M510" s="3235">
        <f t="shared" si="92"/>
        <v>15928.893169358425</v>
      </c>
      <c r="N510" s="3236">
        <v>750082</v>
      </c>
      <c r="O510" s="3244"/>
      <c r="P510" s="3244"/>
      <c r="Q510" s="3244"/>
      <c r="R510" s="3244">
        <f t="shared" si="93"/>
        <v>800082</v>
      </c>
      <c r="S510" s="3244"/>
      <c r="T510" s="3236"/>
      <c r="U510" s="3236"/>
      <c r="V510" s="3236"/>
      <c r="W510" s="3236"/>
      <c r="X510" s="3244">
        <f t="shared" si="94"/>
        <v>800082</v>
      </c>
      <c r="Y510" s="3244">
        <f t="shared" si="95"/>
        <v>1350000</v>
      </c>
      <c r="Z510" s="3285">
        <f t="shared" si="96"/>
        <v>0.3721169704225234</v>
      </c>
      <c r="AA510" s="3226" t="s">
        <v>3319</v>
      </c>
      <c r="AB510" s="3226" t="s">
        <v>4587</v>
      </c>
      <c r="AC510" s="3226" t="s">
        <v>4698</v>
      </c>
      <c r="AD510" s="3286" t="s">
        <v>4773</v>
      </c>
      <c r="AE510" s="3286" t="s">
        <v>4774</v>
      </c>
      <c r="AF510" s="3286"/>
      <c r="AG510" s="3323"/>
      <c r="AH510" s="3255"/>
      <c r="AI510" s="3255"/>
      <c r="AJ510" s="3255"/>
      <c r="AK510" s="3287"/>
      <c r="AL510" s="3288"/>
      <c r="AM510" s="3226"/>
      <c r="AN510" s="3289"/>
      <c r="AO510" s="3300"/>
      <c r="AP510" s="3300"/>
      <c r="AQ510" s="3300"/>
      <c r="AR510" s="3292"/>
      <c r="AS510" s="3292"/>
      <c r="AT510" s="3292"/>
      <c r="AU510" s="3293"/>
      <c r="AV510" s="3293"/>
      <c r="AW510" s="3294"/>
      <c r="AX510" s="3236"/>
      <c r="AY510" s="3244"/>
      <c r="AZ510" s="3325" t="s">
        <v>4900</v>
      </c>
      <c r="BA510" s="3296" t="str">
        <f t="shared" si="99"/>
        <v>签约</v>
      </c>
      <c r="BB510" s="3226"/>
      <c r="BC510" s="3226"/>
      <c r="BD510" s="3292"/>
      <c r="BE510" s="3297" t="s">
        <v>4367</v>
      </c>
    </row>
    <row r="511" spans="1:57" s="3261" customFormat="1" ht="20.25" customHeight="1">
      <c r="A511" s="3226">
        <v>509</v>
      </c>
      <c r="B511" s="3250" t="s">
        <v>4921</v>
      </c>
      <c r="C511" s="3227" t="s">
        <v>920</v>
      </c>
      <c r="D511" s="3251" t="s">
        <v>4922</v>
      </c>
      <c r="E511" s="3229">
        <v>44044</v>
      </c>
      <c r="F511" s="3230">
        <v>50000</v>
      </c>
      <c r="G511" s="3231">
        <v>134.97999999999999</v>
      </c>
      <c r="H511" s="3231" t="str">
        <f t="shared" si="90"/>
        <v>普通住宅</v>
      </c>
      <c r="I511" s="3230">
        <v>2177913</v>
      </c>
      <c r="J511" s="3229"/>
      <c r="K511" s="3284" t="str">
        <f t="shared" si="91"/>
        <v/>
      </c>
      <c r="L511" s="3230"/>
      <c r="M511" s="3235">
        <f t="shared" si="92"/>
        <v>0</v>
      </c>
      <c r="N511" s="3236"/>
      <c r="O511" s="3244"/>
      <c r="P511" s="3244"/>
      <c r="Q511" s="3244"/>
      <c r="R511" s="3244">
        <f t="shared" si="93"/>
        <v>50000</v>
      </c>
      <c r="S511" s="3244"/>
      <c r="T511" s="3236"/>
      <c r="U511" s="3236"/>
      <c r="V511" s="3236"/>
      <c r="W511" s="3236"/>
      <c r="X511" s="3244">
        <f t="shared" si="94"/>
        <v>50000</v>
      </c>
      <c r="Y511" s="3244">
        <f t="shared" si="95"/>
        <v>-50000</v>
      </c>
      <c r="Z511" s="3285" t="e">
        <f t="shared" si="96"/>
        <v>#DIV/0!</v>
      </c>
      <c r="AA511" s="3226"/>
      <c r="AB511" s="3226"/>
      <c r="AC511" s="3226"/>
      <c r="AD511" s="3286"/>
      <c r="AE511" s="3286"/>
      <c r="AF511" s="3286"/>
      <c r="AG511" s="3323"/>
      <c r="AH511" s="3255"/>
      <c r="AI511" s="3255"/>
      <c r="AJ511" s="3255"/>
      <c r="AK511" s="3287"/>
      <c r="AL511" s="3288"/>
      <c r="AM511" s="3226"/>
      <c r="AN511" s="3289"/>
      <c r="AO511" s="3300"/>
      <c r="AP511" s="3300"/>
      <c r="AQ511" s="3300"/>
      <c r="AR511" s="3292"/>
      <c r="AS511" s="3292"/>
      <c r="AT511" s="3292"/>
      <c r="AU511" s="3293"/>
      <c r="AV511" s="3293"/>
      <c r="AW511" s="3294"/>
      <c r="AX511" s="3236"/>
      <c r="AY511" s="3244"/>
      <c r="AZ511" s="3325"/>
      <c r="BA511" s="3296" t="str">
        <f t="shared" si="99"/>
        <v>认购</v>
      </c>
      <c r="BB511" s="3226"/>
      <c r="BC511" s="3226"/>
      <c r="BD511" s="3292"/>
      <c r="BE511" s="3297"/>
    </row>
    <row r="512" spans="1:57" s="3261" customFormat="1" ht="20.25" customHeight="1">
      <c r="A512" s="3226">
        <v>510</v>
      </c>
      <c r="B512" s="3250" t="s">
        <v>4069</v>
      </c>
      <c r="C512" s="3227" t="s">
        <v>920</v>
      </c>
      <c r="D512" s="3251" t="s">
        <v>4070</v>
      </c>
      <c r="E512" s="3229">
        <v>44044</v>
      </c>
      <c r="F512" s="3230">
        <v>50000</v>
      </c>
      <c r="G512" s="3231">
        <v>134.97999999999999</v>
      </c>
      <c r="H512" s="3231" t="str">
        <f t="shared" si="90"/>
        <v>普通住宅</v>
      </c>
      <c r="I512" s="3230">
        <v>2205744</v>
      </c>
      <c r="J512" s="3229">
        <v>44047</v>
      </c>
      <c r="K512" s="3284">
        <f t="shared" si="91"/>
        <v>8</v>
      </c>
      <c r="L512" s="3230">
        <v>2205744</v>
      </c>
      <c r="M512" s="3235">
        <f t="shared" si="92"/>
        <v>16341.2653726478</v>
      </c>
      <c r="N512" s="3236">
        <v>615744</v>
      </c>
      <c r="O512" s="3244"/>
      <c r="P512" s="3244"/>
      <c r="Q512" s="3244"/>
      <c r="R512" s="3244">
        <f t="shared" si="93"/>
        <v>665744</v>
      </c>
      <c r="S512" s="3244"/>
      <c r="T512" s="3236"/>
      <c r="U512" s="3236"/>
      <c r="V512" s="3236"/>
      <c r="W512" s="3236"/>
      <c r="X512" s="3244">
        <f t="shared" si="94"/>
        <v>665744</v>
      </c>
      <c r="Y512" s="3244">
        <f t="shared" si="95"/>
        <v>1540000</v>
      </c>
      <c r="Z512" s="3285">
        <f t="shared" si="96"/>
        <v>0.30182287699751192</v>
      </c>
      <c r="AA512" s="3226" t="s">
        <v>3319</v>
      </c>
      <c r="AB512" s="3226" t="s">
        <v>4587</v>
      </c>
      <c r="AC512" s="3226" t="s">
        <v>4698</v>
      </c>
      <c r="AD512" s="3286" t="s">
        <v>4773</v>
      </c>
      <c r="AE512" s="3286" t="s">
        <v>4774</v>
      </c>
      <c r="AF512" s="3286"/>
      <c r="AG512" s="3323"/>
      <c r="AH512" s="3255"/>
      <c r="AI512" s="3255"/>
      <c r="AJ512" s="3255"/>
      <c r="AK512" s="3287"/>
      <c r="AL512" s="3288"/>
      <c r="AM512" s="3226"/>
      <c r="AN512" s="3289"/>
      <c r="AO512" s="3300"/>
      <c r="AP512" s="3300"/>
      <c r="AQ512" s="3300"/>
      <c r="AR512" s="3292"/>
      <c r="AS512" s="3292"/>
      <c r="AT512" s="3292"/>
      <c r="AU512" s="3293"/>
      <c r="AV512" s="3293"/>
      <c r="AW512" s="3294"/>
      <c r="AX512" s="3236"/>
      <c r="AY512" s="3244"/>
      <c r="AZ512" s="3325" t="s">
        <v>4895</v>
      </c>
      <c r="BA512" s="3296" t="str">
        <f t="shared" si="99"/>
        <v>签约</v>
      </c>
      <c r="BB512" s="3226"/>
      <c r="BC512" s="3226"/>
      <c r="BD512" s="3292"/>
      <c r="BE512" s="3297" t="s">
        <v>4449</v>
      </c>
    </row>
    <row r="513" spans="1:57" s="3261" customFormat="1" ht="20.25" customHeight="1">
      <c r="A513" s="3226">
        <v>511</v>
      </c>
      <c r="B513" s="3250" t="s">
        <v>4071</v>
      </c>
      <c r="C513" s="3227" t="s">
        <v>920</v>
      </c>
      <c r="D513" s="3251" t="s">
        <v>4072</v>
      </c>
      <c r="E513" s="3229">
        <v>44044</v>
      </c>
      <c r="F513" s="3230">
        <v>50000</v>
      </c>
      <c r="G513" s="3231">
        <v>134.97999999999999</v>
      </c>
      <c r="H513" s="3231" t="str">
        <f t="shared" si="90"/>
        <v>普通住宅</v>
      </c>
      <c r="I513" s="3230">
        <v>2233575</v>
      </c>
      <c r="J513" s="3229">
        <v>44047</v>
      </c>
      <c r="K513" s="3284">
        <f t="shared" si="91"/>
        <v>8</v>
      </c>
      <c r="L513" s="3230">
        <v>2233575</v>
      </c>
      <c r="M513" s="3235">
        <f t="shared" si="92"/>
        <v>16547.451474292488</v>
      </c>
      <c r="N513" s="3236">
        <v>683575</v>
      </c>
      <c r="O513" s="3244"/>
      <c r="P513" s="3244"/>
      <c r="Q513" s="3244"/>
      <c r="R513" s="3244">
        <f t="shared" si="93"/>
        <v>733575</v>
      </c>
      <c r="S513" s="3244"/>
      <c r="T513" s="3236"/>
      <c r="U513" s="3236"/>
      <c r="V513" s="3236"/>
      <c r="W513" s="3236"/>
      <c r="X513" s="3244">
        <f t="shared" si="94"/>
        <v>733575</v>
      </c>
      <c r="Y513" s="3244">
        <f t="shared" si="95"/>
        <v>1500000</v>
      </c>
      <c r="Z513" s="3285">
        <f t="shared" si="96"/>
        <v>0.32843087874819515</v>
      </c>
      <c r="AA513" s="3226" t="s">
        <v>3319</v>
      </c>
      <c r="AB513" s="3226" t="s">
        <v>4587</v>
      </c>
      <c r="AC513" s="3226" t="s">
        <v>4698</v>
      </c>
      <c r="AD513" s="3286" t="s">
        <v>4773</v>
      </c>
      <c r="AE513" s="3286" t="s">
        <v>4774</v>
      </c>
      <c r="AF513" s="3286"/>
      <c r="AG513" s="3323"/>
      <c r="AH513" s="3255"/>
      <c r="AI513" s="3255"/>
      <c r="AJ513" s="3255"/>
      <c r="AK513" s="3287"/>
      <c r="AL513" s="3288"/>
      <c r="AM513" s="3226"/>
      <c r="AN513" s="3289"/>
      <c r="AO513" s="3300"/>
      <c r="AP513" s="3300"/>
      <c r="AQ513" s="3300"/>
      <c r="AR513" s="3292"/>
      <c r="AS513" s="3292"/>
      <c r="AT513" s="3292"/>
      <c r="AU513" s="3293"/>
      <c r="AV513" s="3293"/>
      <c r="AW513" s="3294"/>
      <c r="AX513" s="3236"/>
      <c r="AY513" s="3244"/>
      <c r="AZ513" s="3325" t="s">
        <v>4735</v>
      </c>
      <c r="BA513" s="3296" t="str">
        <f t="shared" si="99"/>
        <v>签约</v>
      </c>
      <c r="BB513" s="3226"/>
      <c r="BC513" s="3226"/>
      <c r="BD513" s="3292"/>
      <c r="BE513" s="3297" t="s">
        <v>4449</v>
      </c>
    </row>
    <row r="514" spans="1:57" s="3261" customFormat="1" ht="20.25" customHeight="1">
      <c r="A514" s="3226">
        <v>512</v>
      </c>
      <c r="B514" s="3250" t="s">
        <v>4073</v>
      </c>
      <c r="C514" s="3227" t="s">
        <v>920</v>
      </c>
      <c r="D514" s="3251" t="s">
        <v>4074</v>
      </c>
      <c r="E514" s="3229">
        <v>44044</v>
      </c>
      <c r="F514" s="3230">
        <v>50000</v>
      </c>
      <c r="G514" s="3231">
        <v>134.97999999999999</v>
      </c>
      <c r="H514" s="3231" t="str">
        <f t="shared" si="90"/>
        <v>普通住宅</v>
      </c>
      <c r="I514" s="3230">
        <v>2261406</v>
      </c>
      <c r="J514" s="3229">
        <v>44048</v>
      </c>
      <c r="K514" s="3284">
        <f t="shared" si="91"/>
        <v>8</v>
      </c>
      <c r="L514" s="3230">
        <v>2261406</v>
      </c>
      <c r="M514" s="3235">
        <f t="shared" si="92"/>
        <v>16753.637575937177</v>
      </c>
      <c r="N514" s="3236">
        <v>1011406</v>
      </c>
      <c r="O514" s="3244"/>
      <c r="P514" s="3244"/>
      <c r="Q514" s="3244"/>
      <c r="R514" s="3244">
        <f t="shared" si="93"/>
        <v>1061406</v>
      </c>
      <c r="S514" s="3244"/>
      <c r="T514" s="3236"/>
      <c r="U514" s="3236"/>
      <c r="V514" s="3236"/>
      <c r="W514" s="3236"/>
      <c r="X514" s="3244">
        <f t="shared" si="94"/>
        <v>1061406</v>
      </c>
      <c r="Y514" s="3244">
        <f t="shared" si="95"/>
        <v>1200000</v>
      </c>
      <c r="Z514" s="3285">
        <f t="shared" si="96"/>
        <v>0.46935667456440816</v>
      </c>
      <c r="AA514" s="3226" t="s">
        <v>3319</v>
      </c>
      <c r="AB514" s="3226" t="s">
        <v>4587</v>
      </c>
      <c r="AC514" s="3226" t="s">
        <v>4698</v>
      </c>
      <c r="AD514" s="3286" t="s">
        <v>4773</v>
      </c>
      <c r="AE514" s="3286" t="s">
        <v>4774</v>
      </c>
      <c r="AF514" s="3286"/>
      <c r="AG514" s="3323"/>
      <c r="AH514" s="3255"/>
      <c r="AI514" s="3255"/>
      <c r="AJ514" s="3255"/>
      <c r="AK514" s="3287"/>
      <c r="AL514" s="3288"/>
      <c r="AM514" s="3226"/>
      <c r="AN514" s="3289"/>
      <c r="AO514" s="3300"/>
      <c r="AP514" s="3300"/>
      <c r="AQ514" s="3300"/>
      <c r="AR514" s="3292"/>
      <c r="AS514" s="3292"/>
      <c r="AT514" s="3292"/>
      <c r="AU514" s="3293"/>
      <c r="AV514" s="3293"/>
      <c r="AW514" s="3294"/>
      <c r="AX514" s="3236"/>
      <c r="AY514" s="3244"/>
      <c r="AZ514" s="3325" t="s">
        <v>4886</v>
      </c>
      <c r="BA514" s="3296" t="str">
        <f t="shared" si="99"/>
        <v>签约</v>
      </c>
      <c r="BB514" s="3226"/>
      <c r="BC514" s="3226"/>
      <c r="BD514" s="3292"/>
      <c r="BE514" s="3297" t="s">
        <v>4465</v>
      </c>
    </row>
    <row r="515" spans="1:57" s="3261" customFormat="1" ht="20.25" customHeight="1">
      <c r="A515" s="3226">
        <v>513</v>
      </c>
      <c r="B515" s="3250" t="s">
        <v>4075</v>
      </c>
      <c r="C515" s="3227" t="s">
        <v>920</v>
      </c>
      <c r="D515" s="3251" t="s">
        <v>4076</v>
      </c>
      <c r="E515" s="3229">
        <v>44044</v>
      </c>
      <c r="F515" s="3230">
        <v>50000</v>
      </c>
      <c r="G515" s="3231">
        <v>134.97999999999999</v>
      </c>
      <c r="H515" s="3231" t="str">
        <f t="shared" si="90"/>
        <v>普通住宅</v>
      </c>
      <c r="I515" s="3230">
        <v>2136167</v>
      </c>
      <c r="J515" s="3229">
        <v>44047</v>
      </c>
      <c r="K515" s="3284">
        <f t="shared" si="91"/>
        <v>8</v>
      </c>
      <c r="L515" s="3230">
        <v>2136167</v>
      </c>
      <c r="M515" s="3235">
        <f t="shared" si="92"/>
        <v>15825.803822788563</v>
      </c>
      <c r="N515" s="3236">
        <v>966167</v>
      </c>
      <c r="O515" s="3244"/>
      <c r="P515" s="3244"/>
      <c r="Q515" s="3244"/>
      <c r="R515" s="3244">
        <f t="shared" si="93"/>
        <v>1016167</v>
      </c>
      <c r="S515" s="3244"/>
      <c r="T515" s="3236"/>
      <c r="U515" s="3236"/>
      <c r="V515" s="3236"/>
      <c r="W515" s="3236"/>
      <c r="X515" s="3244">
        <f t="shared" si="94"/>
        <v>1016167</v>
      </c>
      <c r="Y515" s="3244">
        <f t="shared" si="95"/>
        <v>1120000</v>
      </c>
      <c r="Z515" s="3285">
        <f t="shared" si="96"/>
        <v>0.47569642261115352</v>
      </c>
      <c r="AA515" s="3226" t="s">
        <v>3319</v>
      </c>
      <c r="AB515" s="3226" t="s">
        <v>4587</v>
      </c>
      <c r="AC515" s="3226" t="s">
        <v>4698</v>
      </c>
      <c r="AD515" s="3286" t="s">
        <v>4773</v>
      </c>
      <c r="AE515" s="3286" t="s">
        <v>4774</v>
      </c>
      <c r="AF515" s="3286"/>
      <c r="AG515" s="3323"/>
      <c r="AH515" s="3255"/>
      <c r="AI515" s="3255"/>
      <c r="AJ515" s="3255"/>
      <c r="AK515" s="3287"/>
      <c r="AL515" s="3288"/>
      <c r="AM515" s="3226"/>
      <c r="AN515" s="3289"/>
      <c r="AO515" s="3300"/>
      <c r="AP515" s="3300"/>
      <c r="AQ515" s="3300"/>
      <c r="AR515" s="3292"/>
      <c r="AS515" s="3292"/>
      <c r="AT515" s="3292"/>
      <c r="AU515" s="3293"/>
      <c r="AV515" s="3293"/>
      <c r="AW515" s="3294"/>
      <c r="AX515" s="3236"/>
      <c r="AY515" s="3244"/>
      <c r="AZ515" s="3325" t="s">
        <v>4895</v>
      </c>
      <c r="BA515" s="3296" t="str">
        <f t="shared" si="99"/>
        <v>签约</v>
      </c>
      <c r="BB515" s="3226"/>
      <c r="BC515" s="3226"/>
      <c r="BD515" s="3292"/>
      <c r="BE515" s="3297" t="s">
        <v>4367</v>
      </c>
    </row>
    <row r="516" spans="1:57" s="3261" customFormat="1" ht="20.25" customHeight="1">
      <c r="A516" s="3226">
        <v>514</v>
      </c>
      <c r="B516" s="3250" t="s">
        <v>4077</v>
      </c>
      <c r="C516" s="3227" t="s">
        <v>920</v>
      </c>
      <c r="D516" s="3251" t="s">
        <v>4078</v>
      </c>
      <c r="E516" s="3229">
        <v>44044</v>
      </c>
      <c r="F516" s="3230">
        <v>50000</v>
      </c>
      <c r="G516" s="3231">
        <v>134.97999999999999</v>
      </c>
      <c r="H516" s="3231" t="str">
        <f t="shared" ref="H516:H557" si="100">IF(G516&lt;144,"普通住宅","非普通住宅")</f>
        <v>普通住宅</v>
      </c>
      <c r="I516" s="3230">
        <v>2033497</v>
      </c>
      <c r="J516" s="3229">
        <v>44046</v>
      </c>
      <c r="K516" s="3284">
        <f t="shared" ref="K516:K557" si="101">IF(ISBLANK(J516),"",MONTH(J516))</f>
        <v>8</v>
      </c>
      <c r="L516" s="3230">
        <v>2033497</v>
      </c>
      <c r="M516" s="3235">
        <f t="shared" ref="M516:M557" si="102">L516/G516</f>
        <v>15065.172618165656</v>
      </c>
      <c r="N516" s="3236">
        <v>583497</v>
      </c>
      <c r="O516" s="3244"/>
      <c r="P516" s="3244"/>
      <c r="Q516" s="3244"/>
      <c r="R516" s="3244">
        <f t="shared" ref="R516:R557" si="103">F516+N516</f>
        <v>633497</v>
      </c>
      <c r="S516" s="3244"/>
      <c r="T516" s="3236"/>
      <c r="U516" s="3236"/>
      <c r="V516" s="3236"/>
      <c r="W516" s="3236"/>
      <c r="X516" s="3244">
        <f t="shared" ref="X516:X557" si="104">R516+V516+W516</f>
        <v>633497</v>
      </c>
      <c r="Y516" s="3244">
        <f t="shared" ref="Y516:Y557" si="105">L516-X516</f>
        <v>1400000</v>
      </c>
      <c r="Z516" s="3285">
        <f t="shared" ref="Z516:Z557" si="106">X516/L516</f>
        <v>0.3115308259613857</v>
      </c>
      <c r="AA516" s="3226" t="s">
        <v>3319</v>
      </c>
      <c r="AB516" s="3226" t="s">
        <v>4587</v>
      </c>
      <c r="AC516" s="3226" t="s">
        <v>4698</v>
      </c>
      <c r="AD516" s="3286" t="s">
        <v>4773</v>
      </c>
      <c r="AE516" s="3286" t="s">
        <v>4774</v>
      </c>
      <c r="AF516" s="3286"/>
      <c r="AG516" s="3323"/>
      <c r="AH516" s="3255"/>
      <c r="AI516" s="3255"/>
      <c r="AJ516" s="3255"/>
      <c r="AK516" s="3287"/>
      <c r="AL516" s="3288"/>
      <c r="AM516" s="3226"/>
      <c r="AN516" s="3289"/>
      <c r="AO516" s="3300"/>
      <c r="AP516" s="3300"/>
      <c r="AQ516" s="3300"/>
      <c r="AR516" s="3292"/>
      <c r="AS516" s="3292"/>
      <c r="AT516" s="3292"/>
      <c r="AU516" s="3293"/>
      <c r="AV516" s="3293"/>
      <c r="AW516" s="3294"/>
      <c r="AX516" s="3236"/>
      <c r="AY516" s="3244"/>
      <c r="AZ516" s="3325" t="s">
        <v>4894</v>
      </c>
      <c r="BA516" s="3296" t="str">
        <f t="shared" ref="BA516:BA557" si="107">IF(E516=0,"未售",IF(J516&gt;0,"签约","认购"))</f>
        <v>签约</v>
      </c>
      <c r="BB516" s="3226"/>
      <c r="BC516" s="3226"/>
      <c r="BD516" s="3292"/>
      <c r="BE516" s="3297" t="s">
        <v>4449</v>
      </c>
    </row>
    <row r="517" spans="1:57" s="3261" customFormat="1" ht="20.25" customHeight="1">
      <c r="A517" s="3226">
        <v>515</v>
      </c>
      <c r="B517" s="3250" t="s">
        <v>4923</v>
      </c>
      <c r="C517" s="3227" t="s">
        <v>920</v>
      </c>
      <c r="D517" s="3251" t="s">
        <v>4924</v>
      </c>
      <c r="E517" s="3229">
        <v>44044</v>
      </c>
      <c r="F517" s="3230">
        <v>50000</v>
      </c>
      <c r="G517" s="3231">
        <v>134.97999999999999</v>
      </c>
      <c r="H517" s="3231" t="str">
        <f t="shared" si="100"/>
        <v>普通住宅</v>
      </c>
      <c r="I517" s="3230">
        <v>2061328</v>
      </c>
      <c r="J517" s="3229"/>
      <c r="K517" s="3284"/>
      <c r="L517" s="3230"/>
      <c r="M517" s="3235">
        <f t="shared" si="102"/>
        <v>0</v>
      </c>
      <c r="N517" s="3236">
        <v>200000</v>
      </c>
      <c r="O517" s="3244"/>
      <c r="P517" s="3244"/>
      <c r="Q517" s="3244"/>
      <c r="R517" s="3244">
        <f t="shared" si="103"/>
        <v>250000</v>
      </c>
      <c r="S517" s="3244"/>
      <c r="T517" s="3236"/>
      <c r="U517" s="3236"/>
      <c r="V517" s="3236"/>
      <c r="W517" s="3236"/>
      <c r="X517" s="3244">
        <f t="shared" si="104"/>
        <v>250000</v>
      </c>
      <c r="Y517" s="3244">
        <f t="shared" si="105"/>
        <v>-250000</v>
      </c>
      <c r="Z517" s="3285" t="e">
        <f t="shared" si="106"/>
        <v>#DIV/0!</v>
      </c>
      <c r="AA517" s="3226"/>
      <c r="AB517" s="3226"/>
      <c r="AC517" s="3226"/>
      <c r="AD517" s="3286"/>
      <c r="AE517" s="3286"/>
      <c r="AF517" s="3286"/>
      <c r="AG517" s="3323"/>
      <c r="AH517" s="3255"/>
      <c r="AI517" s="3255"/>
      <c r="AJ517" s="3255"/>
      <c r="AK517" s="3287"/>
      <c r="AL517" s="3288"/>
      <c r="AM517" s="3226"/>
      <c r="AN517" s="3289"/>
      <c r="AO517" s="3300"/>
      <c r="AP517" s="3300"/>
      <c r="AQ517" s="3300"/>
      <c r="AR517" s="3292"/>
      <c r="AS517" s="3292"/>
      <c r="AT517" s="3292"/>
      <c r="AU517" s="3293"/>
      <c r="AV517" s="3293"/>
      <c r="AW517" s="3294"/>
      <c r="AX517" s="3236"/>
      <c r="AY517" s="3244"/>
      <c r="AZ517" s="3325"/>
      <c r="BA517" s="3296" t="str">
        <f t="shared" si="107"/>
        <v>认购</v>
      </c>
      <c r="BB517" s="3226"/>
      <c r="BC517" s="3226"/>
      <c r="BD517" s="3292"/>
      <c r="BE517" s="3297"/>
    </row>
    <row r="518" spans="1:57" s="3261" customFormat="1" ht="20.25" customHeight="1">
      <c r="A518" s="3226">
        <v>516</v>
      </c>
      <c r="B518" s="3250" t="s">
        <v>4079</v>
      </c>
      <c r="C518" s="3227" t="s">
        <v>920</v>
      </c>
      <c r="D518" s="3251" t="s">
        <v>4080</v>
      </c>
      <c r="E518" s="3229">
        <v>44044</v>
      </c>
      <c r="F518" s="3230">
        <v>50000</v>
      </c>
      <c r="G518" s="3231">
        <v>134.97999999999999</v>
      </c>
      <c r="H518" s="3231" t="str">
        <f t="shared" si="100"/>
        <v>普通住宅</v>
      </c>
      <c r="I518" s="3230">
        <v>2089159</v>
      </c>
      <c r="J518" s="3229">
        <v>44047</v>
      </c>
      <c r="K518" s="3284">
        <f t="shared" si="101"/>
        <v>8</v>
      </c>
      <c r="L518" s="3230">
        <v>2089159</v>
      </c>
      <c r="M518" s="3235">
        <f t="shared" si="102"/>
        <v>15477.544821455032</v>
      </c>
      <c r="N518" s="3236">
        <v>579159</v>
      </c>
      <c r="O518" s="3244"/>
      <c r="P518" s="3244"/>
      <c r="Q518" s="3244"/>
      <c r="R518" s="3244">
        <f t="shared" si="103"/>
        <v>629159</v>
      </c>
      <c r="S518" s="3244"/>
      <c r="T518" s="3236"/>
      <c r="U518" s="3236"/>
      <c r="V518" s="3236"/>
      <c r="W518" s="3236"/>
      <c r="X518" s="3244">
        <f t="shared" si="104"/>
        <v>629159</v>
      </c>
      <c r="Y518" s="3244">
        <f t="shared" si="105"/>
        <v>1460000</v>
      </c>
      <c r="Z518" s="3285">
        <f t="shared" si="106"/>
        <v>0.30115419649725078</v>
      </c>
      <c r="AA518" s="3226" t="s">
        <v>3319</v>
      </c>
      <c r="AB518" s="3226" t="s">
        <v>4587</v>
      </c>
      <c r="AC518" s="3226" t="s">
        <v>4698</v>
      </c>
      <c r="AD518" s="3286" t="s">
        <v>4773</v>
      </c>
      <c r="AE518" s="3286" t="s">
        <v>4774</v>
      </c>
      <c r="AF518" s="3286"/>
      <c r="AG518" s="3323"/>
      <c r="AH518" s="3255"/>
      <c r="AI518" s="3255"/>
      <c r="AJ518" s="3255"/>
      <c r="AK518" s="3287"/>
      <c r="AL518" s="3288"/>
      <c r="AM518" s="3226"/>
      <c r="AN518" s="3289"/>
      <c r="AO518" s="3300"/>
      <c r="AP518" s="3300"/>
      <c r="AQ518" s="3300"/>
      <c r="AR518" s="3292"/>
      <c r="AS518" s="3292"/>
      <c r="AT518" s="3292"/>
      <c r="AU518" s="3293"/>
      <c r="AV518" s="3293"/>
      <c r="AW518" s="3294"/>
      <c r="AX518" s="3236"/>
      <c r="AY518" s="3244"/>
      <c r="AZ518" s="3325" t="s">
        <v>4445</v>
      </c>
      <c r="BA518" s="3296" t="str">
        <f t="shared" si="107"/>
        <v>签约</v>
      </c>
      <c r="BB518" s="3226"/>
      <c r="BC518" s="3226"/>
      <c r="BD518" s="3292"/>
      <c r="BE518" s="3297" t="s">
        <v>4465</v>
      </c>
    </row>
    <row r="519" spans="1:57" s="3261" customFormat="1" ht="20.25" customHeight="1">
      <c r="A519" s="3226">
        <v>517</v>
      </c>
      <c r="B519" s="3250" t="s">
        <v>4925</v>
      </c>
      <c r="C519" s="3227" t="s">
        <v>920</v>
      </c>
      <c r="D519" s="3251"/>
      <c r="E519" s="3229"/>
      <c r="F519" s="3230"/>
      <c r="G519" s="3231">
        <v>134.97999999999999</v>
      </c>
      <c r="H519" s="3231" t="str">
        <f t="shared" si="100"/>
        <v>普通住宅</v>
      </c>
      <c r="I519" s="3230">
        <v>2116990</v>
      </c>
      <c r="J519" s="3229"/>
      <c r="K519" s="3284" t="str">
        <f t="shared" si="101"/>
        <v/>
      </c>
      <c r="L519" s="3230"/>
      <c r="M519" s="3235">
        <f t="shared" si="102"/>
        <v>0</v>
      </c>
      <c r="N519" s="3236"/>
      <c r="O519" s="3244"/>
      <c r="P519" s="3244"/>
      <c r="Q519" s="3244"/>
      <c r="R519" s="3244">
        <f t="shared" si="103"/>
        <v>0</v>
      </c>
      <c r="S519" s="3244"/>
      <c r="T519" s="3236"/>
      <c r="U519" s="3236"/>
      <c r="V519" s="3236"/>
      <c r="W519" s="3236"/>
      <c r="X519" s="3244">
        <f t="shared" si="104"/>
        <v>0</v>
      </c>
      <c r="Y519" s="3244">
        <f t="shared" si="105"/>
        <v>0</v>
      </c>
      <c r="Z519" s="3285" t="e">
        <f t="shared" si="106"/>
        <v>#DIV/0!</v>
      </c>
      <c r="AA519" s="3226"/>
      <c r="AB519" s="3226"/>
      <c r="AC519" s="3226"/>
      <c r="AD519" s="3286"/>
      <c r="AE519" s="3286"/>
      <c r="AF519" s="3286"/>
      <c r="AG519" s="3323"/>
      <c r="AH519" s="3255"/>
      <c r="AI519" s="3255"/>
      <c r="AJ519" s="3255"/>
      <c r="AK519" s="3287"/>
      <c r="AL519" s="3288"/>
      <c r="AM519" s="3226"/>
      <c r="AN519" s="3289"/>
      <c r="AO519" s="3300"/>
      <c r="AP519" s="3300"/>
      <c r="AQ519" s="3300"/>
      <c r="AR519" s="3292"/>
      <c r="AS519" s="3292"/>
      <c r="AT519" s="3292"/>
      <c r="AU519" s="3293"/>
      <c r="AV519" s="3293"/>
      <c r="AW519" s="3294"/>
      <c r="AX519" s="3236"/>
      <c r="AY519" s="3244"/>
      <c r="AZ519" s="3325"/>
      <c r="BA519" s="3296" t="str">
        <f t="shared" si="107"/>
        <v>未售</v>
      </c>
      <c r="BB519" s="3226"/>
      <c r="BC519" s="3226"/>
      <c r="BD519" s="3292"/>
      <c r="BE519" s="3297"/>
    </row>
    <row r="520" spans="1:57" s="3261" customFormat="1" ht="20.25" customHeight="1">
      <c r="A520" s="3226">
        <v>518</v>
      </c>
      <c r="B520" s="3250" t="s">
        <v>4081</v>
      </c>
      <c r="C520" s="3227" t="s">
        <v>920</v>
      </c>
      <c r="D520" s="3251" t="s">
        <v>4082</v>
      </c>
      <c r="E520" s="3229">
        <v>44044</v>
      </c>
      <c r="F520" s="3230">
        <v>50000</v>
      </c>
      <c r="G520" s="3231">
        <v>134.97999999999999</v>
      </c>
      <c r="H520" s="3231" t="str">
        <f t="shared" si="100"/>
        <v>普通住宅</v>
      </c>
      <c r="I520" s="3230">
        <v>2144821</v>
      </c>
      <c r="J520" s="3229">
        <v>44047</v>
      </c>
      <c r="K520" s="3284">
        <f t="shared" si="101"/>
        <v>8</v>
      </c>
      <c r="L520" s="3230">
        <v>2144821</v>
      </c>
      <c r="M520" s="3235">
        <f t="shared" si="102"/>
        <v>15889.917024744407</v>
      </c>
      <c r="N520" s="3236">
        <v>594821</v>
      </c>
      <c r="O520" s="3244"/>
      <c r="P520" s="3244"/>
      <c r="Q520" s="3244"/>
      <c r="R520" s="3244">
        <f t="shared" si="103"/>
        <v>644821</v>
      </c>
      <c r="S520" s="3244"/>
      <c r="T520" s="3236"/>
      <c r="U520" s="3236"/>
      <c r="V520" s="3236"/>
      <c r="W520" s="3236"/>
      <c r="X520" s="3244">
        <f t="shared" si="104"/>
        <v>644821</v>
      </c>
      <c r="Y520" s="3244">
        <f t="shared" si="105"/>
        <v>1500000</v>
      </c>
      <c r="Z520" s="3285">
        <f t="shared" si="106"/>
        <v>0.30064093926719293</v>
      </c>
      <c r="AA520" s="3226" t="s">
        <v>3319</v>
      </c>
      <c r="AB520" s="3226" t="s">
        <v>4587</v>
      </c>
      <c r="AC520" s="3226" t="s">
        <v>4698</v>
      </c>
      <c r="AD520" s="3286" t="s">
        <v>4773</v>
      </c>
      <c r="AE520" s="3286" t="s">
        <v>4774</v>
      </c>
      <c r="AF520" s="3286"/>
      <c r="AG520" s="3323"/>
      <c r="AH520" s="3255"/>
      <c r="AI520" s="3255"/>
      <c r="AJ520" s="3255"/>
      <c r="AK520" s="3287"/>
      <c r="AL520" s="3288"/>
      <c r="AM520" s="3226"/>
      <c r="AN520" s="3289"/>
      <c r="AO520" s="3300"/>
      <c r="AP520" s="3300"/>
      <c r="AQ520" s="3300"/>
      <c r="AR520" s="3292"/>
      <c r="AS520" s="3292"/>
      <c r="AT520" s="3292"/>
      <c r="AU520" s="3293"/>
      <c r="AV520" s="3293"/>
      <c r="AW520" s="3294"/>
      <c r="AX520" s="3236"/>
      <c r="AY520" s="3244"/>
      <c r="AZ520" s="3325" t="s">
        <v>4882</v>
      </c>
      <c r="BA520" s="3296" t="str">
        <f t="shared" si="107"/>
        <v>签约</v>
      </c>
      <c r="BB520" s="3226"/>
      <c r="BC520" s="3226"/>
      <c r="BD520" s="3292"/>
      <c r="BE520" s="3297" t="s">
        <v>4465</v>
      </c>
    </row>
    <row r="521" spans="1:57" s="3261" customFormat="1" ht="20.25" customHeight="1">
      <c r="A521" s="3226">
        <v>519</v>
      </c>
      <c r="B521" s="3250" t="s">
        <v>4926</v>
      </c>
      <c r="C521" s="3227" t="s">
        <v>920</v>
      </c>
      <c r="D521" s="3251" t="s">
        <v>4927</v>
      </c>
      <c r="E521" s="3229">
        <v>44044</v>
      </c>
      <c r="F521" s="3230">
        <v>50000</v>
      </c>
      <c r="G521" s="3231">
        <v>134.97999999999999</v>
      </c>
      <c r="H521" s="3231" t="str">
        <f t="shared" si="100"/>
        <v>普通住宅</v>
      </c>
      <c r="I521" s="3230">
        <v>2172652</v>
      </c>
      <c r="J521" s="3229"/>
      <c r="K521" s="3284" t="str">
        <f t="shared" si="101"/>
        <v/>
      </c>
      <c r="L521" s="3230"/>
      <c r="M521" s="3235">
        <f t="shared" si="102"/>
        <v>0</v>
      </c>
      <c r="N521" s="3236"/>
      <c r="O521" s="3244"/>
      <c r="P521" s="3244"/>
      <c r="Q521" s="3244"/>
      <c r="R521" s="3244">
        <f t="shared" si="103"/>
        <v>50000</v>
      </c>
      <c r="S521" s="3244"/>
      <c r="T521" s="3236"/>
      <c r="U521" s="3236"/>
      <c r="V521" s="3236"/>
      <c r="W521" s="3236"/>
      <c r="X521" s="3244">
        <f t="shared" si="104"/>
        <v>50000</v>
      </c>
      <c r="Y521" s="3244">
        <f t="shared" si="105"/>
        <v>-50000</v>
      </c>
      <c r="Z521" s="3285" t="e">
        <f t="shared" si="106"/>
        <v>#DIV/0!</v>
      </c>
      <c r="AA521" s="3226"/>
      <c r="AB521" s="3226"/>
      <c r="AC521" s="3226"/>
      <c r="AD521" s="3286"/>
      <c r="AE521" s="3286"/>
      <c r="AF521" s="3286"/>
      <c r="AG521" s="3323"/>
      <c r="AH521" s="3255"/>
      <c r="AI521" s="3255"/>
      <c r="AJ521" s="3255"/>
      <c r="AK521" s="3287"/>
      <c r="AL521" s="3288"/>
      <c r="AM521" s="3226"/>
      <c r="AN521" s="3289"/>
      <c r="AO521" s="3300"/>
      <c r="AP521" s="3300"/>
      <c r="AQ521" s="3300"/>
      <c r="AR521" s="3292"/>
      <c r="AS521" s="3292"/>
      <c r="AT521" s="3292"/>
      <c r="AU521" s="3293"/>
      <c r="AV521" s="3293"/>
      <c r="AW521" s="3294"/>
      <c r="AX521" s="3236"/>
      <c r="AY521" s="3244"/>
      <c r="AZ521" s="3325"/>
      <c r="BA521" s="3296" t="str">
        <f t="shared" si="107"/>
        <v>认购</v>
      </c>
      <c r="BB521" s="3226"/>
      <c r="BC521" s="3226"/>
      <c r="BD521" s="3292"/>
      <c r="BE521" s="3297"/>
    </row>
    <row r="522" spans="1:57" s="3261" customFormat="1" ht="20.25" customHeight="1">
      <c r="A522" s="3226">
        <v>520</v>
      </c>
      <c r="B522" s="3250" t="s">
        <v>4083</v>
      </c>
      <c r="C522" s="3227" t="s">
        <v>920</v>
      </c>
      <c r="D522" s="3251" t="s">
        <v>4084</v>
      </c>
      <c r="E522" s="3229">
        <v>44044</v>
      </c>
      <c r="F522" s="3230">
        <v>50000</v>
      </c>
      <c r="G522" s="3231">
        <v>134.97999999999999</v>
      </c>
      <c r="H522" s="3231" t="str">
        <f t="shared" si="100"/>
        <v>普通住宅</v>
      </c>
      <c r="I522" s="3230">
        <v>2200482</v>
      </c>
      <c r="J522" s="3229">
        <v>44047</v>
      </c>
      <c r="K522" s="3284">
        <f t="shared" si="101"/>
        <v>8</v>
      </c>
      <c r="L522" s="3230">
        <v>2200482</v>
      </c>
      <c r="M522" s="3235">
        <f t="shared" si="102"/>
        <v>16302.28181952882</v>
      </c>
      <c r="N522" s="3236">
        <v>610482</v>
      </c>
      <c r="O522" s="3244"/>
      <c r="P522" s="3244"/>
      <c r="Q522" s="3244"/>
      <c r="R522" s="3244">
        <f t="shared" si="103"/>
        <v>660482</v>
      </c>
      <c r="S522" s="3244"/>
      <c r="T522" s="3236"/>
      <c r="U522" s="3236"/>
      <c r="V522" s="3236"/>
      <c r="W522" s="3236"/>
      <c r="X522" s="3244">
        <f t="shared" si="104"/>
        <v>660482</v>
      </c>
      <c r="Y522" s="3244">
        <f t="shared" si="105"/>
        <v>1540000</v>
      </c>
      <c r="Z522" s="3285">
        <f t="shared" si="106"/>
        <v>0.30015333004314509</v>
      </c>
      <c r="AA522" s="3226" t="s">
        <v>3319</v>
      </c>
      <c r="AB522" s="3226" t="s">
        <v>4587</v>
      </c>
      <c r="AC522" s="3226" t="s">
        <v>4698</v>
      </c>
      <c r="AD522" s="3286" t="s">
        <v>4773</v>
      </c>
      <c r="AE522" s="3286" t="s">
        <v>4774</v>
      </c>
      <c r="AF522" s="3286"/>
      <c r="AG522" s="3323"/>
      <c r="AH522" s="3255"/>
      <c r="AI522" s="3255"/>
      <c r="AJ522" s="3255"/>
      <c r="AK522" s="3287"/>
      <c r="AL522" s="3288"/>
      <c r="AM522" s="3226"/>
      <c r="AN522" s="3289"/>
      <c r="AO522" s="3300"/>
      <c r="AP522" s="3300"/>
      <c r="AQ522" s="3300"/>
      <c r="AR522" s="3292"/>
      <c r="AS522" s="3292"/>
      <c r="AT522" s="3292"/>
      <c r="AU522" s="3293"/>
      <c r="AV522" s="3293"/>
      <c r="AW522" s="3294"/>
      <c r="AX522" s="3236"/>
      <c r="AY522" s="3244"/>
      <c r="AZ522" s="3325" t="s">
        <v>4735</v>
      </c>
      <c r="BA522" s="3296" t="str">
        <f t="shared" si="107"/>
        <v>签约</v>
      </c>
      <c r="BB522" s="3226"/>
      <c r="BC522" s="3226"/>
      <c r="BD522" s="3292"/>
      <c r="BE522" s="3297" t="s">
        <v>4449</v>
      </c>
    </row>
    <row r="523" spans="1:57" s="3261" customFormat="1" ht="20.25" customHeight="1">
      <c r="A523" s="3226">
        <v>521</v>
      </c>
      <c r="B523" s="3250" t="s">
        <v>4085</v>
      </c>
      <c r="C523" s="3227" t="s">
        <v>920</v>
      </c>
      <c r="D523" s="3251" t="s">
        <v>4086</v>
      </c>
      <c r="E523" s="3229">
        <v>44044</v>
      </c>
      <c r="F523" s="3230">
        <v>50000</v>
      </c>
      <c r="G523" s="3231">
        <v>134.97999999999999</v>
      </c>
      <c r="H523" s="3231" t="str">
        <f t="shared" si="100"/>
        <v>普通住宅</v>
      </c>
      <c r="I523" s="3230">
        <v>2228313</v>
      </c>
      <c r="J523" s="3229">
        <v>44047</v>
      </c>
      <c r="K523" s="3284">
        <f t="shared" si="101"/>
        <v>8</v>
      </c>
      <c r="L523" s="3230">
        <v>2228313</v>
      </c>
      <c r="M523" s="3235">
        <f t="shared" si="102"/>
        <v>16508.467921173509</v>
      </c>
      <c r="N523" s="3236">
        <v>628313</v>
      </c>
      <c r="O523" s="3244"/>
      <c r="P523" s="3244"/>
      <c r="Q523" s="3244"/>
      <c r="R523" s="3244">
        <f t="shared" si="103"/>
        <v>678313</v>
      </c>
      <c r="S523" s="3244"/>
      <c r="T523" s="3236"/>
      <c r="U523" s="3236"/>
      <c r="V523" s="3236"/>
      <c r="W523" s="3236"/>
      <c r="X523" s="3244">
        <f t="shared" si="104"/>
        <v>678313</v>
      </c>
      <c r="Y523" s="3244">
        <f t="shared" si="105"/>
        <v>1550000</v>
      </c>
      <c r="Z523" s="3285">
        <f t="shared" si="106"/>
        <v>0.30440651739679297</v>
      </c>
      <c r="AA523" s="3226" t="s">
        <v>3319</v>
      </c>
      <c r="AB523" s="3226" t="s">
        <v>4587</v>
      </c>
      <c r="AC523" s="3226" t="s">
        <v>4698</v>
      </c>
      <c r="AD523" s="3286" t="s">
        <v>4773</v>
      </c>
      <c r="AE523" s="3286" t="s">
        <v>4774</v>
      </c>
      <c r="AF523" s="3286"/>
      <c r="AG523" s="3323"/>
      <c r="AH523" s="3255"/>
      <c r="AI523" s="3255"/>
      <c r="AJ523" s="3255"/>
      <c r="AK523" s="3287"/>
      <c r="AL523" s="3288"/>
      <c r="AM523" s="3226"/>
      <c r="AN523" s="3289"/>
      <c r="AO523" s="3300"/>
      <c r="AP523" s="3300"/>
      <c r="AQ523" s="3300"/>
      <c r="AR523" s="3292"/>
      <c r="AS523" s="3292"/>
      <c r="AT523" s="3292"/>
      <c r="AU523" s="3293"/>
      <c r="AV523" s="3293"/>
      <c r="AW523" s="3294"/>
      <c r="AX523" s="3236"/>
      <c r="AY523" s="3244"/>
      <c r="AZ523" s="3325" t="s">
        <v>4429</v>
      </c>
      <c r="BA523" s="3296" t="str">
        <f t="shared" si="107"/>
        <v>签约</v>
      </c>
      <c r="BB523" s="3226"/>
      <c r="BC523" s="3226"/>
      <c r="BD523" s="3292"/>
      <c r="BE523" s="3297" t="s">
        <v>4367</v>
      </c>
    </row>
    <row r="524" spans="1:57" s="3261" customFormat="1" ht="20.25" customHeight="1">
      <c r="A524" s="3226">
        <v>522</v>
      </c>
      <c r="B524" s="3250" t="s">
        <v>4087</v>
      </c>
      <c r="C524" s="3227" t="s">
        <v>920</v>
      </c>
      <c r="D524" s="3251" t="s">
        <v>4088</v>
      </c>
      <c r="E524" s="3229">
        <v>44044</v>
      </c>
      <c r="F524" s="3230">
        <v>50000</v>
      </c>
      <c r="G524" s="3231">
        <v>134.97999999999999</v>
      </c>
      <c r="H524" s="3231" t="str">
        <f t="shared" si="100"/>
        <v>普通住宅</v>
      </c>
      <c r="I524" s="3230">
        <v>2256144</v>
      </c>
      <c r="J524" s="3229">
        <v>44045</v>
      </c>
      <c r="K524" s="3284">
        <f t="shared" si="101"/>
        <v>8</v>
      </c>
      <c r="L524" s="3230">
        <v>2256144</v>
      </c>
      <c r="M524" s="3235">
        <f t="shared" si="102"/>
        <v>16714.654022818195</v>
      </c>
      <c r="N524" s="3236">
        <f>456144+200000</f>
        <v>656144</v>
      </c>
      <c r="O524" s="3244"/>
      <c r="P524" s="3244"/>
      <c r="Q524" s="3244"/>
      <c r="R524" s="3244">
        <f t="shared" si="103"/>
        <v>706144</v>
      </c>
      <c r="S524" s="3244"/>
      <c r="T524" s="3236"/>
      <c r="U524" s="3236"/>
      <c r="V524" s="3236"/>
      <c r="W524" s="3236"/>
      <c r="X524" s="3244">
        <f t="shared" si="104"/>
        <v>706144</v>
      </c>
      <c r="Y524" s="3244">
        <f t="shared" si="105"/>
        <v>1550000</v>
      </c>
      <c r="Z524" s="3285">
        <f t="shared" si="106"/>
        <v>0.31298711429766896</v>
      </c>
      <c r="AA524" s="3226" t="s">
        <v>3319</v>
      </c>
      <c r="AB524" s="3226" t="s">
        <v>4587</v>
      </c>
      <c r="AC524" s="3226" t="s">
        <v>4698</v>
      </c>
      <c r="AD524" s="3286" t="s">
        <v>4773</v>
      </c>
      <c r="AE524" s="3286" t="s">
        <v>4774</v>
      </c>
      <c r="AF524" s="3286"/>
      <c r="AG524" s="3323"/>
      <c r="AH524" s="3255"/>
      <c r="AI524" s="3255"/>
      <c r="AJ524" s="3255"/>
      <c r="AK524" s="3287"/>
      <c r="AL524" s="3288"/>
      <c r="AM524" s="3226"/>
      <c r="AN524" s="3289"/>
      <c r="AO524" s="3300"/>
      <c r="AP524" s="3300"/>
      <c r="AQ524" s="3300"/>
      <c r="AR524" s="3292"/>
      <c r="AS524" s="3292"/>
      <c r="AT524" s="3292"/>
      <c r="AU524" s="3293"/>
      <c r="AV524" s="3293"/>
      <c r="AW524" s="3294"/>
      <c r="AX524" s="3236"/>
      <c r="AY524" s="3244"/>
      <c r="AZ524" s="3325" t="s">
        <v>4441</v>
      </c>
      <c r="BA524" s="3296" t="str">
        <f t="shared" si="107"/>
        <v>签约</v>
      </c>
      <c r="BB524" s="3226"/>
      <c r="BC524" s="3226"/>
      <c r="BD524" s="3292"/>
      <c r="BE524" s="3297" t="s">
        <v>4696</v>
      </c>
    </row>
    <row r="525" spans="1:57" s="3261" customFormat="1" ht="20.25" customHeight="1">
      <c r="A525" s="3226">
        <v>523</v>
      </c>
      <c r="B525" s="3250" t="s">
        <v>4089</v>
      </c>
      <c r="C525" s="3227" t="s">
        <v>920</v>
      </c>
      <c r="D525" s="3251" t="s">
        <v>4090</v>
      </c>
      <c r="E525" s="3229">
        <v>44044</v>
      </c>
      <c r="F525" s="3230">
        <v>50000</v>
      </c>
      <c r="G525" s="3231">
        <v>134.97999999999999</v>
      </c>
      <c r="H525" s="3231" t="str">
        <f t="shared" si="100"/>
        <v>普通住宅</v>
      </c>
      <c r="I525" s="3230">
        <v>2130905</v>
      </c>
      <c r="J525" s="3229">
        <v>44047</v>
      </c>
      <c r="K525" s="3284">
        <f t="shared" si="101"/>
        <v>8</v>
      </c>
      <c r="L525" s="3230">
        <v>2130905</v>
      </c>
      <c r="M525" s="3235">
        <f t="shared" si="102"/>
        <v>15786.820269669583</v>
      </c>
      <c r="N525" s="3236">
        <v>590905</v>
      </c>
      <c r="O525" s="3244"/>
      <c r="P525" s="3244"/>
      <c r="Q525" s="3244"/>
      <c r="R525" s="3244">
        <f t="shared" si="103"/>
        <v>640905</v>
      </c>
      <c r="S525" s="3244"/>
      <c r="T525" s="3236"/>
      <c r="U525" s="3236"/>
      <c r="V525" s="3236"/>
      <c r="W525" s="3236"/>
      <c r="X525" s="3244">
        <f t="shared" si="104"/>
        <v>640905</v>
      </c>
      <c r="Y525" s="3244">
        <f t="shared" si="105"/>
        <v>1490000</v>
      </c>
      <c r="Z525" s="3285">
        <f t="shared" si="106"/>
        <v>0.30076657570375026</v>
      </c>
      <c r="AA525" s="3226" t="s">
        <v>3319</v>
      </c>
      <c r="AB525" s="3226" t="s">
        <v>4587</v>
      </c>
      <c r="AC525" s="3226" t="s">
        <v>4698</v>
      </c>
      <c r="AD525" s="3286" t="s">
        <v>4773</v>
      </c>
      <c r="AE525" s="3286" t="s">
        <v>4774</v>
      </c>
      <c r="AF525" s="3286"/>
      <c r="AG525" s="3323"/>
      <c r="AH525" s="3255"/>
      <c r="AI525" s="3255"/>
      <c r="AJ525" s="3255"/>
      <c r="AK525" s="3287"/>
      <c r="AL525" s="3288"/>
      <c r="AM525" s="3226"/>
      <c r="AN525" s="3289"/>
      <c r="AO525" s="3300"/>
      <c r="AP525" s="3300"/>
      <c r="AQ525" s="3300"/>
      <c r="AR525" s="3292"/>
      <c r="AS525" s="3292"/>
      <c r="AT525" s="3292"/>
      <c r="AU525" s="3293"/>
      <c r="AV525" s="3293"/>
      <c r="AW525" s="3294"/>
      <c r="AX525" s="3236"/>
      <c r="AY525" s="3244"/>
      <c r="AZ525" s="3325" t="s">
        <v>4885</v>
      </c>
      <c r="BA525" s="3296" t="str">
        <f t="shared" si="107"/>
        <v>签约</v>
      </c>
      <c r="BB525" s="3226"/>
      <c r="BC525" s="3226"/>
      <c r="BD525" s="3292"/>
      <c r="BE525" s="3297" t="s">
        <v>4465</v>
      </c>
    </row>
    <row r="526" spans="1:57" s="3261" customFormat="1" ht="20.25" customHeight="1">
      <c r="A526" s="3226">
        <v>524</v>
      </c>
      <c r="B526" s="3250" t="s">
        <v>4091</v>
      </c>
      <c r="C526" s="3227" t="s">
        <v>920</v>
      </c>
      <c r="D526" s="3251" t="s">
        <v>4092</v>
      </c>
      <c r="E526" s="3229">
        <v>44045</v>
      </c>
      <c r="F526" s="3230">
        <v>50000</v>
      </c>
      <c r="G526" s="3231">
        <v>134.97999999999999</v>
      </c>
      <c r="H526" s="3231" t="str">
        <f t="shared" si="100"/>
        <v>普通住宅</v>
      </c>
      <c r="I526" s="3230">
        <v>2028234</v>
      </c>
      <c r="J526" s="3229">
        <v>44045</v>
      </c>
      <c r="K526" s="3284">
        <f t="shared" si="101"/>
        <v>8</v>
      </c>
      <c r="L526" s="3230">
        <v>2028234</v>
      </c>
      <c r="M526" s="3235">
        <f t="shared" si="102"/>
        <v>15026.18165654171</v>
      </c>
      <c r="N526" s="3236">
        <f>559234+1419000</f>
        <v>1978234</v>
      </c>
      <c r="O526" s="3244"/>
      <c r="P526" s="3244"/>
      <c r="Q526" s="3244"/>
      <c r="R526" s="3244">
        <f t="shared" si="103"/>
        <v>2028234</v>
      </c>
      <c r="S526" s="3244"/>
      <c r="T526" s="3236"/>
      <c r="U526" s="3236"/>
      <c r="V526" s="3236"/>
      <c r="W526" s="3236"/>
      <c r="X526" s="3244">
        <f t="shared" si="104"/>
        <v>2028234</v>
      </c>
      <c r="Y526" s="3244">
        <f t="shared" si="105"/>
        <v>0</v>
      </c>
      <c r="Z526" s="3285">
        <f t="shared" si="106"/>
        <v>1</v>
      </c>
      <c r="AA526" s="3226" t="s">
        <v>3319</v>
      </c>
      <c r="AB526" s="3226" t="s">
        <v>4587</v>
      </c>
      <c r="AC526" s="3226" t="s">
        <v>4698</v>
      </c>
      <c r="AD526" s="3286" t="s">
        <v>4773</v>
      </c>
      <c r="AE526" s="3286" t="s">
        <v>4774</v>
      </c>
      <c r="AF526" s="3286"/>
      <c r="AG526" s="3323"/>
      <c r="AH526" s="3255"/>
      <c r="AI526" s="3255"/>
      <c r="AJ526" s="3255"/>
      <c r="AK526" s="3287"/>
      <c r="AL526" s="3288"/>
      <c r="AM526" s="3226"/>
      <c r="AN526" s="3289"/>
      <c r="AO526" s="3300"/>
      <c r="AP526" s="3300"/>
      <c r="AQ526" s="3300"/>
      <c r="AR526" s="3292"/>
      <c r="AS526" s="3292"/>
      <c r="AT526" s="3292"/>
      <c r="AU526" s="3293"/>
      <c r="AV526" s="3293"/>
      <c r="AW526" s="3294"/>
      <c r="AX526" s="3236"/>
      <c r="AY526" s="3244"/>
      <c r="AZ526" s="3325" t="s">
        <v>4507</v>
      </c>
      <c r="BA526" s="3296" t="str">
        <f t="shared" si="107"/>
        <v>签约</v>
      </c>
      <c r="BB526" s="3226"/>
      <c r="BC526" s="3226"/>
      <c r="BD526" s="3292"/>
      <c r="BE526" s="3297" t="s">
        <v>4367</v>
      </c>
    </row>
    <row r="527" spans="1:57" s="3261" customFormat="1" ht="20.25" customHeight="1">
      <c r="A527" s="3226">
        <v>525</v>
      </c>
      <c r="B527" s="3250" t="s">
        <v>4093</v>
      </c>
      <c r="C527" s="3227" t="s">
        <v>920</v>
      </c>
      <c r="D527" s="3251" t="s">
        <v>4094</v>
      </c>
      <c r="E527" s="3229">
        <v>44044</v>
      </c>
      <c r="F527" s="3230">
        <v>50000</v>
      </c>
      <c r="G527" s="3231">
        <v>134.97999999999999</v>
      </c>
      <c r="H527" s="3231" t="str">
        <f t="shared" si="100"/>
        <v>普通住宅</v>
      </c>
      <c r="I527" s="3230">
        <v>2056065</v>
      </c>
      <c r="J527" s="3229">
        <v>44047</v>
      </c>
      <c r="K527" s="3284">
        <f t="shared" si="101"/>
        <v>8</v>
      </c>
      <c r="L527" s="3230">
        <v>2056065</v>
      </c>
      <c r="M527" s="3235">
        <f t="shared" si="102"/>
        <v>15232.367758186399</v>
      </c>
      <c r="N527" s="3236">
        <v>806065</v>
      </c>
      <c r="O527" s="3244"/>
      <c r="P527" s="3244"/>
      <c r="Q527" s="3244"/>
      <c r="R527" s="3244">
        <f t="shared" si="103"/>
        <v>856065</v>
      </c>
      <c r="S527" s="3244"/>
      <c r="T527" s="3236"/>
      <c r="U527" s="3236"/>
      <c r="V527" s="3236"/>
      <c r="W527" s="3236"/>
      <c r="X527" s="3244">
        <f t="shared" si="104"/>
        <v>856065</v>
      </c>
      <c r="Y527" s="3244">
        <f t="shared" si="105"/>
        <v>1200000</v>
      </c>
      <c r="Z527" s="3285">
        <f t="shared" si="106"/>
        <v>0.41636086407774076</v>
      </c>
      <c r="AA527" s="3226" t="s">
        <v>3319</v>
      </c>
      <c r="AB527" s="3226" t="s">
        <v>4587</v>
      </c>
      <c r="AC527" s="3226" t="s">
        <v>4698</v>
      </c>
      <c r="AD527" s="3286" t="s">
        <v>4773</v>
      </c>
      <c r="AE527" s="3286" t="s">
        <v>4774</v>
      </c>
      <c r="AF527" s="3286"/>
      <c r="AG527" s="3323"/>
      <c r="AH527" s="3255"/>
      <c r="AI527" s="3255"/>
      <c r="AJ527" s="3255"/>
      <c r="AK527" s="3287"/>
      <c r="AL527" s="3288"/>
      <c r="AM527" s="3226"/>
      <c r="AN527" s="3289"/>
      <c r="AO527" s="3300"/>
      <c r="AP527" s="3300"/>
      <c r="AQ527" s="3300"/>
      <c r="AR527" s="3292"/>
      <c r="AS527" s="3292"/>
      <c r="AT527" s="3292"/>
      <c r="AU527" s="3293"/>
      <c r="AV527" s="3293"/>
      <c r="AW527" s="3294"/>
      <c r="AX527" s="3236"/>
      <c r="AY527" s="3244"/>
      <c r="AZ527" s="3325" t="s">
        <v>4507</v>
      </c>
      <c r="BA527" s="3296" t="str">
        <f t="shared" si="107"/>
        <v>签约</v>
      </c>
      <c r="BB527" s="3226"/>
      <c r="BC527" s="3226"/>
      <c r="BD527" s="3292"/>
      <c r="BE527" s="3297" t="s">
        <v>4449</v>
      </c>
    </row>
    <row r="528" spans="1:57" s="3261" customFormat="1" ht="20.25" customHeight="1">
      <c r="A528" s="3226">
        <v>526</v>
      </c>
      <c r="B528" s="3250" t="s">
        <v>4928</v>
      </c>
      <c r="C528" s="3227" t="s">
        <v>920</v>
      </c>
      <c r="D528" s="3251" t="s">
        <v>4929</v>
      </c>
      <c r="E528" s="3229">
        <v>44044</v>
      </c>
      <c r="F528" s="3230">
        <v>50000</v>
      </c>
      <c r="G528" s="3231">
        <v>134.97999999999999</v>
      </c>
      <c r="H528" s="3231" t="str">
        <f t="shared" si="100"/>
        <v>普通住宅</v>
      </c>
      <c r="I528" s="3230">
        <v>2083896</v>
      </c>
      <c r="J528" s="3229"/>
      <c r="K528" s="3284" t="str">
        <f t="shared" si="101"/>
        <v/>
      </c>
      <c r="L528" s="3230"/>
      <c r="M528" s="3235">
        <f t="shared" si="102"/>
        <v>0</v>
      </c>
      <c r="N528" s="3236"/>
      <c r="O528" s="3244"/>
      <c r="P528" s="3244"/>
      <c r="Q528" s="3244"/>
      <c r="R528" s="3244">
        <f t="shared" si="103"/>
        <v>50000</v>
      </c>
      <c r="S528" s="3244"/>
      <c r="T528" s="3236"/>
      <c r="U528" s="3236"/>
      <c r="V528" s="3236"/>
      <c r="W528" s="3236"/>
      <c r="X528" s="3244">
        <f t="shared" si="104"/>
        <v>50000</v>
      </c>
      <c r="Y528" s="3244">
        <f t="shared" si="105"/>
        <v>-50000</v>
      </c>
      <c r="Z528" s="3285" t="e">
        <f t="shared" si="106"/>
        <v>#DIV/0!</v>
      </c>
      <c r="AA528" s="3226"/>
      <c r="AB528" s="3226"/>
      <c r="AC528" s="3226"/>
      <c r="AD528" s="3286"/>
      <c r="AE528" s="3286"/>
      <c r="AF528" s="3286"/>
      <c r="AG528" s="3323"/>
      <c r="AH528" s="3255"/>
      <c r="AI528" s="3255"/>
      <c r="AJ528" s="3255"/>
      <c r="AK528" s="3287"/>
      <c r="AL528" s="3288"/>
      <c r="AM528" s="3226"/>
      <c r="AN528" s="3289"/>
      <c r="AO528" s="3300"/>
      <c r="AP528" s="3300"/>
      <c r="AQ528" s="3300"/>
      <c r="AR528" s="3292"/>
      <c r="AS528" s="3292"/>
      <c r="AT528" s="3292"/>
      <c r="AU528" s="3293"/>
      <c r="AV528" s="3293"/>
      <c r="AW528" s="3294"/>
      <c r="AX528" s="3236"/>
      <c r="AY528" s="3244"/>
      <c r="AZ528" s="3325"/>
      <c r="BA528" s="3296" t="str">
        <f t="shared" si="107"/>
        <v>认购</v>
      </c>
      <c r="BB528" s="3226"/>
      <c r="BC528" s="3226"/>
      <c r="BD528" s="3292"/>
      <c r="BE528" s="3297"/>
    </row>
    <row r="529" spans="1:57" s="3261" customFormat="1" ht="20.25" customHeight="1">
      <c r="A529" s="3226">
        <v>527</v>
      </c>
      <c r="B529" s="3250" t="s">
        <v>4095</v>
      </c>
      <c r="C529" s="3227" t="s">
        <v>920</v>
      </c>
      <c r="D529" s="3251" t="s">
        <v>4096</v>
      </c>
      <c r="E529" s="3229">
        <v>44044</v>
      </c>
      <c r="F529" s="3230">
        <v>50000</v>
      </c>
      <c r="G529" s="3231">
        <v>134.97999999999999</v>
      </c>
      <c r="H529" s="3231" t="str">
        <f t="shared" si="100"/>
        <v>普通住宅</v>
      </c>
      <c r="I529" s="3230">
        <v>2111727</v>
      </c>
      <c r="J529" s="3229">
        <v>44047</v>
      </c>
      <c r="K529" s="3284">
        <f t="shared" si="101"/>
        <v>8</v>
      </c>
      <c r="L529" s="3230">
        <v>2111727</v>
      </c>
      <c r="M529" s="3235">
        <f t="shared" si="102"/>
        <v>15644.739961475776</v>
      </c>
      <c r="N529" s="3236">
        <v>2061727</v>
      </c>
      <c r="O529" s="3244"/>
      <c r="P529" s="3244"/>
      <c r="Q529" s="3244"/>
      <c r="R529" s="3244">
        <f t="shared" si="103"/>
        <v>2111727</v>
      </c>
      <c r="S529" s="3244"/>
      <c r="T529" s="3236"/>
      <c r="U529" s="3236"/>
      <c r="V529" s="3236"/>
      <c r="W529" s="3236"/>
      <c r="X529" s="3244">
        <f t="shared" si="104"/>
        <v>2111727</v>
      </c>
      <c r="Y529" s="3244">
        <f t="shared" si="105"/>
        <v>0</v>
      </c>
      <c r="Z529" s="3285">
        <f t="shared" si="106"/>
        <v>1</v>
      </c>
      <c r="AA529" s="3226" t="s">
        <v>3319</v>
      </c>
      <c r="AB529" s="3226" t="s">
        <v>4676</v>
      </c>
      <c r="AC529" s="3226"/>
      <c r="AD529" s="3286"/>
      <c r="AE529" s="3286"/>
      <c r="AF529" s="3286"/>
      <c r="AG529" s="3323"/>
      <c r="AH529" s="3255"/>
      <c r="AI529" s="3255"/>
      <c r="AJ529" s="3255"/>
      <c r="AK529" s="3287"/>
      <c r="AL529" s="3288"/>
      <c r="AM529" s="3226"/>
      <c r="AN529" s="3289"/>
      <c r="AO529" s="3300"/>
      <c r="AP529" s="3300"/>
      <c r="AQ529" s="3300"/>
      <c r="AR529" s="3292"/>
      <c r="AS529" s="3292"/>
      <c r="AT529" s="3292"/>
      <c r="AU529" s="3293"/>
      <c r="AV529" s="3293"/>
      <c r="AW529" s="3294"/>
      <c r="AX529" s="3236"/>
      <c r="AY529" s="3244"/>
      <c r="AZ529" s="3325" t="s">
        <v>4885</v>
      </c>
      <c r="BA529" s="3296" t="str">
        <f t="shared" si="107"/>
        <v>签约</v>
      </c>
      <c r="BB529" s="3226"/>
      <c r="BC529" s="3226"/>
      <c r="BD529" s="3292"/>
      <c r="BE529" s="3297" t="s">
        <v>4696</v>
      </c>
    </row>
    <row r="530" spans="1:57" s="3261" customFormat="1" ht="20.25" customHeight="1">
      <c r="A530" s="3226">
        <v>528</v>
      </c>
      <c r="B530" s="3250" t="s">
        <v>4930</v>
      </c>
      <c r="C530" s="3227" t="s">
        <v>920</v>
      </c>
      <c r="D530" s="3251" t="s">
        <v>4931</v>
      </c>
      <c r="E530" s="3229">
        <v>44044</v>
      </c>
      <c r="F530" s="3230">
        <v>50000</v>
      </c>
      <c r="G530" s="3231">
        <v>134.97999999999999</v>
      </c>
      <c r="H530" s="3231" t="str">
        <f t="shared" si="100"/>
        <v>普通住宅</v>
      </c>
      <c r="I530" s="3230">
        <v>2139558</v>
      </c>
      <c r="J530" s="3229"/>
      <c r="K530" s="3284" t="str">
        <f t="shared" si="101"/>
        <v/>
      </c>
      <c r="L530" s="3230"/>
      <c r="M530" s="3235">
        <f t="shared" si="102"/>
        <v>0</v>
      </c>
      <c r="N530" s="3236"/>
      <c r="O530" s="3244"/>
      <c r="P530" s="3244"/>
      <c r="Q530" s="3244"/>
      <c r="R530" s="3244">
        <f t="shared" si="103"/>
        <v>50000</v>
      </c>
      <c r="S530" s="3244"/>
      <c r="T530" s="3236"/>
      <c r="U530" s="3236"/>
      <c r="V530" s="3236"/>
      <c r="W530" s="3236"/>
      <c r="X530" s="3244">
        <f t="shared" si="104"/>
        <v>50000</v>
      </c>
      <c r="Y530" s="3244">
        <f t="shared" si="105"/>
        <v>-50000</v>
      </c>
      <c r="Z530" s="3285" t="e">
        <f t="shared" si="106"/>
        <v>#DIV/0!</v>
      </c>
      <c r="AA530" s="3226"/>
      <c r="AB530" s="3226"/>
      <c r="AC530" s="3226"/>
      <c r="AD530" s="3286"/>
      <c r="AE530" s="3286"/>
      <c r="AF530" s="3286"/>
      <c r="AG530" s="3323"/>
      <c r="AH530" s="3255"/>
      <c r="AI530" s="3255"/>
      <c r="AJ530" s="3255"/>
      <c r="AK530" s="3287"/>
      <c r="AL530" s="3288"/>
      <c r="AM530" s="3226"/>
      <c r="AN530" s="3289"/>
      <c r="AO530" s="3300"/>
      <c r="AP530" s="3300"/>
      <c r="AQ530" s="3300"/>
      <c r="AR530" s="3292"/>
      <c r="AS530" s="3292"/>
      <c r="AT530" s="3292"/>
      <c r="AU530" s="3293"/>
      <c r="AV530" s="3293"/>
      <c r="AW530" s="3294"/>
      <c r="AX530" s="3236"/>
      <c r="AY530" s="3244"/>
      <c r="AZ530" s="3325"/>
      <c r="BA530" s="3296" t="str">
        <f t="shared" si="107"/>
        <v>认购</v>
      </c>
      <c r="BB530" s="3226"/>
      <c r="BC530" s="3226"/>
      <c r="BD530" s="3292"/>
      <c r="BE530" s="3297"/>
    </row>
    <row r="531" spans="1:57" s="3261" customFormat="1" ht="20.25" customHeight="1">
      <c r="A531" s="3226">
        <v>529</v>
      </c>
      <c r="B531" s="3250" t="s">
        <v>4932</v>
      </c>
      <c r="C531" s="3227" t="s">
        <v>920</v>
      </c>
      <c r="D531" s="3251" t="s">
        <v>4933</v>
      </c>
      <c r="E531" s="3229">
        <v>44044</v>
      </c>
      <c r="F531" s="3230">
        <v>50000</v>
      </c>
      <c r="G531" s="3231">
        <v>134.97999999999999</v>
      </c>
      <c r="H531" s="3231" t="str">
        <f t="shared" si="100"/>
        <v>普通住宅</v>
      </c>
      <c r="I531" s="3230">
        <v>2167389</v>
      </c>
      <c r="J531" s="3229"/>
      <c r="K531" s="3284" t="str">
        <f t="shared" si="101"/>
        <v/>
      </c>
      <c r="L531" s="3230"/>
      <c r="M531" s="3235">
        <f t="shared" si="102"/>
        <v>0</v>
      </c>
      <c r="N531" s="3236"/>
      <c r="O531" s="3244"/>
      <c r="P531" s="3244"/>
      <c r="Q531" s="3244"/>
      <c r="R531" s="3244">
        <f t="shared" si="103"/>
        <v>50000</v>
      </c>
      <c r="S531" s="3244"/>
      <c r="T531" s="3236"/>
      <c r="U531" s="3236"/>
      <c r="V531" s="3236"/>
      <c r="W531" s="3236"/>
      <c r="X531" s="3244">
        <f t="shared" si="104"/>
        <v>50000</v>
      </c>
      <c r="Y531" s="3244">
        <f t="shared" si="105"/>
        <v>-50000</v>
      </c>
      <c r="Z531" s="3285" t="e">
        <f t="shared" si="106"/>
        <v>#DIV/0!</v>
      </c>
      <c r="AA531" s="3226"/>
      <c r="AB531" s="3226"/>
      <c r="AC531" s="3226"/>
      <c r="AD531" s="3286"/>
      <c r="AE531" s="3286"/>
      <c r="AF531" s="3286"/>
      <c r="AG531" s="3323"/>
      <c r="AH531" s="3255"/>
      <c r="AI531" s="3255"/>
      <c r="AJ531" s="3255"/>
      <c r="AK531" s="3287"/>
      <c r="AL531" s="3288"/>
      <c r="AM531" s="3226"/>
      <c r="AN531" s="3289"/>
      <c r="AO531" s="3300"/>
      <c r="AP531" s="3300"/>
      <c r="AQ531" s="3300"/>
      <c r="AR531" s="3292"/>
      <c r="AS531" s="3292"/>
      <c r="AT531" s="3292"/>
      <c r="AU531" s="3293"/>
      <c r="AV531" s="3293"/>
      <c r="AW531" s="3294"/>
      <c r="AX531" s="3236"/>
      <c r="AY531" s="3244"/>
      <c r="AZ531" s="3325"/>
      <c r="BA531" s="3296" t="str">
        <f t="shared" si="107"/>
        <v>认购</v>
      </c>
      <c r="BB531" s="3226"/>
      <c r="BC531" s="3226"/>
      <c r="BD531" s="3292"/>
      <c r="BE531" s="3297"/>
    </row>
    <row r="532" spans="1:57" s="3261" customFormat="1" ht="20.25" customHeight="1">
      <c r="A532" s="3226">
        <v>530</v>
      </c>
      <c r="B532" s="3250" t="s">
        <v>4097</v>
      </c>
      <c r="C532" s="3227" t="s">
        <v>920</v>
      </c>
      <c r="D532" s="3251" t="s">
        <v>4098</v>
      </c>
      <c r="E532" s="3229">
        <v>44044</v>
      </c>
      <c r="F532" s="3230">
        <v>50000</v>
      </c>
      <c r="G532" s="3231">
        <v>134.97999999999999</v>
      </c>
      <c r="H532" s="3231" t="str">
        <f t="shared" si="100"/>
        <v>普通住宅</v>
      </c>
      <c r="I532" s="3230">
        <v>2195220</v>
      </c>
      <c r="J532" s="3229">
        <v>44046</v>
      </c>
      <c r="K532" s="3284">
        <f t="shared" si="101"/>
        <v>8</v>
      </c>
      <c r="L532" s="3230">
        <v>2195220</v>
      </c>
      <c r="M532" s="3235">
        <f t="shared" si="102"/>
        <v>16263.29826640984</v>
      </c>
      <c r="N532" s="3236">
        <v>705220</v>
      </c>
      <c r="O532" s="3244"/>
      <c r="P532" s="3244"/>
      <c r="Q532" s="3244"/>
      <c r="R532" s="3244">
        <f t="shared" si="103"/>
        <v>755220</v>
      </c>
      <c r="S532" s="3244"/>
      <c r="T532" s="3236"/>
      <c r="U532" s="3236"/>
      <c r="V532" s="3236"/>
      <c r="W532" s="3236"/>
      <c r="X532" s="3244">
        <f t="shared" si="104"/>
        <v>755220</v>
      </c>
      <c r="Y532" s="3244">
        <f t="shared" si="105"/>
        <v>1440000</v>
      </c>
      <c r="Z532" s="3285">
        <f t="shared" si="106"/>
        <v>0.34402930002459892</v>
      </c>
      <c r="AA532" s="3226" t="s">
        <v>3319</v>
      </c>
      <c r="AB532" s="3226" t="s">
        <v>4587</v>
      </c>
      <c r="AC532" s="3226" t="s">
        <v>4698</v>
      </c>
      <c r="AD532" s="3286" t="s">
        <v>4773</v>
      </c>
      <c r="AE532" s="3286" t="s">
        <v>4774</v>
      </c>
      <c r="AF532" s="3286"/>
      <c r="AG532" s="3323"/>
      <c r="AH532" s="3255"/>
      <c r="AI532" s="3255"/>
      <c r="AJ532" s="3255"/>
      <c r="AK532" s="3287"/>
      <c r="AL532" s="3288"/>
      <c r="AM532" s="3226"/>
      <c r="AN532" s="3289"/>
      <c r="AO532" s="3300"/>
      <c r="AP532" s="3300"/>
      <c r="AQ532" s="3300"/>
      <c r="AR532" s="3292"/>
      <c r="AS532" s="3292"/>
      <c r="AT532" s="3292"/>
      <c r="AU532" s="3293"/>
      <c r="AV532" s="3293"/>
      <c r="AW532" s="3294"/>
      <c r="AX532" s="3236"/>
      <c r="AY532" s="3244"/>
      <c r="AZ532" s="3325" t="s">
        <v>4437</v>
      </c>
      <c r="BA532" s="3296" t="str">
        <f t="shared" si="107"/>
        <v>签约</v>
      </c>
      <c r="BB532" s="3226"/>
      <c r="BC532" s="3226"/>
      <c r="BD532" s="3292"/>
      <c r="BE532" s="3297" t="s">
        <v>4367</v>
      </c>
    </row>
    <row r="533" spans="1:57" s="3261" customFormat="1" ht="20.25" customHeight="1">
      <c r="A533" s="3226">
        <v>531</v>
      </c>
      <c r="B533" s="3250" t="s">
        <v>4099</v>
      </c>
      <c r="C533" s="3227" t="s">
        <v>920</v>
      </c>
      <c r="D533" s="3251" t="s">
        <v>4100</v>
      </c>
      <c r="E533" s="3229">
        <v>44044</v>
      </c>
      <c r="F533" s="3230">
        <v>50000</v>
      </c>
      <c r="G533" s="3231">
        <v>134.97999999999999</v>
      </c>
      <c r="H533" s="3231" t="str">
        <f t="shared" si="100"/>
        <v>普通住宅</v>
      </c>
      <c r="I533" s="3230">
        <v>2223051</v>
      </c>
      <c r="J533" s="3229">
        <v>44045</v>
      </c>
      <c r="K533" s="3284">
        <f t="shared" si="101"/>
        <v>8</v>
      </c>
      <c r="L533" s="3230">
        <v>2223051</v>
      </c>
      <c r="M533" s="3235">
        <f t="shared" si="102"/>
        <v>16469.484368054527</v>
      </c>
      <c r="N533" s="3236">
        <v>1273051</v>
      </c>
      <c r="O533" s="3244"/>
      <c r="P533" s="3244"/>
      <c r="Q533" s="3244"/>
      <c r="R533" s="3244">
        <f t="shared" si="103"/>
        <v>1323051</v>
      </c>
      <c r="S533" s="3244"/>
      <c r="T533" s="3236"/>
      <c r="U533" s="3236"/>
      <c r="V533" s="3236"/>
      <c r="W533" s="3236"/>
      <c r="X533" s="3244">
        <f t="shared" si="104"/>
        <v>1323051</v>
      </c>
      <c r="Y533" s="3244">
        <f t="shared" si="105"/>
        <v>900000</v>
      </c>
      <c r="Z533" s="3285">
        <f t="shared" si="106"/>
        <v>0.59515098843886172</v>
      </c>
      <c r="AA533" s="3226" t="s">
        <v>3319</v>
      </c>
      <c r="AB533" s="3226" t="s">
        <v>4587</v>
      </c>
      <c r="AC533" s="3226" t="s">
        <v>4698</v>
      </c>
      <c r="AD533" s="3286" t="s">
        <v>4773</v>
      </c>
      <c r="AE533" s="3286" t="s">
        <v>4774</v>
      </c>
      <c r="AF533" s="3286"/>
      <c r="AG533" s="3323"/>
      <c r="AH533" s="3255"/>
      <c r="AI533" s="3255"/>
      <c r="AJ533" s="3255"/>
      <c r="AK533" s="3287"/>
      <c r="AL533" s="3288"/>
      <c r="AM533" s="3226"/>
      <c r="AN533" s="3289"/>
      <c r="AO533" s="3300"/>
      <c r="AP533" s="3300"/>
      <c r="AQ533" s="3300"/>
      <c r="AR533" s="3292"/>
      <c r="AS533" s="3292"/>
      <c r="AT533" s="3292"/>
      <c r="AU533" s="3293"/>
      <c r="AV533" s="3293"/>
      <c r="AW533" s="3294"/>
      <c r="AX533" s="3236"/>
      <c r="AY533" s="3244"/>
      <c r="AZ533" s="3325" t="s">
        <v>4900</v>
      </c>
      <c r="BA533" s="3296" t="str">
        <f t="shared" si="107"/>
        <v>签约</v>
      </c>
      <c r="BB533" s="3226"/>
      <c r="BC533" s="3226"/>
      <c r="BD533" s="3292"/>
      <c r="BE533" s="3297" t="s">
        <v>4367</v>
      </c>
    </row>
    <row r="534" spans="1:57" s="3261" customFormat="1" ht="20.25" customHeight="1">
      <c r="A534" s="3226">
        <v>532</v>
      </c>
      <c r="B534" s="3250" t="s">
        <v>4934</v>
      </c>
      <c r="C534" s="3227" t="s">
        <v>920</v>
      </c>
      <c r="D534" s="3251" t="s">
        <v>4935</v>
      </c>
      <c r="E534" s="3229">
        <v>44044</v>
      </c>
      <c r="F534" s="3230">
        <v>50000</v>
      </c>
      <c r="G534" s="3231">
        <v>134.97999999999999</v>
      </c>
      <c r="H534" s="3231" t="str">
        <f t="shared" si="100"/>
        <v>普通住宅</v>
      </c>
      <c r="I534" s="3230">
        <v>2250881</v>
      </c>
      <c r="J534" s="3229"/>
      <c r="K534" s="3284" t="str">
        <f t="shared" si="101"/>
        <v/>
      </c>
      <c r="L534" s="3230"/>
      <c r="M534" s="3235">
        <f t="shared" si="102"/>
        <v>0</v>
      </c>
      <c r="N534" s="3236"/>
      <c r="O534" s="3244"/>
      <c r="P534" s="3244"/>
      <c r="Q534" s="3244"/>
      <c r="R534" s="3244">
        <f t="shared" si="103"/>
        <v>50000</v>
      </c>
      <c r="S534" s="3244"/>
      <c r="T534" s="3236"/>
      <c r="U534" s="3236"/>
      <c r="V534" s="3236"/>
      <c r="W534" s="3236"/>
      <c r="X534" s="3244">
        <f t="shared" si="104"/>
        <v>50000</v>
      </c>
      <c r="Y534" s="3244">
        <f t="shared" si="105"/>
        <v>-50000</v>
      </c>
      <c r="Z534" s="3285" t="e">
        <f t="shared" si="106"/>
        <v>#DIV/0!</v>
      </c>
      <c r="AA534" s="3226"/>
      <c r="AB534" s="3226"/>
      <c r="AC534" s="3226"/>
      <c r="AD534" s="3286"/>
      <c r="AE534" s="3286"/>
      <c r="AF534" s="3286"/>
      <c r="AG534" s="3323"/>
      <c r="AH534" s="3255"/>
      <c r="AI534" s="3255"/>
      <c r="AJ534" s="3255"/>
      <c r="AK534" s="3287"/>
      <c r="AL534" s="3288"/>
      <c r="AM534" s="3226"/>
      <c r="AN534" s="3289"/>
      <c r="AO534" s="3300"/>
      <c r="AP534" s="3300"/>
      <c r="AQ534" s="3300"/>
      <c r="AR534" s="3292"/>
      <c r="AS534" s="3292"/>
      <c r="AT534" s="3292"/>
      <c r="AU534" s="3293"/>
      <c r="AV534" s="3293"/>
      <c r="AW534" s="3294"/>
      <c r="AX534" s="3236"/>
      <c r="AY534" s="3244"/>
      <c r="AZ534" s="3325"/>
      <c r="BA534" s="3296" t="str">
        <f t="shared" si="107"/>
        <v>认购</v>
      </c>
      <c r="BB534" s="3226"/>
      <c r="BC534" s="3226"/>
      <c r="BD534" s="3292"/>
      <c r="BE534" s="3297"/>
    </row>
    <row r="535" spans="1:57" s="3261" customFormat="1" ht="20.25" customHeight="1">
      <c r="A535" s="3226">
        <v>533</v>
      </c>
      <c r="B535" s="3250" t="s">
        <v>4101</v>
      </c>
      <c r="C535" s="3227" t="s">
        <v>920</v>
      </c>
      <c r="D535" s="3251" t="s">
        <v>4102</v>
      </c>
      <c r="E535" s="3229">
        <v>44044</v>
      </c>
      <c r="F535" s="3230">
        <v>50000</v>
      </c>
      <c r="G535" s="3231">
        <v>134.97999999999999</v>
      </c>
      <c r="H535" s="3231" t="str">
        <f t="shared" si="100"/>
        <v>普通住宅</v>
      </c>
      <c r="I535" s="3230">
        <v>2125642</v>
      </c>
      <c r="J535" s="3229">
        <v>44047</v>
      </c>
      <c r="K535" s="3284">
        <f t="shared" si="101"/>
        <v>8</v>
      </c>
      <c r="L535" s="3230">
        <v>2125642</v>
      </c>
      <c r="M535" s="3235">
        <f t="shared" si="102"/>
        <v>15747.829308045637</v>
      </c>
      <c r="N535" s="3236">
        <v>595642</v>
      </c>
      <c r="O535" s="3244"/>
      <c r="P535" s="3244"/>
      <c r="Q535" s="3244"/>
      <c r="R535" s="3244">
        <f t="shared" si="103"/>
        <v>645642</v>
      </c>
      <c r="S535" s="3244"/>
      <c r="T535" s="3236"/>
      <c r="U535" s="3236"/>
      <c r="V535" s="3236"/>
      <c r="W535" s="3236"/>
      <c r="X535" s="3244">
        <f t="shared" si="104"/>
        <v>645642</v>
      </c>
      <c r="Y535" s="3244">
        <f t="shared" si="105"/>
        <v>1480000</v>
      </c>
      <c r="Z535" s="3285">
        <f t="shared" si="106"/>
        <v>0.30373976426886562</v>
      </c>
      <c r="AA535" s="3226" t="s">
        <v>3319</v>
      </c>
      <c r="AB535" s="3226" t="s">
        <v>4587</v>
      </c>
      <c r="AC535" s="3226" t="s">
        <v>4698</v>
      </c>
      <c r="AD535" s="3286" t="s">
        <v>4773</v>
      </c>
      <c r="AE535" s="3286" t="s">
        <v>4774</v>
      </c>
      <c r="AF535" s="3286"/>
      <c r="AG535" s="3323"/>
      <c r="AH535" s="3255"/>
      <c r="AI535" s="3255"/>
      <c r="AJ535" s="3255"/>
      <c r="AK535" s="3287"/>
      <c r="AL535" s="3288"/>
      <c r="AM535" s="3226"/>
      <c r="AN535" s="3289"/>
      <c r="AO535" s="3300"/>
      <c r="AP535" s="3300"/>
      <c r="AQ535" s="3300"/>
      <c r="AR535" s="3292"/>
      <c r="AS535" s="3292"/>
      <c r="AT535" s="3292"/>
      <c r="AU535" s="3293"/>
      <c r="AV535" s="3293"/>
      <c r="AW535" s="3294"/>
      <c r="AX535" s="3236"/>
      <c r="AY535" s="3244"/>
      <c r="AZ535" s="3325" t="s">
        <v>4894</v>
      </c>
      <c r="BA535" s="3296" t="str">
        <f t="shared" si="107"/>
        <v>签约</v>
      </c>
      <c r="BB535" s="3226"/>
      <c r="BC535" s="3226"/>
      <c r="BD535" s="3292"/>
      <c r="BE535" s="3297" t="s">
        <v>4367</v>
      </c>
    </row>
    <row r="536" spans="1:57" s="3261" customFormat="1" ht="20.25" customHeight="1">
      <c r="A536" s="3226">
        <v>534</v>
      </c>
      <c r="B536" s="3250" t="s">
        <v>4103</v>
      </c>
      <c r="C536" s="3227" t="s">
        <v>920</v>
      </c>
      <c r="D536" s="3251" t="s">
        <v>4104</v>
      </c>
      <c r="E536" s="3229">
        <v>44044</v>
      </c>
      <c r="F536" s="3230">
        <v>50000</v>
      </c>
      <c r="G536" s="3231">
        <v>134.97999999999999</v>
      </c>
      <c r="H536" s="3231" t="str">
        <f t="shared" si="100"/>
        <v>普通住宅</v>
      </c>
      <c r="I536" s="3230">
        <v>2022972</v>
      </c>
      <c r="J536" s="3229">
        <v>44047</v>
      </c>
      <c r="K536" s="3284">
        <f t="shared" si="101"/>
        <v>8</v>
      </c>
      <c r="L536" s="3230">
        <v>2022972</v>
      </c>
      <c r="M536" s="3235">
        <f t="shared" si="102"/>
        <v>14987.19810342273</v>
      </c>
      <c r="N536" s="3236">
        <v>1472972</v>
      </c>
      <c r="O536" s="3244"/>
      <c r="P536" s="3244"/>
      <c r="Q536" s="3244"/>
      <c r="R536" s="3244">
        <f t="shared" si="103"/>
        <v>1522972</v>
      </c>
      <c r="S536" s="3244"/>
      <c r="T536" s="3236"/>
      <c r="U536" s="3236"/>
      <c r="V536" s="3236"/>
      <c r="W536" s="3236"/>
      <c r="X536" s="3244">
        <f t="shared" si="104"/>
        <v>1522972</v>
      </c>
      <c r="Y536" s="3244">
        <f t="shared" si="105"/>
        <v>500000</v>
      </c>
      <c r="Z536" s="3285">
        <f t="shared" si="106"/>
        <v>0.7528388924809637</v>
      </c>
      <c r="AA536" s="3226" t="s">
        <v>3319</v>
      </c>
      <c r="AB536" s="3226" t="s">
        <v>4587</v>
      </c>
      <c r="AC536" s="3226" t="s">
        <v>4698</v>
      </c>
      <c r="AD536" s="3286" t="s">
        <v>4773</v>
      </c>
      <c r="AE536" s="3286" t="s">
        <v>4774</v>
      </c>
      <c r="AF536" s="3286"/>
      <c r="AG536" s="3323"/>
      <c r="AH536" s="3255"/>
      <c r="AI536" s="3255"/>
      <c r="AJ536" s="3255"/>
      <c r="AK536" s="3287"/>
      <c r="AL536" s="3288"/>
      <c r="AM536" s="3226"/>
      <c r="AN536" s="3289"/>
      <c r="AO536" s="3300"/>
      <c r="AP536" s="3300"/>
      <c r="AQ536" s="3300"/>
      <c r="AR536" s="3292"/>
      <c r="AS536" s="3292"/>
      <c r="AT536" s="3292"/>
      <c r="AU536" s="3293"/>
      <c r="AV536" s="3293"/>
      <c r="AW536" s="3294"/>
      <c r="AX536" s="3236"/>
      <c r="AY536" s="3244"/>
      <c r="AZ536" s="3325" t="s">
        <v>4735</v>
      </c>
      <c r="BA536" s="3296" t="str">
        <f t="shared" si="107"/>
        <v>签约</v>
      </c>
      <c r="BB536" s="3226"/>
      <c r="BC536" s="3226"/>
      <c r="BD536" s="3292"/>
      <c r="BE536" s="3297" t="s">
        <v>4367</v>
      </c>
    </row>
    <row r="537" spans="1:57" s="3261" customFormat="1" ht="20.25" customHeight="1">
      <c r="A537" s="3226">
        <v>535</v>
      </c>
      <c r="B537" s="3250" t="s">
        <v>4105</v>
      </c>
      <c r="C537" s="3227" t="s">
        <v>920</v>
      </c>
      <c r="D537" s="3251" t="s">
        <v>4106</v>
      </c>
      <c r="E537" s="3229">
        <v>44044</v>
      </c>
      <c r="F537" s="3230">
        <v>50000</v>
      </c>
      <c r="G537" s="3231">
        <v>134.97999999999999</v>
      </c>
      <c r="H537" s="3231" t="str">
        <f t="shared" si="100"/>
        <v>普通住宅</v>
      </c>
      <c r="I537" s="3230">
        <v>2050803</v>
      </c>
      <c r="J537" s="3229">
        <v>44047</v>
      </c>
      <c r="K537" s="3284">
        <f t="shared" si="101"/>
        <v>8</v>
      </c>
      <c r="L537" s="3230">
        <v>2050803</v>
      </c>
      <c r="M537" s="3235">
        <f t="shared" si="102"/>
        <v>15193.384205067419</v>
      </c>
      <c r="N537" s="3236">
        <v>2000803</v>
      </c>
      <c r="O537" s="3244"/>
      <c r="P537" s="3244"/>
      <c r="Q537" s="3244"/>
      <c r="R537" s="3244">
        <f t="shared" si="103"/>
        <v>2050803</v>
      </c>
      <c r="S537" s="3244"/>
      <c r="T537" s="3236"/>
      <c r="U537" s="3236"/>
      <c r="V537" s="3236"/>
      <c r="W537" s="3236"/>
      <c r="X537" s="3244">
        <f t="shared" si="104"/>
        <v>2050803</v>
      </c>
      <c r="Y537" s="3244">
        <f t="shared" si="105"/>
        <v>0</v>
      </c>
      <c r="Z537" s="3285">
        <f t="shared" si="106"/>
        <v>1</v>
      </c>
      <c r="AA537" s="3226" t="s">
        <v>3319</v>
      </c>
      <c r="AB537" s="3226" t="s">
        <v>4676</v>
      </c>
      <c r="AC537" s="3226"/>
      <c r="AD537" s="3286"/>
      <c r="AE537" s="3286"/>
      <c r="AF537" s="3286"/>
      <c r="AG537" s="3323"/>
      <c r="AH537" s="3255"/>
      <c r="AI537" s="3255"/>
      <c r="AJ537" s="3255"/>
      <c r="AK537" s="3287"/>
      <c r="AL537" s="3288"/>
      <c r="AM537" s="3226"/>
      <c r="AN537" s="3289"/>
      <c r="AO537" s="3300"/>
      <c r="AP537" s="3300"/>
      <c r="AQ537" s="3300"/>
      <c r="AR537" s="3292"/>
      <c r="AS537" s="3292"/>
      <c r="AT537" s="3292"/>
      <c r="AU537" s="3293"/>
      <c r="AV537" s="3293"/>
      <c r="AW537" s="3294"/>
      <c r="AX537" s="3236"/>
      <c r="AY537" s="3244"/>
      <c r="AZ537" s="3325" t="s">
        <v>4895</v>
      </c>
      <c r="BA537" s="3296" t="str">
        <f t="shared" si="107"/>
        <v>签约</v>
      </c>
      <c r="BB537" s="3226"/>
      <c r="BC537" s="3226"/>
      <c r="BD537" s="3292"/>
      <c r="BE537" s="3297" t="s">
        <v>4465</v>
      </c>
    </row>
    <row r="538" spans="1:57" s="3261" customFormat="1" ht="20.25" customHeight="1">
      <c r="A538" s="3226">
        <v>536</v>
      </c>
      <c r="B538" s="3250" t="s">
        <v>4107</v>
      </c>
      <c r="C538" s="3227" t="s">
        <v>920</v>
      </c>
      <c r="D538" s="3251" t="s">
        <v>4108</v>
      </c>
      <c r="E538" s="3229">
        <v>44044</v>
      </c>
      <c r="F538" s="3230">
        <v>50000</v>
      </c>
      <c r="G538" s="3231">
        <v>134.97999999999999</v>
      </c>
      <c r="H538" s="3231" t="str">
        <f t="shared" si="100"/>
        <v>普通住宅</v>
      </c>
      <c r="I538" s="3230">
        <v>2078634</v>
      </c>
      <c r="J538" s="3229">
        <v>44045</v>
      </c>
      <c r="K538" s="3284">
        <f t="shared" si="101"/>
        <v>8</v>
      </c>
      <c r="L538" s="3230">
        <v>2078634</v>
      </c>
      <c r="M538" s="3235">
        <f t="shared" si="102"/>
        <v>15399.570306712107</v>
      </c>
      <c r="N538" s="3236">
        <v>578634</v>
      </c>
      <c r="O538" s="3244"/>
      <c r="P538" s="3244"/>
      <c r="Q538" s="3244"/>
      <c r="R538" s="3244">
        <f t="shared" si="103"/>
        <v>628634</v>
      </c>
      <c r="S538" s="3244"/>
      <c r="T538" s="3236"/>
      <c r="U538" s="3236"/>
      <c r="V538" s="3236"/>
      <c r="W538" s="3236"/>
      <c r="X538" s="3244">
        <f t="shared" si="104"/>
        <v>628634</v>
      </c>
      <c r="Y538" s="3244">
        <f t="shared" si="105"/>
        <v>1450000</v>
      </c>
      <c r="Z538" s="3285">
        <f t="shared" si="106"/>
        <v>0.302426497401659</v>
      </c>
      <c r="AA538" s="3226" t="s">
        <v>3319</v>
      </c>
      <c r="AB538" s="3226" t="s">
        <v>4587</v>
      </c>
      <c r="AC538" s="3226" t="s">
        <v>4698</v>
      </c>
      <c r="AD538" s="3286" t="s">
        <v>4773</v>
      </c>
      <c r="AE538" s="3286" t="s">
        <v>4774</v>
      </c>
      <c r="AF538" s="3286"/>
      <c r="AG538" s="3323"/>
      <c r="AH538" s="3255"/>
      <c r="AI538" s="3255"/>
      <c r="AJ538" s="3255"/>
      <c r="AK538" s="3287"/>
      <c r="AL538" s="3288"/>
      <c r="AM538" s="3226"/>
      <c r="AN538" s="3289"/>
      <c r="AO538" s="3300"/>
      <c r="AP538" s="3300"/>
      <c r="AQ538" s="3300"/>
      <c r="AR538" s="3292"/>
      <c r="AS538" s="3292"/>
      <c r="AT538" s="3292"/>
      <c r="AU538" s="3293"/>
      <c r="AV538" s="3293"/>
      <c r="AW538" s="3294"/>
      <c r="AX538" s="3236"/>
      <c r="AY538" s="3244"/>
      <c r="AZ538" s="3325" t="s">
        <v>4886</v>
      </c>
      <c r="BA538" s="3296" t="str">
        <f t="shared" si="107"/>
        <v>签约</v>
      </c>
      <c r="BB538" s="3226"/>
      <c r="BC538" s="3226"/>
      <c r="BD538" s="3292"/>
      <c r="BE538" s="3297" t="s">
        <v>4367</v>
      </c>
    </row>
    <row r="539" spans="1:57" s="3261" customFormat="1" ht="20.25" customHeight="1">
      <c r="A539" s="3226">
        <v>537</v>
      </c>
      <c r="B539" s="3250" t="s">
        <v>4936</v>
      </c>
      <c r="C539" s="3227" t="s">
        <v>920</v>
      </c>
      <c r="D539" s="3251"/>
      <c r="E539" s="3229"/>
      <c r="F539" s="3230"/>
      <c r="G539" s="3231">
        <v>134.97999999999999</v>
      </c>
      <c r="H539" s="3231" t="str">
        <f t="shared" si="100"/>
        <v>普通住宅</v>
      </c>
      <c r="I539" s="3230">
        <v>2106465</v>
      </c>
      <c r="J539" s="3229"/>
      <c r="K539" s="3284" t="str">
        <f t="shared" si="101"/>
        <v/>
      </c>
      <c r="L539" s="3230"/>
      <c r="M539" s="3235">
        <f t="shared" si="102"/>
        <v>0</v>
      </c>
      <c r="N539" s="3236"/>
      <c r="O539" s="3244"/>
      <c r="P539" s="3244"/>
      <c r="Q539" s="3244"/>
      <c r="R539" s="3244">
        <f t="shared" si="103"/>
        <v>0</v>
      </c>
      <c r="S539" s="3244"/>
      <c r="T539" s="3236"/>
      <c r="U539" s="3236"/>
      <c r="V539" s="3236"/>
      <c r="W539" s="3236"/>
      <c r="X539" s="3244">
        <f t="shared" si="104"/>
        <v>0</v>
      </c>
      <c r="Y539" s="3244">
        <f t="shared" si="105"/>
        <v>0</v>
      </c>
      <c r="Z539" s="3285" t="e">
        <f t="shared" si="106"/>
        <v>#DIV/0!</v>
      </c>
      <c r="AA539" s="3226"/>
      <c r="AB539" s="3226"/>
      <c r="AC539" s="3226"/>
      <c r="AD539" s="3286"/>
      <c r="AE539" s="3286"/>
      <c r="AF539" s="3286"/>
      <c r="AG539" s="3323"/>
      <c r="AH539" s="3255"/>
      <c r="AI539" s="3255"/>
      <c r="AJ539" s="3255"/>
      <c r="AK539" s="3287"/>
      <c r="AL539" s="3288"/>
      <c r="AM539" s="3226"/>
      <c r="AN539" s="3289"/>
      <c r="AO539" s="3300"/>
      <c r="AP539" s="3300"/>
      <c r="AQ539" s="3300"/>
      <c r="AR539" s="3292"/>
      <c r="AS539" s="3292"/>
      <c r="AT539" s="3292"/>
      <c r="AU539" s="3293"/>
      <c r="AV539" s="3293"/>
      <c r="AW539" s="3294"/>
      <c r="AX539" s="3236"/>
      <c r="AY539" s="3244"/>
      <c r="AZ539" s="3325"/>
      <c r="BA539" s="3296" t="str">
        <f t="shared" si="107"/>
        <v>未售</v>
      </c>
      <c r="BB539" s="3226"/>
      <c r="BC539" s="3226"/>
      <c r="BD539" s="3292"/>
      <c r="BE539" s="3297"/>
    </row>
    <row r="540" spans="1:57" s="3261" customFormat="1" ht="20.25" customHeight="1">
      <c r="A540" s="3226">
        <v>538</v>
      </c>
      <c r="B540" s="3250" t="s">
        <v>4109</v>
      </c>
      <c r="C540" s="3227" t="s">
        <v>920</v>
      </c>
      <c r="D540" s="3251" t="s">
        <v>4110</v>
      </c>
      <c r="E540" s="3229">
        <v>44044</v>
      </c>
      <c r="F540" s="3230">
        <v>50000</v>
      </c>
      <c r="G540" s="3231">
        <v>134.97999999999999</v>
      </c>
      <c r="H540" s="3231" t="str">
        <f t="shared" si="100"/>
        <v>普通住宅</v>
      </c>
      <c r="I540" s="3230">
        <v>2134296</v>
      </c>
      <c r="J540" s="3229">
        <v>44047</v>
      </c>
      <c r="K540" s="3284">
        <f t="shared" si="101"/>
        <v>8</v>
      </c>
      <c r="L540" s="3230">
        <v>2134296</v>
      </c>
      <c r="M540" s="3235">
        <f t="shared" si="102"/>
        <v>15811.942510001483</v>
      </c>
      <c r="N540" s="3236">
        <v>594296</v>
      </c>
      <c r="O540" s="3244"/>
      <c r="P540" s="3244"/>
      <c r="Q540" s="3244"/>
      <c r="R540" s="3244">
        <f t="shared" si="103"/>
        <v>644296</v>
      </c>
      <c r="S540" s="3244"/>
      <c r="T540" s="3236"/>
      <c r="U540" s="3236"/>
      <c r="V540" s="3236"/>
      <c r="W540" s="3236"/>
      <c r="X540" s="3244">
        <f t="shared" si="104"/>
        <v>644296</v>
      </c>
      <c r="Y540" s="3244">
        <f t="shared" si="105"/>
        <v>1490000</v>
      </c>
      <c r="Z540" s="3285">
        <f t="shared" si="106"/>
        <v>0.30187752776559579</v>
      </c>
      <c r="AA540" s="3226" t="s">
        <v>3319</v>
      </c>
      <c r="AB540" s="3226" t="s">
        <v>4587</v>
      </c>
      <c r="AC540" s="3226" t="s">
        <v>4698</v>
      </c>
      <c r="AD540" s="3286" t="s">
        <v>4773</v>
      </c>
      <c r="AE540" s="3286" t="s">
        <v>4774</v>
      </c>
      <c r="AF540" s="3286"/>
      <c r="AG540" s="3323"/>
      <c r="AH540" s="3255"/>
      <c r="AI540" s="3255"/>
      <c r="AJ540" s="3255"/>
      <c r="AK540" s="3287"/>
      <c r="AL540" s="3288"/>
      <c r="AM540" s="3226"/>
      <c r="AN540" s="3289"/>
      <c r="AO540" s="3300"/>
      <c r="AP540" s="3300"/>
      <c r="AQ540" s="3300"/>
      <c r="AR540" s="3292"/>
      <c r="AS540" s="3292"/>
      <c r="AT540" s="3292"/>
      <c r="AU540" s="3293"/>
      <c r="AV540" s="3293"/>
      <c r="AW540" s="3294"/>
      <c r="AX540" s="3236"/>
      <c r="AY540" s="3244"/>
      <c r="AZ540" s="3325" t="s">
        <v>4895</v>
      </c>
      <c r="BA540" s="3296" t="str">
        <f t="shared" si="107"/>
        <v>签约</v>
      </c>
      <c r="BB540" s="3226"/>
      <c r="BC540" s="3226"/>
      <c r="BD540" s="3292"/>
      <c r="BE540" s="3297" t="s">
        <v>4367</v>
      </c>
    </row>
    <row r="541" spans="1:57" s="3261" customFormat="1" ht="20.25" customHeight="1">
      <c r="A541" s="3226">
        <v>539</v>
      </c>
      <c r="B541" s="3250" t="s">
        <v>4111</v>
      </c>
      <c r="C541" s="3227" t="s">
        <v>920</v>
      </c>
      <c r="D541" s="3251" t="s">
        <v>4112</v>
      </c>
      <c r="E541" s="3229">
        <v>44044</v>
      </c>
      <c r="F541" s="3230">
        <v>70000</v>
      </c>
      <c r="G541" s="3231">
        <v>134.97999999999999</v>
      </c>
      <c r="H541" s="3231" t="str">
        <f t="shared" si="100"/>
        <v>普通住宅</v>
      </c>
      <c r="I541" s="3230">
        <v>2162127</v>
      </c>
      <c r="J541" s="3229">
        <v>44047</v>
      </c>
      <c r="K541" s="3284">
        <f t="shared" si="101"/>
        <v>8</v>
      </c>
      <c r="L541" s="3230">
        <v>2162127</v>
      </c>
      <c r="M541" s="3235">
        <f t="shared" si="102"/>
        <v>16018.128611646171</v>
      </c>
      <c r="N541" s="3236">
        <v>582127</v>
      </c>
      <c r="O541" s="3244"/>
      <c r="P541" s="3244"/>
      <c r="Q541" s="3244"/>
      <c r="R541" s="3244">
        <f t="shared" si="103"/>
        <v>652127</v>
      </c>
      <c r="S541" s="3244"/>
      <c r="T541" s="3236"/>
      <c r="U541" s="3236"/>
      <c r="V541" s="3236"/>
      <c r="W541" s="3236"/>
      <c r="X541" s="3244">
        <f t="shared" si="104"/>
        <v>652127</v>
      </c>
      <c r="Y541" s="3244">
        <f t="shared" si="105"/>
        <v>1510000</v>
      </c>
      <c r="Z541" s="3285">
        <f t="shared" si="106"/>
        <v>0.30161364249186101</v>
      </c>
      <c r="AA541" s="3226" t="s">
        <v>3319</v>
      </c>
      <c r="AB541" s="3226" t="s">
        <v>4587</v>
      </c>
      <c r="AC541" s="3226" t="s">
        <v>4698</v>
      </c>
      <c r="AD541" s="3286" t="s">
        <v>4773</v>
      </c>
      <c r="AE541" s="3286" t="s">
        <v>4774</v>
      </c>
      <c r="AF541" s="3286"/>
      <c r="AG541" s="3323"/>
      <c r="AH541" s="3255"/>
      <c r="AI541" s="3255"/>
      <c r="AJ541" s="3255"/>
      <c r="AK541" s="3287"/>
      <c r="AL541" s="3288"/>
      <c r="AM541" s="3226"/>
      <c r="AN541" s="3289"/>
      <c r="AO541" s="3300"/>
      <c r="AP541" s="3300"/>
      <c r="AQ541" s="3300"/>
      <c r="AR541" s="3292"/>
      <c r="AS541" s="3292"/>
      <c r="AT541" s="3292"/>
      <c r="AU541" s="3293"/>
      <c r="AV541" s="3293"/>
      <c r="AW541" s="3294"/>
      <c r="AX541" s="3236"/>
      <c r="AY541" s="3244"/>
      <c r="AZ541" s="3325" t="s">
        <v>4448</v>
      </c>
      <c r="BA541" s="3296" t="str">
        <f t="shared" si="107"/>
        <v>签约</v>
      </c>
      <c r="BB541" s="3226"/>
      <c r="BC541" s="3226"/>
      <c r="BD541" s="3292"/>
      <c r="BE541" s="3297" t="s">
        <v>4449</v>
      </c>
    </row>
    <row r="542" spans="1:57" s="3261" customFormat="1" ht="20.25" customHeight="1">
      <c r="A542" s="3226">
        <v>540</v>
      </c>
      <c r="B542" s="3250" t="s">
        <v>4937</v>
      </c>
      <c r="C542" s="3227" t="s">
        <v>920</v>
      </c>
      <c r="D542" s="3251" t="s">
        <v>4938</v>
      </c>
      <c r="E542" s="3229">
        <v>44044</v>
      </c>
      <c r="F542" s="3230">
        <v>50000</v>
      </c>
      <c r="G542" s="3231">
        <v>134.97999999999999</v>
      </c>
      <c r="H542" s="3231" t="str">
        <f t="shared" si="100"/>
        <v>普通住宅</v>
      </c>
      <c r="I542" s="3230">
        <v>2189958</v>
      </c>
      <c r="J542" s="3229"/>
      <c r="K542" s="3284" t="str">
        <f t="shared" si="101"/>
        <v/>
      </c>
      <c r="L542" s="3230"/>
      <c r="M542" s="3235">
        <f t="shared" si="102"/>
        <v>0</v>
      </c>
      <c r="N542" s="3236"/>
      <c r="O542" s="3244"/>
      <c r="P542" s="3244"/>
      <c r="Q542" s="3244"/>
      <c r="R542" s="3244">
        <f t="shared" si="103"/>
        <v>50000</v>
      </c>
      <c r="S542" s="3244"/>
      <c r="T542" s="3236"/>
      <c r="U542" s="3236"/>
      <c r="V542" s="3236"/>
      <c r="W542" s="3236"/>
      <c r="X542" s="3244">
        <f t="shared" si="104"/>
        <v>50000</v>
      </c>
      <c r="Y542" s="3244">
        <f t="shared" si="105"/>
        <v>-50000</v>
      </c>
      <c r="Z542" s="3285" t="e">
        <f t="shared" si="106"/>
        <v>#DIV/0!</v>
      </c>
      <c r="AA542" s="3226"/>
      <c r="AB542" s="3226"/>
      <c r="AC542" s="3226"/>
      <c r="AD542" s="3286"/>
      <c r="AE542" s="3286"/>
      <c r="AF542" s="3286"/>
      <c r="AG542" s="3323"/>
      <c r="AH542" s="3255"/>
      <c r="AI542" s="3255"/>
      <c r="AJ542" s="3255"/>
      <c r="AK542" s="3287"/>
      <c r="AL542" s="3288"/>
      <c r="AM542" s="3226"/>
      <c r="AN542" s="3289"/>
      <c r="AO542" s="3300"/>
      <c r="AP542" s="3300"/>
      <c r="AQ542" s="3300"/>
      <c r="AR542" s="3292"/>
      <c r="AS542" s="3292"/>
      <c r="AT542" s="3292"/>
      <c r="AU542" s="3293"/>
      <c r="AV542" s="3293"/>
      <c r="AW542" s="3294"/>
      <c r="AX542" s="3236"/>
      <c r="AY542" s="3244"/>
      <c r="AZ542" s="3325"/>
      <c r="BA542" s="3296" t="str">
        <f t="shared" si="107"/>
        <v>认购</v>
      </c>
      <c r="BB542" s="3226"/>
      <c r="BC542" s="3226"/>
      <c r="BD542" s="3292"/>
      <c r="BE542" s="3297"/>
    </row>
    <row r="543" spans="1:57" s="3261" customFormat="1" ht="20.25" customHeight="1">
      <c r="A543" s="3226">
        <v>541</v>
      </c>
      <c r="B543" s="3250" t="s">
        <v>4113</v>
      </c>
      <c r="C543" s="3227" t="s">
        <v>920</v>
      </c>
      <c r="D543" s="3251" t="s">
        <v>4114</v>
      </c>
      <c r="E543" s="3229">
        <v>44044</v>
      </c>
      <c r="F543" s="3230">
        <v>50000</v>
      </c>
      <c r="G543" s="3231">
        <v>134.97999999999999</v>
      </c>
      <c r="H543" s="3231" t="str">
        <f t="shared" si="100"/>
        <v>普通住宅</v>
      </c>
      <c r="I543" s="3230">
        <v>2217789</v>
      </c>
      <c r="J543" s="3229">
        <v>44047</v>
      </c>
      <c r="K543" s="3284">
        <f t="shared" si="101"/>
        <v>8</v>
      </c>
      <c r="L543" s="3230">
        <v>2217789</v>
      </c>
      <c r="M543" s="3235">
        <f t="shared" si="102"/>
        <v>16430.500814935549</v>
      </c>
      <c r="N543" s="3236">
        <v>2167789</v>
      </c>
      <c r="O543" s="3244"/>
      <c r="P543" s="3244"/>
      <c r="Q543" s="3244"/>
      <c r="R543" s="3244">
        <f t="shared" si="103"/>
        <v>2217789</v>
      </c>
      <c r="S543" s="3244"/>
      <c r="T543" s="3236"/>
      <c r="U543" s="3236"/>
      <c r="V543" s="3236"/>
      <c r="W543" s="3236"/>
      <c r="X543" s="3244">
        <f t="shared" si="104"/>
        <v>2217789</v>
      </c>
      <c r="Y543" s="3244">
        <f t="shared" si="105"/>
        <v>0</v>
      </c>
      <c r="Z543" s="3285">
        <f t="shared" si="106"/>
        <v>1</v>
      </c>
      <c r="AA543" s="3226" t="s">
        <v>3319</v>
      </c>
      <c r="AB543" s="3226" t="s">
        <v>4676</v>
      </c>
      <c r="AC543" s="3226"/>
      <c r="AD543" s="3286"/>
      <c r="AE543" s="3286"/>
      <c r="AF543" s="3286"/>
      <c r="AG543" s="3323"/>
      <c r="AH543" s="3255"/>
      <c r="AI543" s="3255"/>
      <c r="AJ543" s="3255"/>
      <c r="AK543" s="3287"/>
      <c r="AL543" s="3288"/>
      <c r="AM543" s="3226"/>
      <c r="AN543" s="3289"/>
      <c r="AO543" s="3300"/>
      <c r="AP543" s="3300"/>
      <c r="AQ543" s="3300"/>
      <c r="AR543" s="3292"/>
      <c r="AS543" s="3292"/>
      <c r="AT543" s="3292"/>
      <c r="AU543" s="3293"/>
      <c r="AV543" s="3293"/>
      <c r="AW543" s="3294"/>
      <c r="AX543" s="3236"/>
      <c r="AY543" s="3244"/>
      <c r="AZ543" s="3325" t="s">
        <v>4507</v>
      </c>
      <c r="BA543" s="3296" t="str">
        <f t="shared" si="107"/>
        <v>签约</v>
      </c>
      <c r="BB543" s="3226"/>
      <c r="BC543" s="3226"/>
      <c r="BD543" s="3292"/>
      <c r="BE543" s="3297" t="s">
        <v>4367</v>
      </c>
    </row>
    <row r="544" spans="1:57" s="3261" customFormat="1" ht="20.25" customHeight="1">
      <c r="A544" s="3226">
        <v>542</v>
      </c>
      <c r="B544" s="3250" t="s">
        <v>4115</v>
      </c>
      <c r="C544" s="3227" t="s">
        <v>920</v>
      </c>
      <c r="D544" s="3251" t="s">
        <v>4116</v>
      </c>
      <c r="E544" s="3229">
        <v>44044</v>
      </c>
      <c r="F544" s="3230">
        <v>50000</v>
      </c>
      <c r="G544" s="3231">
        <v>134.97999999999999</v>
      </c>
      <c r="H544" s="3231" t="str">
        <f t="shared" si="100"/>
        <v>普通住宅</v>
      </c>
      <c r="I544" s="3230">
        <v>2245620</v>
      </c>
      <c r="J544" s="3229">
        <v>44047</v>
      </c>
      <c r="K544" s="3284">
        <f t="shared" si="101"/>
        <v>8</v>
      </c>
      <c r="L544" s="3230">
        <v>2245620</v>
      </c>
      <c r="M544" s="3235">
        <f t="shared" si="102"/>
        <v>16636.686916580235</v>
      </c>
      <c r="N544" s="3236">
        <v>1695620</v>
      </c>
      <c r="O544" s="3244"/>
      <c r="P544" s="3244"/>
      <c r="Q544" s="3244"/>
      <c r="R544" s="3244">
        <f t="shared" si="103"/>
        <v>1745620</v>
      </c>
      <c r="S544" s="3244"/>
      <c r="T544" s="3236"/>
      <c r="U544" s="3236"/>
      <c r="V544" s="3236"/>
      <c r="W544" s="3236"/>
      <c r="X544" s="3244">
        <f t="shared" si="104"/>
        <v>1745620</v>
      </c>
      <c r="Y544" s="3244">
        <f t="shared" si="105"/>
        <v>500000</v>
      </c>
      <c r="Z544" s="3285">
        <f t="shared" si="106"/>
        <v>0.77734434142909303</v>
      </c>
      <c r="AA544" s="3226" t="s">
        <v>3319</v>
      </c>
      <c r="AB544" s="3226" t="s">
        <v>4587</v>
      </c>
      <c r="AC544" s="3226" t="s">
        <v>4698</v>
      </c>
      <c r="AD544" s="3286" t="s">
        <v>4773</v>
      </c>
      <c r="AE544" s="3286" t="s">
        <v>4774</v>
      </c>
      <c r="AF544" s="3286"/>
      <c r="AG544" s="3323"/>
      <c r="AH544" s="3255"/>
      <c r="AI544" s="3255"/>
      <c r="AJ544" s="3255"/>
      <c r="AK544" s="3287"/>
      <c r="AL544" s="3288"/>
      <c r="AM544" s="3226"/>
      <c r="AN544" s="3289"/>
      <c r="AO544" s="3300"/>
      <c r="AP544" s="3300"/>
      <c r="AQ544" s="3300"/>
      <c r="AR544" s="3292"/>
      <c r="AS544" s="3292"/>
      <c r="AT544" s="3292"/>
      <c r="AU544" s="3293"/>
      <c r="AV544" s="3293"/>
      <c r="AW544" s="3294"/>
      <c r="AX544" s="3236"/>
      <c r="AY544" s="3244"/>
      <c r="AZ544" s="3325" t="s">
        <v>4429</v>
      </c>
      <c r="BA544" s="3296" t="str">
        <f t="shared" si="107"/>
        <v>签约</v>
      </c>
      <c r="BB544" s="3226"/>
      <c r="BC544" s="3226"/>
      <c r="BD544" s="3292"/>
      <c r="BE544" s="3297" t="s">
        <v>4696</v>
      </c>
    </row>
    <row r="545" spans="1:57" s="3261" customFormat="1" ht="20.25" customHeight="1">
      <c r="A545" s="3226">
        <v>543</v>
      </c>
      <c r="B545" s="3250" t="s">
        <v>4117</v>
      </c>
      <c r="C545" s="3227" t="s">
        <v>920</v>
      </c>
      <c r="D545" s="3251" t="s">
        <v>4118</v>
      </c>
      <c r="E545" s="3229">
        <v>44044</v>
      </c>
      <c r="F545" s="3230">
        <v>50000</v>
      </c>
      <c r="G545" s="3231">
        <v>134.97999999999999</v>
      </c>
      <c r="H545" s="3231" t="str">
        <f t="shared" si="100"/>
        <v>普通住宅</v>
      </c>
      <c r="I545" s="3230">
        <v>2120380</v>
      </c>
      <c r="J545" s="3229">
        <v>44045</v>
      </c>
      <c r="K545" s="3284">
        <f t="shared" si="101"/>
        <v>8</v>
      </c>
      <c r="L545" s="3230">
        <v>2120380</v>
      </c>
      <c r="M545" s="3235">
        <f t="shared" si="102"/>
        <v>15708.845754926657</v>
      </c>
      <c r="N545" s="3236">
        <v>590380</v>
      </c>
      <c r="O545" s="3244"/>
      <c r="P545" s="3244"/>
      <c r="Q545" s="3244"/>
      <c r="R545" s="3244">
        <f t="shared" si="103"/>
        <v>640380</v>
      </c>
      <c r="S545" s="3244"/>
      <c r="T545" s="3236"/>
      <c r="U545" s="3236"/>
      <c r="V545" s="3236"/>
      <c r="W545" s="3236"/>
      <c r="X545" s="3244">
        <f t="shared" si="104"/>
        <v>640380</v>
      </c>
      <c r="Y545" s="3244">
        <f t="shared" si="105"/>
        <v>1480000</v>
      </c>
      <c r="Z545" s="3285">
        <f t="shared" si="106"/>
        <v>0.30201190352672636</v>
      </c>
      <c r="AA545" s="3226" t="s">
        <v>3319</v>
      </c>
      <c r="AB545" s="3226" t="s">
        <v>4587</v>
      </c>
      <c r="AC545" s="3226" t="s">
        <v>4698</v>
      </c>
      <c r="AD545" s="3286" t="s">
        <v>4773</v>
      </c>
      <c r="AE545" s="3286" t="s">
        <v>4774</v>
      </c>
      <c r="AF545" s="3286"/>
      <c r="AG545" s="3323"/>
      <c r="AH545" s="3255"/>
      <c r="AI545" s="3255"/>
      <c r="AJ545" s="3255"/>
      <c r="AK545" s="3287"/>
      <c r="AL545" s="3288"/>
      <c r="AM545" s="3226"/>
      <c r="AN545" s="3289"/>
      <c r="AO545" s="3300"/>
      <c r="AP545" s="3300"/>
      <c r="AQ545" s="3300"/>
      <c r="AR545" s="3292"/>
      <c r="AS545" s="3292"/>
      <c r="AT545" s="3292"/>
      <c r="AU545" s="3293"/>
      <c r="AV545" s="3293"/>
      <c r="AW545" s="3294"/>
      <c r="AX545" s="3236"/>
      <c r="AY545" s="3244"/>
      <c r="AZ545" s="3325" t="s">
        <v>4885</v>
      </c>
      <c r="BA545" s="3296" t="str">
        <f t="shared" si="107"/>
        <v>签约</v>
      </c>
      <c r="BB545" s="3226"/>
      <c r="BC545" s="3226"/>
      <c r="BD545" s="3292"/>
      <c r="BE545" s="3297" t="s">
        <v>4465</v>
      </c>
    </row>
    <row r="546" spans="1:57" s="3261" customFormat="1" ht="20.25" customHeight="1">
      <c r="A546" s="3226">
        <v>544</v>
      </c>
      <c r="B546" s="3250" t="s">
        <v>4119</v>
      </c>
      <c r="C546" s="3227" t="s">
        <v>920</v>
      </c>
      <c r="D546" s="3251" t="s">
        <v>4120</v>
      </c>
      <c r="E546" s="3229">
        <v>44044</v>
      </c>
      <c r="F546" s="3230">
        <v>50000</v>
      </c>
      <c r="G546" s="3231">
        <v>151.06</v>
      </c>
      <c r="H546" s="3231" t="str">
        <f t="shared" si="100"/>
        <v>非普通住宅</v>
      </c>
      <c r="I546" s="3230">
        <v>2223228</v>
      </c>
      <c r="J546" s="3229">
        <v>44047</v>
      </c>
      <c r="K546" s="3284">
        <f t="shared" si="101"/>
        <v>8</v>
      </c>
      <c r="L546" s="3230">
        <v>2223228</v>
      </c>
      <c r="M546" s="3235">
        <f t="shared" si="102"/>
        <v>14717.516218721037</v>
      </c>
      <c r="N546" s="3236">
        <v>623228</v>
      </c>
      <c r="O546" s="3244"/>
      <c r="P546" s="3244"/>
      <c r="Q546" s="3244"/>
      <c r="R546" s="3244">
        <f t="shared" si="103"/>
        <v>673228</v>
      </c>
      <c r="S546" s="3244"/>
      <c r="T546" s="3236"/>
      <c r="U546" s="3236"/>
      <c r="V546" s="3236"/>
      <c r="W546" s="3236"/>
      <c r="X546" s="3244">
        <f t="shared" si="104"/>
        <v>673228</v>
      </c>
      <c r="Y546" s="3244">
        <f t="shared" si="105"/>
        <v>1550000</v>
      </c>
      <c r="Z546" s="3285">
        <f t="shared" si="106"/>
        <v>0.30281554568402341</v>
      </c>
      <c r="AA546" s="3226" t="s">
        <v>3319</v>
      </c>
      <c r="AB546" s="3226" t="s">
        <v>4587</v>
      </c>
      <c r="AC546" s="3226" t="s">
        <v>4698</v>
      </c>
      <c r="AD546" s="3286" t="s">
        <v>4773</v>
      </c>
      <c r="AE546" s="3286" t="s">
        <v>4774</v>
      </c>
      <c r="AF546" s="3286"/>
      <c r="AG546" s="3323"/>
      <c r="AH546" s="3255"/>
      <c r="AI546" s="3255"/>
      <c r="AJ546" s="3255"/>
      <c r="AK546" s="3287"/>
      <c r="AL546" s="3288"/>
      <c r="AM546" s="3226"/>
      <c r="AN546" s="3289"/>
      <c r="AO546" s="3300"/>
      <c r="AP546" s="3300"/>
      <c r="AQ546" s="3300"/>
      <c r="AR546" s="3292"/>
      <c r="AS546" s="3292"/>
      <c r="AT546" s="3292"/>
      <c r="AU546" s="3293"/>
      <c r="AV546" s="3293"/>
      <c r="AW546" s="3294"/>
      <c r="AX546" s="3236"/>
      <c r="AY546" s="3244"/>
      <c r="AZ546" s="3325" t="s">
        <v>4507</v>
      </c>
      <c r="BA546" s="3296" t="str">
        <f t="shared" si="107"/>
        <v>签约</v>
      </c>
      <c r="BB546" s="3226"/>
      <c r="BC546" s="3226"/>
      <c r="BD546" s="3292"/>
      <c r="BE546" s="3297" t="s">
        <v>4367</v>
      </c>
    </row>
    <row r="547" spans="1:57" s="3261" customFormat="1" ht="20.25" customHeight="1">
      <c r="A547" s="3226">
        <v>545</v>
      </c>
      <c r="B547" s="3250" t="s">
        <v>4121</v>
      </c>
      <c r="C547" s="3227" t="s">
        <v>920</v>
      </c>
      <c r="D547" s="3251" t="s">
        <v>4122</v>
      </c>
      <c r="E547" s="3229">
        <v>44044</v>
      </c>
      <c r="F547" s="3230">
        <v>50000</v>
      </c>
      <c r="G547" s="3231">
        <v>151.06</v>
      </c>
      <c r="H547" s="3231" t="str">
        <f t="shared" si="100"/>
        <v>非普通住宅</v>
      </c>
      <c r="I547" s="3230">
        <v>2254374</v>
      </c>
      <c r="J547" s="3229">
        <v>44047</v>
      </c>
      <c r="K547" s="3284">
        <f t="shared" si="101"/>
        <v>8</v>
      </c>
      <c r="L547" s="3230">
        <v>2254374</v>
      </c>
      <c r="M547" s="3235">
        <f t="shared" si="102"/>
        <v>14923.699192373891</v>
      </c>
      <c r="N547" s="3236">
        <v>634374</v>
      </c>
      <c r="O547" s="3244"/>
      <c r="P547" s="3244"/>
      <c r="Q547" s="3244"/>
      <c r="R547" s="3244">
        <f t="shared" si="103"/>
        <v>684374</v>
      </c>
      <c r="S547" s="3244"/>
      <c r="T547" s="3236"/>
      <c r="U547" s="3236"/>
      <c r="V547" s="3236"/>
      <c r="W547" s="3236"/>
      <c r="X547" s="3244">
        <f t="shared" si="104"/>
        <v>684374</v>
      </c>
      <c r="Y547" s="3244">
        <f t="shared" si="105"/>
        <v>1570000</v>
      </c>
      <c r="Z547" s="3285">
        <f t="shared" si="106"/>
        <v>0.30357607034147838</v>
      </c>
      <c r="AA547" s="3226" t="s">
        <v>3319</v>
      </c>
      <c r="AB547" s="3226" t="s">
        <v>4587</v>
      </c>
      <c r="AC547" s="3226" t="s">
        <v>4698</v>
      </c>
      <c r="AD547" s="3286" t="s">
        <v>4773</v>
      </c>
      <c r="AE547" s="3286" t="s">
        <v>4774</v>
      </c>
      <c r="AF547" s="3286"/>
      <c r="AG547" s="3323"/>
      <c r="AH547" s="3255"/>
      <c r="AI547" s="3255"/>
      <c r="AJ547" s="3255"/>
      <c r="AK547" s="3287"/>
      <c r="AL547" s="3288"/>
      <c r="AM547" s="3226"/>
      <c r="AN547" s="3289"/>
      <c r="AO547" s="3300"/>
      <c r="AP547" s="3300"/>
      <c r="AQ547" s="3300"/>
      <c r="AR547" s="3292"/>
      <c r="AS547" s="3292"/>
      <c r="AT547" s="3292"/>
      <c r="AU547" s="3293"/>
      <c r="AV547" s="3293"/>
      <c r="AW547" s="3294"/>
      <c r="AX547" s="3236"/>
      <c r="AY547" s="3244"/>
      <c r="AZ547" s="3325" t="s">
        <v>3385</v>
      </c>
      <c r="BA547" s="3296" t="str">
        <f t="shared" si="107"/>
        <v>签约</v>
      </c>
      <c r="BB547" s="3226"/>
      <c r="BC547" s="3226"/>
      <c r="BD547" s="3292"/>
      <c r="BE547" s="3297" t="s">
        <v>4696</v>
      </c>
    </row>
    <row r="548" spans="1:57" s="3261" customFormat="1" ht="20.25" customHeight="1">
      <c r="A548" s="3226">
        <v>546</v>
      </c>
      <c r="B548" s="3250" t="s">
        <v>4123</v>
      </c>
      <c r="C548" s="3227" t="s">
        <v>920</v>
      </c>
      <c r="D548" s="3251" t="s">
        <v>4124</v>
      </c>
      <c r="E548" s="3229">
        <v>44044</v>
      </c>
      <c r="F548" s="3230">
        <v>50000</v>
      </c>
      <c r="G548" s="3231">
        <v>151.06</v>
      </c>
      <c r="H548" s="3231" t="str">
        <f t="shared" si="100"/>
        <v>非普通住宅</v>
      </c>
      <c r="I548" s="3230">
        <v>2285521</v>
      </c>
      <c r="J548" s="3229">
        <v>44048</v>
      </c>
      <c r="K548" s="3284">
        <f t="shared" si="101"/>
        <v>8</v>
      </c>
      <c r="L548" s="3230">
        <v>2285521</v>
      </c>
      <c r="M548" s="3235">
        <f t="shared" si="102"/>
        <v>15129.888785912883</v>
      </c>
      <c r="N548" s="3236">
        <v>1435521</v>
      </c>
      <c r="O548" s="3244"/>
      <c r="P548" s="3244"/>
      <c r="Q548" s="3244"/>
      <c r="R548" s="3244">
        <f t="shared" si="103"/>
        <v>1485521</v>
      </c>
      <c r="S548" s="3244"/>
      <c r="T548" s="3236"/>
      <c r="U548" s="3236"/>
      <c r="V548" s="3236"/>
      <c r="W548" s="3236"/>
      <c r="X548" s="3244">
        <f t="shared" si="104"/>
        <v>1485521</v>
      </c>
      <c r="Y548" s="3244">
        <f t="shared" si="105"/>
        <v>800000</v>
      </c>
      <c r="Z548" s="3285">
        <f t="shared" si="106"/>
        <v>0.64997040062200262</v>
      </c>
      <c r="AA548" s="3226" t="s">
        <v>3319</v>
      </c>
      <c r="AB548" s="3226" t="s">
        <v>4587</v>
      </c>
      <c r="AC548" s="3226" t="s">
        <v>4698</v>
      </c>
      <c r="AD548" s="3286" t="s">
        <v>4773</v>
      </c>
      <c r="AE548" s="3286" t="s">
        <v>4774</v>
      </c>
      <c r="AF548" s="3286"/>
      <c r="AG548" s="3323"/>
      <c r="AH548" s="3255"/>
      <c r="AI548" s="3255"/>
      <c r="AJ548" s="3255"/>
      <c r="AK548" s="3287"/>
      <c r="AL548" s="3288"/>
      <c r="AM548" s="3226"/>
      <c r="AN548" s="3289"/>
      <c r="AO548" s="3300"/>
      <c r="AP548" s="3300"/>
      <c r="AQ548" s="3300"/>
      <c r="AR548" s="3292"/>
      <c r="AS548" s="3292"/>
      <c r="AT548" s="3292"/>
      <c r="AU548" s="3293"/>
      <c r="AV548" s="3293"/>
      <c r="AW548" s="3294"/>
      <c r="AX548" s="3236"/>
      <c r="AY548" s="3244"/>
      <c r="AZ548" s="3325" t="s">
        <v>4886</v>
      </c>
      <c r="BA548" s="3296" t="str">
        <f t="shared" si="107"/>
        <v>签约</v>
      </c>
      <c r="BB548" s="3226"/>
      <c r="BC548" s="3226"/>
      <c r="BD548" s="3292"/>
      <c r="BE548" s="3297" t="s">
        <v>4449</v>
      </c>
    </row>
    <row r="549" spans="1:57" s="3261" customFormat="1" ht="20.25" customHeight="1">
      <c r="A549" s="3226">
        <v>547</v>
      </c>
      <c r="B549" s="3250" t="s">
        <v>4125</v>
      </c>
      <c r="C549" s="3227" t="s">
        <v>920</v>
      </c>
      <c r="D549" s="3251" t="s">
        <v>4126</v>
      </c>
      <c r="E549" s="3229">
        <v>44044</v>
      </c>
      <c r="F549" s="3230">
        <v>50000</v>
      </c>
      <c r="G549" s="3231">
        <v>151.06</v>
      </c>
      <c r="H549" s="3231" t="str">
        <f t="shared" si="100"/>
        <v>非普通住宅</v>
      </c>
      <c r="I549" s="3230">
        <v>2316667</v>
      </c>
      <c r="J549" s="3229">
        <v>44046</v>
      </c>
      <c r="K549" s="3284">
        <f t="shared" si="101"/>
        <v>8</v>
      </c>
      <c r="L549" s="3230">
        <v>2316667</v>
      </c>
      <c r="M549" s="3235">
        <f t="shared" si="102"/>
        <v>15336.071759565735</v>
      </c>
      <c r="N549" s="3236">
        <v>646667</v>
      </c>
      <c r="O549" s="3244"/>
      <c r="P549" s="3244"/>
      <c r="Q549" s="3244"/>
      <c r="R549" s="3244">
        <f t="shared" si="103"/>
        <v>696667</v>
      </c>
      <c r="S549" s="3244"/>
      <c r="T549" s="3236"/>
      <c r="U549" s="3236"/>
      <c r="V549" s="3236"/>
      <c r="W549" s="3236"/>
      <c r="X549" s="3244">
        <f t="shared" si="104"/>
        <v>696667</v>
      </c>
      <c r="Y549" s="3244">
        <f t="shared" si="105"/>
        <v>1620000</v>
      </c>
      <c r="Z549" s="3285">
        <f t="shared" si="106"/>
        <v>0.30071952507632732</v>
      </c>
      <c r="AA549" s="3226" t="s">
        <v>3319</v>
      </c>
      <c r="AB549" s="3226" t="s">
        <v>4587</v>
      </c>
      <c r="AC549" s="3226" t="s">
        <v>4698</v>
      </c>
      <c r="AD549" s="3286" t="s">
        <v>4773</v>
      </c>
      <c r="AE549" s="3286" t="s">
        <v>4774</v>
      </c>
      <c r="AF549" s="3286"/>
      <c r="AG549" s="3323"/>
      <c r="AH549" s="3255"/>
      <c r="AI549" s="3255"/>
      <c r="AJ549" s="3255"/>
      <c r="AK549" s="3287"/>
      <c r="AL549" s="3288"/>
      <c r="AM549" s="3226"/>
      <c r="AN549" s="3289"/>
      <c r="AO549" s="3300"/>
      <c r="AP549" s="3300"/>
      <c r="AQ549" s="3300"/>
      <c r="AR549" s="3292"/>
      <c r="AS549" s="3292"/>
      <c r="AT549" s="3292"/>
      <c r="AU549" s="3293"/>
      <c r="AV549" s="3293"/>
      <c r="AW549" s="3294"/>
      <c r="AX549" s="3236"/>
      <c r="AY549" s="3244"/>
      <c r="AZ549" s="3325" t="s">
        <v>4507</v>
      </c>
      <c r="BA549" s="3296" t="str">
        <f t="shared" si="107"/>
        <v>签约</v>
      </c>
      <c r="BB549" s="3226"/>
      <c r="BC549" s="3226"/>
      <c r="BD549" s="3292"/>
      <c r="BE549" s="3297" t="s">
        <v>4367</v>
      </c>
    </row>
    <row r="550" spans="1:57" s="3261" customFormat="1" ht="20.25" customHeight="1">
      <c r="A550" s="3226">
        <v>548</v>
      </c>
      <c r="B550" s="3250" t="s">
        <v>4939</v>
      </c>
      <c r="C550" s="3227" t="s">
        <v>920</v>
      </c>
      <c r="D550" s="3251" t="s">
        <v>4940</v>
      </c>
      <c r="E550" s="3229">
        <v>44044</v>
      </c>
      <c r="F550" s="3230">
        <v>50000</v>
      </c>
      <c r="G550" s="3231">
        <v>151.06</v>
      </c>
      <c r="H550" s="3231" t="str">
        <f t="shared" si="100"/>
        <v>非普通住宅</v>
      </c>
      <c r="I550" s="3230">
        <v>2347813</v>
      </c>
      <c r="J550" s="3229"/>
      <c r="K550" s="3284" t="str">
        <f t="shared" si="101"/>
        <v/>
      </c>
      <c r="L550" s="3230"/>
      <c r="M550" s="3235">
        <f t="shared" si="102"/>
        <v>0</v>
      </c>
      <c r="N550" s="3236"/>
      <c r="O550" s="3244"/>
      <c r="P550" s="3244"/>
      <c r="Q550" s="3244"/>
      <c r="R550" s="3244">
        <f t="shared" si="103"/>
        <v>50000</v>
      </c>
      <c r="S550" s="3244"/>
      <c r="T550" s="3236"/>
      <c r="U550" s="3236"/>
      <c r="V550" s="3236"/>
      <c r="W550" s="3236"/>
      <c r="X550" s="3244">
        <f t="shared" si="104"/>
        <v>50000</v>
      </c>
      <c r="Y550" s="3244">
        <f t="shared" si="105"/>
        <v>-50000</v>
      </c>
      <c r="Z550" s="3285" t="e">
        <f t="shared" si="106"/>
        <v>#DIV/0!</v>
      </c>
      <c r="AA550" s="3226"/>
      <c r="AB550" s="3226"/>
      <c r="AC550" s="3226"/>
      <c r="AD550" s="3286"/>
      <c r="AE550" s="3286"/>
      <c r="AF550" s="3286"/>
      <c r="AG550" s="3323"/>
      <c r="AH550" s="3255"/>
      <c r="AI550" s="3255"/>
      <c r="AJ550" s="3255"/>
      <c r="AK550" s="3287"/>
      <c r="AL550" s="3288"/>
      <c r="AM550" s="3226"/>
      <c r="AN550" s="3289"/>
      <c r="AO550" s="3300"/>
      <c r="AP550" s="3300"/>
      <c r="AQ550" s="3300"/>
      <c r="AR550" s="3292"/>
      <c r="AS550" s="3292"/>
      <c r="AT550" s="3292"/>
      <c r="AU550" s="3293"/>
      <c r="AV550" s="3293"/>
      <c r="AW550" s="3294"/>
      <c r="AX550" s="3236"/>
      <c r="AY550" s="3244"/>
      <c r="AZ550" s="3325"/>
      <c r="BA550" s="3296" t="str">
        <f t="shared" si="107"/>
        <v>认购</v>
      </c>
      <c r="BB550" s="3226"/>
      <c r="BC550" s="3226"/>
      <c r="BD550" s="3292"/>
      <c r="BE550" s="3297"/>
    </row>
    <row r="551" spans="1:57" s="3261" customFormat="1" ht="20.25" customHeight="1">
      <c r="A551" s="3226">
        <v>549</v>
      </c>
      <c r="B551" s="3250" t="s">
        <v>4127</v>
      </c>
      <c r="C551" s="3227" t="s">
        <v>920</v>
      </c>
      <c r="D551" s="3251" t="s">
        <v>4128</v>
      </c>
      <c r="E551" s="3229">
        <v>44044</v>
      </c>
      <c r="F551" s="3230">
        <v>50000</v>
      </c>
      <c r="G551" s="3231">
        <v>151.06</v>
      </c>
      <c r="H551" s="3231" t="str">
        <f t="shared" si="100"/>
        <v>非普通住宅</v>
      </c>
      <c r="I551" s="3230">
        <v>2378960</v>
      </c>
      <c r="J551" s="3229">
        <v>44047</v>
      </c>
      <c r="K551" s="3284">
        <f t="shared" si="101"/>
        <v>8</v>
      </c>
      <c r="L551" s="3230">
        <v>2378960</v>
      </c>
      <c r="M551" s="3235">
        <f t="shared" si="102"/>
        <v>15748.444326757579</v>
      </c>
      <c r="N551" s="3236">
        <v>668960</v>
      </c>
      <c r="O551" s="3244"/>
      <c r="P551" s="3244"/>
      <c r="Q551" s="3244"/>
      <c r="R551" s="3244">
        <f t="shared" si="103"/>
        <v>718960</v>
      </c>
      <c r="S551" s="3244"/>
      <c r="T551" s="3236"/>
      <c r="U551" s="3236"/>
      <c r="V551" s="3236"/>
      <c r="W551" s="3236"/>
      <c r="X551" s="3244">
        <f t="shared" si="104"/>
        <v>718960</v>
      </c>
      <c r="Y551" s="3244">
        <f t="shared" si="105"/>
        <v>1660000</v>
      </c>
      <c r="Z551" s="3285">
        <f t="shared" si="106"/>
        <v>0.30221609442781722</v>
      </c>
      <c r="AA551" s="3226" t="s">
        <v>3319</v>
      </c>
      <c r="AB551" s="3226" t="s">
        <v>4587</v>
      </c>
      <c r="AC551" s="3226" t="s">
        <v>4698</v>
      </c>
      <c r="AD551" s="3286" t="s">
        <v>4773</v>
      </c>
      <c r="AE551" s="3286" t="s">
        <v>4774</v>
      </c>
      <c r="AF551" s="3286"/>
      <c r="AG551" s="3323"/>
      <c r="AH551" s="3255"/>
      <c r="AI551" s="3255"/>
      <c r="AJ551" s="3255"/>
      <c r="AK551" s="3287"/>
      <c r="AL551" s="3288"/>
      <c r="AM551" s="3226"/>
      <c r="AN551" s="3289"/>
      <c r="AO551" s="3300"/>
      <c r="AP551" s="3300"/>
      <c r="AQ551" s="3300"/>
      <c r="AR551" s="3292"/>
      <c r="AS551" s="3292"/>
      <c r="AT551" s="3292"/>
      <c r="AU551" s="3293"/>
      <c r="AV551" s="3293"/>
      <c r="AW551" s="3294"/>
      <c r="AX551" s="3236"/>
      <c r="AY551" s="3244"/>
      <c r="AZ551" s="3325" t="s">
        <v>3385</v>
      </c>
      <c r="BA551" s="3296" t="str">
        <f t="shared" si="107"/>
        <v>签约</v>
      </c>
      <c r="BB551" s="3226"/>
      <c r="BC551" s="3226"/>
      <c r="BD551" s="3292"/>
      <c r="BE551" s="3297" t="s">
        <v>4367</v>
      </c>
    </row>
    <row r="552" spans="1:57" s="3261" customFormat="1" ht="20.25" customHeight="1">
      <c r="A552" s="3226">
        <v>550</v>
      </c>
      <c r="B552" s="3250" t="s">
        <v>4129</v>
      </c>
      <c r="C552" s="3227" t="s">
        <v>920</v>
      </c>
      <c r="D552" s="3251" t="s">
        <v>4130</v>
      </c>
      <c r="E552" s="3229">
        <v>44044</v>
      </c>
      <c r="F552" s="3230">
        <v>50000</v>
      </c>
      <c r="G552" s="3231">
        <v>151.06</v>
      </c>
      <c r="H552" s="3231" t="str">
        <f t="shared" si="100"/>
        <v>非普通住宅</v>
      </c>
      <c r="I552" s="3230">
        <v>2410106</v>
      </c>
      <c r="J552" s="3229">
        <v>44046</v>
      </c>
      <c r="K552" s="3284">
        <f t="shared" si="101"/>
        <v>8</v>
      </c>
      <c r="L552" s="3230">
        <v>2410106</v>
      </c>
      <c r="M552" s="3235">
        <f t="shared" si="102"/>
        <v>15954.627300410433</v>
      </c>
      <c r="N552" s="3236">
        <v>1360106</v>
      </c>
      <c r="O552" s="3244"/>
      <c r="P552" s="3244"/>
      <c r="Q552" s="3244"/>
      <c r="R552" s="3244">
        <f t="shared" si="103"/>
        <v>1410106</v>
      </c>
      <c r="S552" s="3244"/>
      <c r="T552" s="3236"/>
      <c r="U552" s="3236"/>
      <c r="V552" s="3236"/>
      <c r="W552" s="3236"/>
      <c r="X552" s="3244">
        <f t="shared" si="104"/>
        <v>1410106</v>
      </c>
      <c r="Y552" s="3244">
        <f t="shared" si="105"/>
        <v>1000000</v>
      </c>
      <c r="Z552" s="3285">
        <f t="shared" si="106"/>
        <v>0.58508049023569919</v>
      </c>
      <c r="AA552" s="3226" t="s">
        <v>3319</v>
      </c>
      <c r="AB552" s="3226" t="s">
        <v>4587</v>
      </c>
      <c r="AC552" s="3226" t="s">
        <v>4698</v>
      </c>
      <c r="AD552" s="3286" t="s">
        <v>4773</v>
      </c>
      <c r="AE552" s="3286" t="s">
        <v>4774</v>
      </c>
      <c r="AF552" s="3286"/>
      <c r="AG552" s="3323"/>
      <c r="AH552" s="3255"/>
      <c r="AI552" s="3255"/>
      <c r="AJ552" s="3255"/>
      <c r="AK552" s="3287"/>
      <c r="AL552" s="3288"/>
      <c r="AM552" s="3226"/>
      <c r="AN552" s="3289"/>
      <c r="AO552" s="3300"/>
      <c r="AP552" s="3300"/>
      <c r="AQ552" s="3300"/>
      <c r="AR552" s="3292"/>
      <c r="AS552" s="3292"/>
      <c r="AT552" s="3292"/>
      <c r="AU552" s="3293"/>
      <c r="AV552" s="3293"/>
      <c r="AW552" s="3294"/>
      <c r="AX552" s="3236"/>
      <c r="AY552" s="3244"/>
      <c r="AZ552" s="3325" t="s">
        <v>4441</v>
      </c>
      <c r="BA552" s="3296" t="str">
        <f t="shared" si="107"/>
        <v>签约</v>
      </c>
      <c r="BB552" s="3226"/>
      <c r="BC552" s="3226"/>
      <c r="BD552" s="3292"/>
      <c r="BE552" s="3297">
        <v>0</v>
      </c>
    </row>
    <row r="553" spans="1:57" s="3261" customFormat="1" ht="20.25" customHeight="1">
      <c r="A553" s="3226">
        <v>551</v>
      </c>
      <c r="B553" s="3250" t="s">
        <v>4131</v>
      </c>
      <c r="C553" s="3227" t="s">
        <v>920</v>
      </c>
      <c r="D553" s="3251" t="s">
        <v>4132</v>
      </c>
      <c r="E553" s="3229">
        <v>44044</v>
      </c>
      <c r="F553" s="3230">
        <v>50000</v>
      </c>
      <c r="G553" s="3231">
        <v>151.06</v>
      </c>
      <c r="H553" s="3231" t="str">
        <f t="shared" si="100"/>
        <v>非普通住宅</v>
      </c>
      <c r="I553" s="3230">
        <v>2441253</v>
      </c>
      <c r="J553" s="3229">
        <v>44047</v>
      </c>
      <c r="K553" s="3284">
        <f t="shared" si="101"/>
        <v>8</v>
      </c>
      <c r="L553" s="3230">
        <v>2441253</v>
      </c>
      <c r="M553" s="3235">
        <f t="shared" si="102"/>
        <v>16160.816893949424</v>
      </c>
      <c r="N553" s="3236">
        <v>691253</v>
      </c>
      <c r="O553" s="3244"/>
      <c r="P553" s="3244"/>
      <c r="Q553" s="3244"/>
      <c r="R553" s="3244">
        <f t="shared" si="103"/>
        <v>741253</v>
      </c>
      <c r="S553" s="3244"/>
      <c r="T553" s="3236"/>
      <c r="U553" s="3236"/>
      <c r="V553" s="3236"/>
      <c r="W553" s="3236"/>
      <c r="X553" s="3244">
        <f t="shared" si="104"/>
        <v>741253</v>
      </c>
      <c r="Y553" s="3244">
        <f t="shared" si="105"/>
        <v>1700000</v>
      </c>
      <c r="Z553" s="3285">
        <f t="shared" si="106"/>
        <v>0.30363628841418733</v>
      </c>
      <c r="AA553" s="3226" t="s">
        <v>3319</v>
      </c>
      <c r="AB553" s="3226" t="s">
        <v>4587</v>
      </c>
      <c r="AC553" s="3226" t="s">
        <v>4698</v>
      </c>
      <c r="AD553" s="3286" t="s">
        <v>4773</v>
      </c>
      <c r="AE553" s="3286" t="s">
        <v>4774</v>
      </c>
      <c r="AF553" s="3286"/>
      <c r="AG553" s="3323"/>
      <c r="AH553" s="3255"/>
      <c r="AI553" s="3255"/>
      <c r="AJ553" s="3255"/>
      <c r="AK553" s="3287"/>
      <c r="AL553" s="3288"/>
      <c r="AM553" s="3226"/>
      <c r="AN553" s="3289"/>
      <c r="AO553" s="3300"/>
      <c r="AP553" s="3300"/>
      <c r="AQ553" s="3300"/>
      <c r="AR553" s="3292"/>
      <c r="AS553" s="3292"/>
      <c r="AT553" s="3292"/>
      <c r="AU553" s="3293"/>
      <c r="AV553" s="3293"/>
      <c r="AW553" s="3294"/>
      <c r="AX553" s="3236"/>
      <c r="AY553" s="3244"/>
      <c r="AZ553" s="3325" t="s">
        <v>4905</v>
      </c>
      <c r="BA553" s="3296" t="str">
        <f t="shared" si="107"/>
        <v>签约</v>
      </c>
      <c r="BB553" s="3226"/>
      <c r="BC553" s="3226"/>
      <c r="BD553" s="3292"/>
      <c r="BE553" s="3297" t="s">
        <v>4465</v>
      </c>
    </row>
    <row r="554" spans="1:57" s="3261" customFormat="1" ht="20.25" customHeight="1">
      <c r="A554" s="3226">
        <v>552</v>
      </c>
      <c r="B554" s="3250" t="s">
        <v>4133</v>
      </c>
      <c r="C554" s="3227" t="s">
        <v>920</v>
      </c>
      <c r="D554" s="3251" t="s">
        <v>4134</v>
      </c>
      <c r="E554" s="3229">
        <v>44044</v>
      </c>
      <c r="F554" s="3230">
        <v>50000</v>
      </c>
      <c r="G554" s="3231">
        <v>151.06</v>
      </c>
      <c r="H554" s="3231" t="str">
        <f t="shared" si="100"/>
        <v>非普通住宅</v>
      </c>
      <c r="I554" s="3230">
        <v>2472399</v>
      </c>
      <c r="J554" s="3229">
        <v>44047</v>
      </c>
      <c r="K554" s="3284">
        <f t="shared" si="101"/>
        <v>8</v>
      </c>
      <c r="L554" s="3230">
        <v>2472399</v>
      </c>
      <c r="M554" s="3235">
        <f t="shared" si="102"/>
        <v>16366.999867602277</v>
      </c>
      <c r="N554" s="3236">
        <v>2422399</v>
      </c>
      <c r="O554" s="3244"/>
      <c r="P554" s="3244"/>
      <c r="Q554" s="3244"/>
      <c r="R554" s="3244">
        <f t="shared" si="103"/>
        <v>2472399</v>
      </c>
      <c r="S554" s="3244"/>
      <c r="T554" s="3236"/>
      <c r="U554" s="3236"/>
      <c r="V554" s="3236"/>
      <c r="W554" s="3236"/>
      <c r="X554" s="3244">
        <f t="shared" si="104"/>
        <v>2472399</v>
      </c>
      <c r="Y554" s="3244">
        <f t="shared" si="105"/>
        <v>0</v>
      </c>
      <c r="Z554" s="3285">
        <f t="shared" si="106"/>
        <v>1</v>
      </c>
      <c r="AA554" s="3226" t="s">
        <v>3319</v>
      </c>
      <c r="AB554" s="3226" t="s">
        <v>4676</v>
      </c>
      <c r="AC554" s="3226"/>
      <c r="AD554" s="3286"/>
      <c r="AE554" s="3286"/>
      <c r="AF554" s="3286"/>
      <c r="AG554" s="3323"/>
      <c r="AH554" s="3255"/>
      <c r="AI554" s="3255"/>
      <c r="AJ554" s="3255"/>
      <c r="AK554" s="3287"/>
      <c r="AL554" s="3288"/>
      <c r="AM554" s="3226"/>
      <c r="AN554" s="3289"/>
      <c r="AO554" s="3300"/>
      <c r="AP554" s="3300"/>
      <c r="AQ554" s="3300"/>
      <c r="AR554" s="3292"/>
      <c r="AS554" s="3292"/>
      <c r="AT554" s="3292"/>
      <c r="AU554" s="3293"/>
      <c r="AV554" s="3293"/>
      <c r="AW554" s="3294"/>
      <c r="AX554" s="3236"/>
      <c r="AY554" s="3244"/>
      <c r="AZ554" s="3325" t="s">
        <v>4894</v>
      </c>
      <c r="BA554" s="3296" t="str">
        <f t="shared" si="107"/>
        <v>签约</v>
      </c>
      <c r="BB554" s="3226"/>
      <c r="BC554" s="3226"/>
      <c r="BD554" s="3292"/>
      <c r="BE554" s="3297" t="s">
        <v>4449</v>
      </c>
    </row>
    <row r="555" spans="1:57" s="3261" customFormat="1" ht="20.25" customHeight="1">
      <c r="A555" s="3226">
        <v>553</v>
      </c>
      <c r="B555" s="3250" t="s">
        <v>4135</v>
      </c>
      <c r="C555" s="3227" t="s">
        <v>920</v>
      </c>
      <c r="D555" s="3251" t="s">
        <v>4136</v>
      </c>
      <c r="E555" s="3229">
        <v>44044</v>
      </c>
      <c r="F555" s="3230">
        <v>50000</v>
      </c>
      <c r="G555" s="3231">
        <v>151.06</v>
      </c>
      <c r="H555" s="3231" t="str">
        <f t="shared" si="100"/>
        <v>非普通住宅</v>
      </c>
      <c r="I555" s="3230">
        <v>2332240</v>
      </c>
      <c r="J555" s="3229">
        <v>44045</v>
      </c>
      <c r="K555" s="3284">
        <f t="shared" si="101"/>
        <v>8</v>
      </c>
      <c r="L555" s="3230">
        <v>2332240</v>
      </c>
      <c r="M555" s="3235">
        <f t="shared" si="102"/>
        <v>15439.163246392161</v>
      </c>
      <c r="N555" s="3236">
        <v>652240</v>
      </c>
      <c r="O555" s="3244"/>
      <c r="P555" s="3244"/>
      <c r="Q555" s="3244"/>
      <c r="R555" s="3244">
        <f t="shared" si="103"/>
        <v>702240</v>
      </c>
      <c r="S555" s="3244"/>
      <c r="T555" s="3236"/>
      <c r="U555" s="3236"/>
      <c r="V555" s="3236"/>
      <c r="W555" s="3236"/>
      <c r="X555" s="3244">
        <f t="shared" si="104"/>
        <v>702240</v>
      </c>
      <c r="Y555" s="3244">
        <f t="shared" si="105"/>
        <v>1630000</v>
      </c>
      <c r="Z555" s="3285">
        <f t="shared" si="106"/>
        <v>0.30110108736665181</v>
      </c>
      <c r="AA555" s="3226" t="s">
        <v>3319</v>
      </c>
      <c r="AB555" s="3226" t="s">
        <v>4587</v>
      </c>
      <c r="AC555" s="3226" t="s">
        <v>4698</v>
      </c>
      <c r="AD555" s="3286" t="s">
        <v>4773</v>
      </c>
      <c r="AE555" s="3286" t="s">
        <v>4774</v>
      </c>
      <c r="AF555" s="3286"/>
      <c r="AG555" s="3323"/>
      <c r="AH555" s="3255"/>
      <c r="AI555" s="3255"/>
      <c r="AJ555" s="3255"/>
      <c r="AK555" s="3287"/>
      <c r="AL555" s="3288"/>
      <c r="AM555" s="3226"/>
      <c r="AN555" s="3289"/>
      <c r="AO555" s="3300"/>
      <c r="AP555" s="3300"/>
      <c r="AQ555" s="3300"/>
      <c r="AR555" s="3292"/>
      <c r="AS555" s="3292"/>
      <c r="AT555" s="3292"/>
      <c r="AU555" s="3293"/>
      <c r="AV555" s="3293"/>
      <c r="AW555" s="3294"/>
      <c r="AX555" s="3236"/>
      <c r="AY555" s="3244"/>
      <c r="AZ555" s="3325" t="s">
        <v>4735</v>
      </c>
      <c r="BA555" s="3296" t="str">
        <f t="shared" si="107"/>
        <v>签约</v>
      </c>
      <c r="BB555" s="3226"/>
      <c r="BC555" s="3226"/>
      <c r="BD555" s="3292"/>
      <c r="BE555" s="3297" t="s">
        <v>4367</v>
      </c>
    </row>
    <row r="556" spans="1:57" s="3261" customFormat="1" ht="20.25" customHeight="1">
      <c r="A556" s="3226">
        <v>554</v>
      </c>
      <c r="B556" s="3250" t="s">
        <v>4351</v>
      </c>
      <c r="C556" s="3227" t="s">
        <v>3011</v>
      </c>
      <c r="D556" s="3251" t="s">
        <v>4352</v>
      </c>
      <c r="E556" s="3229">
        <v>44044</v>
      </c>
      <c r="F556" s="3230">
        <v>200000</v>
      </c>
      <c r="G556" s="3231">
        <v>239.11</v>
      </c>
      <c r="H556" s="3231" t="str">
        <f t="shared" si="100"/>
        <v>非普通住宅</v>
      </c>
      <c r="I556" s="3230">
        <v>8098525</v>
      </c>
      <c r="J556" s="3229">
        <v>44048</v>
      </c>
      <c r="K556" s="3284">
        <f t="shared" si="101"/>
        <v>8</v>
      </c>
      <c r="L556" s="3230">
        <v>8098525</v>
      </c>
      <c r="M556" s="3235">
        <f t="shared" si="102"/>
        <v>33869.453389653296</v>
      </c>
      <c r="N556" s="3236">
        <v>800000</v>
      </c>
      <c r="O556" s="3244"/>
      <c r="P556" s="3244"/>
      <c r="Q556" s="3244"/>
      <c r="R556" s="3244">
        <f t="shared" si="103"/>
        <v>1000000</v>
      </c>
      <c r="S556" s="3244"/>
      <c r="T556" s="3236"/>
      <c r="U556" s="3236"/>
      <c r="V556" s="3236"/>
      <c r="W556" s="3236"/>
      <c r="X556" s="3244">
        <f t="shared" si="104"/>
        <v>1000000</v>
      </c>
      <c r="Y556" s="3244">
        <f t="shared" si="105"/>
        <v>7098525</v>
      </c>
      <c r="Z556" s="3285">
        <f t="shared" si="106"/>
        <v>0.12347927554709036</v>
      </c>
      <c r="AA556" s="3226" t="s">
        <v>3319</v>
      </c>
      <c r="AB556" s="3226" t="s">
        <v>4587</v>
      </c>
      <c r="AC556" s="3226" t="s">
        <v>4698</v>
      </c>
      <c r="AD556" s="3286" t="s">
        <v>4773</v>
      </c>
      <c r="AE556" s="3286" t="s">
        <v>4774</v>
      </c>
      <c r="AF556" s="3286"/>
      <c r="AG556" s="3323"/>
      <c r="AH556" s="3255"/>
      <c r="AI556" s="3255"/>
      <c r="AJ556" s="3255"/>
      <c r="AK556" s="3287"/>
      <c r="AL556" s="3288"/>
      <c r="AM556" s="3226"/>
      <c r="AN556" s="3289"/>
      <c r="AO556" s="3300"/>
      <c r="AP556" s="3300"/>
      <c r="AQ556" s="3300"/>
      <c r="AR556" s="3292"/>
      <c r="AS556" s="3292"/>
      <c r="AT556" s="3292"/>
      <c r="AU556" s="3293"/>
      <c r="AV556" s="3293"/>
      <c r="AW556" s="3294"/>
      <c r="AX556" s="3236"/>
      <c r="AY556" s="3244"/>
      <c r="AZ556" s="3325" t="s">
        <v>4882</v>
      </c>
      <c r="BA556" s="3296" t="str">
        <f t="shared" si="107"/>
        <v>签约</v>
      </c>
      <c r="BB556" s="3226"/>
      <c r="BC556" s="3226"/>
      <c r="BD556" s="3292"/>
      <c r="BE556" s="3297"/>
    </row>
    <row r="557" spans="1:57" s="3261" customFormat="1" ht="20.25" customHeight="1">
      <c r="A557" s="3226">
        <v>555</v>
      </c>
      <c r="B557" s="3250" t="s">
        <v>4353</v>
      </c>
      <c r="C557" s="3227" t="s">
        <v>3011</v>
      </c>
      <c r="D557" s="3251" t="s">
        <v>4354</v>
      </c>
      <c r="E557" s="3229">
        <v>44046</v>
      </c>
      <c r="F557" s="3230">
        <v>500000</v>
      </c>
      <c r="G557" s="3231">
        <v>272.95</v>
      </c>
      <c r="H557" s="3231" t="str">
        <f t="shared" si="100"/>
        <v>非普通住宅</v>
      </c>
      <c r="I557" s="3230">
        <v>9917427</v>
      </c>
      <c r="J557" s="3229">
        <v>44048</v>
      </c>
      <c r="K557" s="3284">
        <f t="shared" si="101"/>
        <v>8</v>
      </c>
      <c r="L557" s="3230">
        <v>9917427</v>
      </c>
      <c r="M557" s="3235">
        <f t="shared" si="102"/>
        <v>36334.226048726872</v>
      </c>
      <c r="N557" s="3236">
        <v>2517427</v>
      </c>
      <c r="O557" s="3244"/>
      <c r="P557" s="3244"/>
      <c r="Q557" s="3244"/>
      <c r="R557" s="3244">
        <f t="shared" si="103"/>
        <v>3017427</v>
      </c>
      <c r="S557" s="3244"/>
      <c r="T557" s="3236"/>
      <c r="U557" s="3236"/>
      <c r="V557" s="3236"/>
      <c r="W557" s="3236"/>
      <c r="X557" s="3244">
        <f t="shared" si="104"/>
        <v>3017427</v>
      </c>
      <c r="Y557" s="3244">
        <f t="shared" si="105"/>
        <v>6900000</v>
      </c>
      <c r="Z557" s="3285">
        <f t="shared" si="106"/>
        <v>0.30425502501808183</v>
      </c>
      <c r="AA557" s="3226" t="s">
        <v>3319</v>
      </c>
      <c r="AB557" s="3226" t="s">
        <v>4587</v>
      </c>
      <c r="AC557" s="3226" t="s">
        <v>4698</v>
      </c>
      <c r="AD557" s="3286" t="s">
        <v>4773</v>
      </c>
      <c r="AE557" s="3286" t="s">
        <v>4774</v>
      </c>
      <c r="AF557" s="3286"/>
      <c r="AG557" s="3323"/>
      <c r="AH557" s="3255"/>
      <c r="AI557" s="3255"/>
      <c r="AJ557" s="3255"/>
      <c r="AK557" s="3287"/>
      <c r="AL557" s="3288"/>
      <c r="AM557" s="3226"/>
      <c r="AN557" s="3289"/>
      <c r="AO557" s="3300"/>
      <c r="AP557" s="3300"/>
      <c r="AQ557" s="3300"/>
      <c r="AR557" s="3292"/>
      <c r="AS557" s="3292"/>
      <c r="AT557" s="3292"/>
      <c r="AU557" s="3293"/>
      <c r="AV557" s="3293"/>
      <c r="AW557" s="3294"/>
      <c r="AX557" s="3236"/>
      <c r="AY557" s="3244"/>
      <c r="AZ557" s="3325" t="s">
        <v>4885</v>
      </c>
      <c r="BA557" s="3296" t="str">
        <f t="shared" si="107"/>
        <v>签约</v>
      </c>
      <c r="BB557" s="3226"/>
      <c r="BC557" s="3226"/>
      <c r="BD557" s="3292"/>
      <c r="BE557" s="3297"/>
    </row>
    <row r="558" spans="1:57" s="3261" customFormat="1" ht="20.25" customHeight="1">
      <c r="A558" s="3226">
        <v>556</v>
      </c>
      <c r="B558" s="3250"/>
      <c r="C558" s="3227"/>
      <c r="D558" s="3251"/>
      <c r="E558" s="3229"/>
      <c r="F558" s="3230"/>
      <c r="G558" s="3231"/>
      <c r="H558" s="3231"/>
      <c r="I558" s="3230"/>
      <c r="J558" s="3229"/>
      <c r="K558" s="3284"/>
      <c r="L558" s="3230"/>
      <c r="M558" s="3235"/>
      <c r="N558" s="3236"/>
      <c r="O558" s="3244"/>
      <c r="P558" s="3244"/>
      <c r="Q558" s="3244"/>
      <c r="R558" s="3244"/>
      <c r="S558" s="3244"/>
      <c r="T558" s="3236"/>
      <c r="U558" s="3236"/>
      <c r="V558" s="3236"/>
      <c r="W558" s="3236"/>
      <c r="X558" s="3244"/>
      <c r="Y558" s="3244"/>
      <c r="Z558" s="3285"/>
      <c r="AA558" s="3226"/>
      <c r="AB558" s="3226"/>
      <c r="AC558" s="3226"/>
      <c r="AD558" s="3286"/>
      <c r="AE558" s="3286"/>
      <c r="AF558" s="3286"/>
      <c r="AG558" s="3323"/>
      <c r="AH558" s="3255"/>
      <c r="AI558" s="3255"/>
      <c r="AJ558" s="3255"/>
      <c r="AK558" s="3287"/>
      <c r="AL558" s="3288"/>
      <c r="AM558" s="3226"/>
      <c r="AN558" s="3289"/>
      <c r="AO558" s="3300"/>
      <c r="AP558" s="3300"/>
      <c r="AQ558" s="3300"/>
      <c r="AR558" s="3292"/>
      <c r="AS558" s="3292"/>
      <c r="AT558" s="3292"/>
      <c r="AU558" s="3293"/>
      <c r="AV558" s="3293"/>
      <c r="AW558" s="3294"/>
      <c r="AX558" s="3236"/>
      <c r="AY558" s="3244"/>
      <c r="AZ558" s="3295"/>
      <c r="BA558" s="3296"/>
      <c r="BB558" s="3226"/>
      <c r="BC558" s="3226"/>
      <c r="BD558" s="3292"/>
      <c r="BE558" s="3297"/>
    </row>
    <row r="559" spans="1:57" s="3261" customFormat="1" ht="20.25" customHeight="1">
      <c r="A559" s="3226">
        <v>557</v>
      </c>
      <c r="B559" s="3250"/>
      <c r="C559" s="3227"/>
      <c r="D559" s="3251"/>
      <c r="E559" s="3229"/>
      <c r="F559" s="3230"/>
      <c r="G559" s="3231"/>
      <c r="H559" s="3231"/>
      <c r="I559" s="3230"/>
      <c r="J559" s="3229"/>
      <c r="K559" s="3284"/>
      <c r="L559" s="3230"/>
      <c r="M559" s="3235"/>
      <c r="N559" s="3236"/>
      <c r="O559" s="3244"/>
      <c r="P559" s="3244"/>
      <c r="Q559" s="3244"/>
      <c r="R559" s="3244"/>
      <c r="S559" s="3244"/>
      <c r="T559" s="3236"/>
      <c r="U559" s="3236"/>
      <c r="V559" s="3236"/>
      <c r="W559" s="3236"/>
      <c r="X559" s="3244"/>
      <c r="Y559" s="3244"/>
      <c r="Z559" s="3285"/>
      <c r="AA559" s="3226"/>
      <c r="AB559" s="3226"/>
      <c r="AC559" s="3226"/>
      <c r="AD559" s="3286"/>
      <c r="AE559" s="3286"/>
      <c r="AF559" s="3286"/>
      <c r="AG559" s="3323"/>
      <c r="AH559" s="3255"/>
      <c r="AI559" s="3255"/>
      <c r="AJ559" s="3255"/>
      <c r="AK559" s="3287"/>
      <c r="AL559" s="3288"/>
      <c r="AM559" s="3226"/>
      <c r="AN559" s="3289"/>
      <c r="AO559" s="3300"/>
      <c r="AP559" s="3300"/>
      <c r="AQ559" s="3300"/>
      <c r="AR559" s="3292"/>
      <c r="AS559" s="3292"/>
      <c r="AT559" s="3292"/>
      <c r="AU559" s="3293"/>
      <c r="AV559" s="3293"/>
      <c r="AW559" s="3294"/>
      <c r="AX559" s="3236"/>
      <c r="AY559" s="3244"/>
      <c r="AZ559" s="3295"/>
      <c r="BA559" s="3296"/>
      <c r="BB559" s="3226"/>
      <c r="BC559" s="3226"/>
      <c r="BD559" s="3292"/>
      <c r="BE559" s="3297"/>
    </row>
    <row r="560" spans="1:57" s="3261" customFormat="1" ht="20.25" customHeight="1">
      <c r="A560" s="3226">
        <v>558</v>
      </c>
      <c r="B560" s="3250"/>
      <c r="C560" s="3227"/>
      <c r="D560" s="3251"/>
      <c r="E560" s="3229"/>
      <c r="F560" s="3230"/>
      <c r="G560" s="3231"/>
      <c r="H560" s="3231"/>
      <c r="I560" s="3230"/>
      <c r="J560" s="3229"/>
      <c r="K560" s="3284"/>
      <c r="L560" s="3230"/>
      <c r="M560" s="3235"/>
      <c r="N560" s="3236"/>
      <c r="O560" s="3244"/>
      <c r="P560" s="3244"/>
      <c r="Q560" s="3244"/>
      <c r="R560" s="3244"/>
      <c r="S560" s="3244"/>
      <c r="T560" s="3236"/>
      <c r="U560" s="3236"/>
      <c r="V560" s="3236"/>
      <c r="W560" s="3236"/>
      <c r="X560" s="3244"/>
      <c r="Y560" s="3244"/>
      <c r="Z560" s="3285"/>
      <c r="AA560" s="3226"/>
      <c r="AB560" s="3226"/>
      <c r="AC560" s="3226"/>
      <c r="AD560" s="3286"/>
      <c r="AE560" s="3286"/>
      <c r="AF560" s="3286"/>
      <c r="AG560" s="3323"/>
      <c r="AH560" s="3255"/>
      <c r="AI560" s="3255"/>
      <c r="AJ560" s="3255"/>
      <c r="AK560" s="3287"/>
      <c r="AL560" s="3288"/>
      <c r="AM560" s="3226"/>
      <c r="AN560" s="3289"/>
      <c r="AO560" s="3300"/>
      <c r="AP560" s="3300"/>
      <c r="AQ560" s="3300"/>
      <c r="AR560" s="3292"/>
      <c r="AS560" s="3292"/>
      <c r="AT560" s="3292"/>
      <c r="AU560" s="3293"/>
      <c r="AV560" s="3293"/>
      <c r="AW560" s="3294"/>
      <c r="AX560" s="3236"/>
      <c r="AY560" s="3244"/>
      <c r="AZ560" s="3295"/>
      <c r="BA560" s="3296"/>
      <c r="BB560" s="3226"/>
      <c r="BC560" s="3226"/>
      <c r="BD560" s="3292"/>
      <c r="BE560" s="3297"/>
    </row>
    <row r="561" spans="1:57" s="3261" customFormat="1" ht="20.25" customHeight="1">
      <c r="A561" s="3226">
        <v>559</v>
      </c>
      <c r="B561" s="3328"/>
      <c r="C561" s="3328"/>
      <c r="D561" s="3251"/>
      <c r="E561" s="3229"/>
      <c r="F561" s="3230"/>
      <c r="G561" s="3231"/>
      <c r="H561" s="3231"/>
      <c r="I561" s="3230"/>
      <c r="J561" s="3229"/>
      <c r="K561" s="3284" t="str">
        <f>IF(ISBLANK(J561),"",MONTH(J561))</f>
        <v/>
      </c>
      <c r="L561" s="3230"/>
      <c r="M561" s="3235"/>
      <c r="N561" s="3236"/>
      <c r="O561" s="3244"/>
      <c r="P561" s="3244"/>
      <c r="Q561" s="3244"/>
      <c r="R561" s="3244">
        <f>F561+N561</f>
        <v>0</v>
      </c>
      <c r="S561" s="3244">
        <f>R561-T561-U561</f>
        <v>0</v>
      </c>
      <c r="T561" s="3236"/>
      <c r="U561" s="3236"/>
      <c r="V561" s="3236"/>
      <c r="W561" s="3236"/>
      <c r="X561" s="3244">
        <f>R561+V561+W561</f>
        <v>0</v>
      </c>
      <c r="Y561" s="3244">
        <f>L561-X561</f>
        <v>0</v>
      </c>
      <c r="Z561" s="3285"/>
      <c r="AA561" s="3226"/>
      <c r="AB561" s="3226"/>
      <c r="AC561" s="3226"/>
      <c r="AD561" s="3226"/>
      <c r="AE561" s="3226"/>
      <c r="AF561" s="3286"/>
      <c r="AG561" s="3323"/>
      <c r="AH561" s="3255"/>
      <c r="AI561" s="3255"/>
      <c r="AJ561" s="3255"/>
      <c r="AK561" s="3287"/>
      <c r="AL561" s="3288" t="str">
        <f>IF(ISBLANK(AJ561),"",MONTH(AJ561))</f>
        <v/>
      </c>
      <c r="AM561" s="3226"/>
      <c r="AN561" s="3289"/>
      <c r="AO561" s="3300"/>
      <c r="AP561" s="3300"/>
      <c r="AQ561" s="3300"/>
      <c r="AR561" s="3294"/>
      <c r="AS561" s="3294"/>
      <c r="AT561" s="3294"/>
      <c r="AU561" s="3293"/>
      <c r="AV561" s="3293"/>
      <c r="AW561" s="3294"/>
      <c r="AX561" s="3236"/>
      <c r="AY561" s="3247"/>
      <c r="AZ561" s="3295"/>
      <c r="BA561" s="3296"/>
      <c r="BB561" s="3226"/>
      <c r="BC561" s="3226"/>
      <c r="BD561" s="3292"/>
      <c r="BE561" s="3297"/>
    </row>
    <row r="562" spans="1:57" ht="20.25" customHeight="1">
      <c r="A562" s="3226"/>
      <c r="B562" s="3265"/>
      <c r="C562" s="3265"/>
      <c r="D562" s="3251"/>
      <c r="E562" s="3266"/>
      <c r="F562" s="3266">
        <f>SUM(F3:F561)</f>
        <v>45000000</v>
      </c>
      <c r="G562" s="3266">
        <f>SUBTOTAL(9,G3:G561)</f>
        <v>85019.52999999981</v>
      </c>
      <c r="H562" s="3231"/>
      <c r="I562" s="3267">
        <f>SUM(I3:I561)</f>
        <v>1538493931</v>
      </c>
      <c r="J562" s="3266">
        <f t="shared" ref="J562:Z562" si="108">SUM(J3:J561)</f>
        <v>22834910</v>
      </c>
      <c r="K562" s="3266">
        <f t="shared" si="108"/>
        <v>4010</v>
      </c>
      <c r="L562" s="3267">
        <f t="shared" si="108"/>
        <v>1376820357</v>
      </c>
      <c r="M562" s="3267">
        <f t="shared" si="108"/>
        <v>8629931.3796355855</v>
      </c>
      <c r="N562" s="3267">
        <f t="shared" si="108"/>
        <v>621326731</v>
      </c>
      <c r="O562" s="3267">
        <f t="shared" si="108"/>
        <v>888078961</v>
      </c>
      <c r="P562" s="3267">
        <f t="shared" si="108"/>
        <v>1590000</v>
      </c>
      <c r="Q562" s="3267">
        <f t="shared" si="108"/>
        <v>0</v>
      </c>
      <c r="R562" s="3267">
        <f t="shared" si="108"/>
        <v>666326731</v>
      </c>
      <c r="S562" s="3267">
        <f t="shared" si="108"/>
        <v>428456454</v>
      </c>
      <c r="T562" s="3267">
        <f t="shared" si="108"/>
        <v>7688997</v>
      </c>
      <c r="U562" s="3267">
        <f t="shared" si="108"/>
        <v>0</v>
      </c>
      <c r="V562" s="3267">
        <f t="shared" si="108"/>
        <v>435129000</v>
      </c>
      <c r="W562" s="3267">
        <f t="shared" si="108"/>
        <v>21785000</v>
      </c>
      <c r="X562" s="3267">
        <f t="shared" si="108"/>
        <v>1123240731</v>
      </c>
      <c r="Y562" s="3267">
        <f t="shared" si="108"/>
        <v>253579626</v>
      </c>
      <c r="Z562" s="3329" t="e">
        <f t="shared" si="108"/>
        <v>#DIV/0!</v>
      </c>
      <c r="AA562" s="3266"/>
      <c r="AB562" s="3266"/>
      <c r="AC562" s="3266"/>
      <c r="AD562" s="3266"/>
      <c r="AE562" s="3266"/>
      <c r="AF562" s="3286"/>
      <c r="AG562" s="3266"/>
      <c r="AH562" s="3266">
        <f>SUM(AH3:AH561)</f>
        <v>14438468</v>
      </c>
      <c r="AI562" s="3266"/>
      <c r="AJ562" s="3266"/>
      <c r="AK562" s="3266"/>
      <c r="AL562" s="3266">
        <f>SUM(AL3:AL561)</f>
        <v>1924</v>
      </c>
      <c r="AM562" s="3266"/>
      <c r="AN562" s="3330">
        <f>SUM(AN3:AN561)</f>
        <v>487977000</v>
      </c>
      <c r="AO562" s="3266"/>
      <c r="AP562" s="3266"/>
      <c r="AQ562" s="3266"/>
      <c r="AR562" s="3267">
        <f t="shared" ref="AR562:AY562" si="109">SUM(AR3:AR561)</f>
        <v>2104009</v>
      </c>
      <c r="AS562" s="3267">
        <f t="shared" si="109"/>
        <v>2104017</v>
      </c>
      <c r="AT562" s="3267">
        <f t="shared" si="109"/>
        <v>1975539</v>
      </c>
      <c r="AU562" s="3267">
        <f t="shared" si="109"/>
        <v>90900</v>
      </c>
      <c r="AV562" s="3267">
        <f t="shared" si="109"/>
        <v>117</v>
      </c>
      <c r="AW562" s="3267">
        <f t="shared" si="109"/>
        <v>0</v>
      </c>
      <c r="AX562" s="3267">
        <f t="shared" si="109"/>
        <v>22495000</v>
      </c>
      <c r="AY562" s="3267">
        <f t="shared" si="109"/>
        <v>0</v>
      </c>
      <c r="AZ562" s="3295"/>
      <c r="BA562" s="3296"/>
      <c r="BB562" s="3265"/>
      <c r="BC562" s="3265"/>
      <c r="BE562" s="3297"/>
    </row>
    <row r="563" spans="1:57" ht="20.25" customHeight="1">
      <c r="A563" s="3268"/>
      <c r="B563" s="3268"/>
      <c r="D563" s="3268"/>
      <c r="R563" s="3336"/>
      <c r="S563" s="3336"/>
      <c r="T563" s="3336"/>
      <c r="U563" s="3336"/>
    </row>
    <row r="564" spans="1:57" ht="20.25" customHeight="1">
      <c r="M564" s="3342"/>
      <c r="X564" s="3332">
        <f>X562+Y562</f>
        <v>1376820357</v>
      </c>
    </row>
    <row r="565" spans="1:57" ht="20.25" customHeight="1">
      <c r="M565" s="3342"/>
      <c r="X565" s="3332">
        <f>L564-X564</f>
        <v>-1376820357</v>
      </c>
    </row>
    <row r="566" spans="1:57" ht="20.25" customHeight="1">
      <c r="AH566" s="3283" t="s">
        <v>4941</v>
      </c>
    </row>
    <row r="568" spans="1:57" ht="20.25" customHeight="1">
      <c r="D568" s="3268"/>
    </row>
  </sheetData>
  <sheetProtection autoFilter="0"/>
  <autoFilter ref="A2:IV561"/>
  <mergeCells count="16">
    <mergeCell ref="Y1:Z1"/>
    <mergeCell ref="A1:D1"/>
    <mergeCell ref="E1:I1"/>
    <mergeCell ref="J1:N1"/>
    <mergeCell ref="O1:Q1"/>
    <mergeCell ref="R1:X1"/>
    <mergeCell ref="BB1:BB2"/>
    <mergeCell ref="BC1:BC2"/>
    <mergeCell ref="BD1:BD2"/>
    <mergeCell ref="BE1:BE2"/>
    <mergeCell ref="AA1:AC1"/>
    <mergeCell ref="AD1:AN1"/>
    <mergeCell ref="AO1:AX1"/>
    <mergeCell ref="AY1:AY2"/>
    <mergeCell ref="AZ1:AZ2"/>
    <mergeCell ref="BA1:BA2"/>
  </mergeCells>
  <phoneticPr fontId="228" type="noConversion"/>
  <pageMargins left="0.19652777777777802" right="0.15625" top="0.26874999999999999" bottom="0.3" header="0.15" footer="0.16875000000000001"/>
  <pageSetup paperSize="9" scale="75" orientation="landscape" horizontalDpi="0" verticalDpi="0"/>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[3]基础信息!#REF!</xm:f>
          </x14:formula1>
          <xm:sqref>AM2:AM561 KI2:KI561 UE2:UE561 AEA2:AEA561 ANW2:ANW561 AXS2:AXS561 BHO2:BHO561 BRK2:BRK561 CBG2:CBG561 CLC2:CLC561 CUY2:CUY561 DEU2:DEU561 DOQ2:DOQ561 DYM2:DYM561 EII2:EII561 ESE2:ESE561 FCA2:FCA561 FLW2:FLW561 FVS2:FVS561 GFO2:GFO561 GPK2:GPK561 GZG2:GZG561 HJC2:HJC561 HSY2:HSY561 ICU2:ICU561 IMQ2:IMQ561 IWM2:IWM561 JGI2:JGI561 JQE2:JQE561 KAA2:KAA561 KJW2:KJW561 KTS2:KTS561 LDO2:LDO561 LNK2:LNK561 LXG2:LXG561 MHC2:MHC561 MQY2:MQY561 NAU2:NAU561 NKQ2:NKQ561 NUM2:NUM561 OEI2:OEI561 OOE2:OOE561 OYA2:OYA561 PHW2:PHW561 PRS2:PRS561 QBO2:QBO561 QLK2:QLK561 QVG2:QVG561 RFC2:RFC561 ROY2:ROY561 RYU2:RYU561 SIQ2:SIQ561 SSM2:SSM561 TCI2:TCI561 TME2:TME561 TWA2:TWA561 UFW2:UFW561 UPS2:UPS561 UZO2:UZO561 VJK2:VJK561 VTG2:VTG561 WDC2:WDC561 WMY2:WMY561 WWU2:WWU561 AM65538:AM66097 KI65538:KI66097 UE65538:UE66097 AEA65538:AEA66097 ANW65538:ANW66097 AXS65538:AXS66097 BHO65538:BHO66097 BRK65538:BRK66097 CBG65538:CBG66097 CLC65538:CLC66097 CUY65538:CUY66097 DEU65538:DEU66097 DOQ65538:DOQ66097 DYM65538:DYM66097 EII65538:EII66097 ESE65538:ESE66097 FCA65538:FCA66097 FLW65538:FLW66097 FVS65538:FVS66097 GFO65538:GFO66097 GPK65538:GPK66097 GZG65538:GZG66097 HJC65538:HJC66097 HSY65538:HSY66097 ICU65538:ICU66097 IMQ65538:IMQ66097 IWM65538:IWM66097 JGI65538:JGI66097 JQE65538:JQE66097 KAA65538:KAA66097 KJW65538:KJW66097 KTS65538:KTS66097 LDO65538:LDO66097 LNK65538:LNK66097 LXG65538:LXG66097 MHC65538:MHC66097 MQY65538:MQY66097 NAU65538:NAU66097 NKQ65538:NKQ66097 NUM65538:NUM66097 OEI65538:OEI66097 OOE65538:OOE66097 OYA65538:OYA66097 PHW65538:PHW66097 PRS65538:PRS66097 QBO65538:QBO66097 QLK65538:QLK66097 QVG65538:QVG66097 RFC65538:RFC66097 ROY65538:ROY66097 RYU65538:RYU66097 SIQ65538:SIQ66097 SSM65538:SSM66097 TCI65538:TCI66097 TME65538:TME66097 TWA65538:TWA66097 UFW65538:UFW66097 UPS65538:UPS66097 UZO65538:UZO66097 VJK65538:VJK66097 VTG65538:VTG66097 WDC65538:WDC66097 WMY65538:WMY66097 WWU65538:WWU66097 AM131074:AM131633 KI131074:KI131633 UE131074:UE131633 AEA131074:AEA131633 ANW131074:ANW131633 AXS131074:AXS131633 BHO131074:BHO131633 BRK131074:BRK131633 CBG131074:CBG131633 CLC131074:CLC131633 CUY131074:CUY131633 DEU131074:DEU131633 DOQ131074:DOQ131633 DYM131074:DYM131633 EII131074:EII131633 ESE131074:ESE131633 FCA131074:FCA131633 FLW131074:FLW131633 FVS131074:FVS131633 GFO131074:GFO131633 GPK131074:GPK131633 GZG131074:GZG131633 HJC131074:HJC131633 HSY131074:HSY131633 ICU131074:ICU131633 IMQ131074:IMQ131633 IWM131074:IWM131633 JGI131074:JGI131633 JQE131074:JQE131633 KAA131074:KAA131633 KJW131074:KJW131633 KTS131074:KTS131633 LDO131074:LDO131633 LNK131074:LNK131633 LXG131074:LXG131633 MHC131074:MHC131633 MQY131074:MQY131633 NAU131074:NAU131633 NKQ131074:NKQ131633 NUM131074:NUM131633 OEI131074:OEI131633 OOE131074:OOE131633 OYA131074:OYA131633 PHW131074:PHW131633 PRS131074:PRS131633 QBO131074:QBO131633 QLK131074:QLK131633 QVG131074:QVG131633 RFC131074:RFC131633 ROY131074:ROY131633 RYU131074:RYU131633 SIQ131074:SIQ131633 SSM131074:SSM131633 TCI131074:TCI131633 TME131074:TME131633 TWA131074:TWA131633 UFW131074:UFW131633 UPS131074:UPS131633 UZO131074:UZO131633 VJK131074:VJK131633 VTG131074:VTG131633 WDC131074:WDC131633 WMY131074:WMY131633 WWU131074:WWU131633 AM196610:AM197169 KI196610:KI197169 UE196610:UE197169 AEA196610:AEA197169 ANW196610:ANW197169 AXS196610:AXS197169 BHO196610:BHO197169 BRK196610:BRK197169 CBG196610:CBG197169 CLC196610:CLC197169 CUY196610:CUY197169 DEU196610:DEU197169 DOQ196610:DOQ197169 DYM196610:DYM197169 EII196610:EII197169 ESE196610:ESE197169 FCA196610:FCA197169 FLW196610:FLW197169 FVS196610:FVS197169 GFO196610:GFO197169 GPK196610:GPK197169 GZG196610:GZG197169 HJC196610:HJC197169 HSY196610:HSY197169 ICU196610:ICU197169 IMQ196610:IMQ197169 IWM196610:IWM197169 JGI196610:JGI197169 JQE196610:JQE197169 KAA196610:KAA197169 KJW196610:KJW197169 KTS196610:KTS197169 LDO196610:LDO197169 LNK196610:LNK197169 LXG196610:LXG197169 MHC196610:MHC197169 MQY196610:MQY197169 NAU196610:NAU197169 NKQ196610:NKQ197169 NUM196610:NUM197169 OEI196610:OEI197169 OOE196610:OOE197169 OYA196610:OYA197169 PHW196610:PHW197169 PRS196610:PRS197169 QBO196610:QBO197169 QLK196610:QLK197169 QVG196610:QVG197169 RFC196610:RFC197169 ROY196610:ROY197169 RYU196610:RYU197169 SIQ196610:SIQ197169 SSM196610:SSM197169 TCI196610:TCI197169 TME196610:TME197169 TWA196610:TWA197169 UFW196610:UFW197169 UPS196610:UPS197169 UZO196610:UZO197169 VJK196610:VJK197169 VTG196610:VTG197169 WDC196610:WDC197169 WMY196610:WMY197169 WWU196610:WWU197169 AM262146:AM262705 KI262146:KI262705 UE262146:UE262705 AEA262146:AEA262705 ANW262146:ANW262705 AXS262146:AXS262705 BHO262146:BHO262705 BRK262146:BRK262705 CBG262146:CBG262705 CLC262146:CLC262705 CUY262146:CUY262705 DEU262146:DEU262705 DOQ262146:DOQ262705 DYM262146:DYM262705 EII262146:EII262705 ESE262146:ESE262705 FCA262146:FCA262705 FLW262146:FLW262705 FVS262146:FVS262705 GFO262146:GFO262705 GPK262146:GPK262705 GZG262146:GZG262705 HJC262146:HJC262705 HSY262146:HSY262705 ICU262146:ICU262705 IMQ262146:IMQ262705 IWM262146:IWM262705 JGI262146:JGI262705 JQE262146:JQE262705 KAA262146:KAA262705 KJW262146:KJW262705 KTS262146:KTS262705 LDO262146:LDO262705 LNK262146:LNK262705 LXG262146:LXG262705 MHC262146:MHC262705 MQY262146:MQY262705 NAU262146:NAU262705 NKQ262146:NKQ262705 NUM262146:NUM262705 OEI262146:OEI262705 OOE262146:OOE262705 OYA262146:OYA262705 PHW262146:PHW262705 PRS262146:PRS262705 QBO262146:QBO262705 QLK262146:QLK262705 QVG262146:QVG262705 RFC262146:RFC262705 ROY262146:ROY262705 RYU262146:RYU262705 SIQ262146:SIQ262705 SSM262146:SSM262705 TCI262146:TCI262705 TME262146:TME262705 TWA262146:TWA262705 UFW262146:UFW262705 UPS262146:UPS262705 UZO262146:UZO262705 VJK262146:VJK262705 VTG262146:VTG262705 WDC262146:WDC262705 WMY262146:WMY262705 WWU262146:WWU262705 AM327682:AM328241 KI327682:KI328241 UE327682:UE328241 AEA327682:AEA328241 ANW327682:ANW328241 AXS327682:AXS328241 BHO327682:BHO328241 BRK327682:BRK328241 CBG327682:CBG328241 CLC327682:CLC328241 CUY327682:CUY328241 DEU327682:DEU328241 DOQ327682:DOQ328241 DYM327682:DYM328241 EII327682:EII328241 ESE327682:ESE328241 FCA327682:FCA328241 FLW327682:FLW328241 FVS327682:FVS328241 GFO327682:GFO328241 GPK327682:GPK328241 GZG327682:GZG328241 HJC327682:HJC328241 HSY327682:HSY328241 ICU327682:ICU328241 IMQ327682:IMQ328241 IWM327682:IWM328241 JGI327682:JGI328241 JQE327682:JQE328241 KAA327682:KAA328241 KJW327682:KJW328241 KTS327682:KTS328241 LDO327682:LDO328241 LNK327682:LNK328241 LXG327682:LXG328241 MHC327682:MHC328241 MQY327682:MQY328241 NAU327682:NAU328241 NKQ327682:NKQ328241 NUM327682:NUM328241 OEI327682:OEI328241 OOE327682:OOE328241 OYA327682:OYA328241 PHW327682:PHW328241 PRS327682:PRS328241 QBO327682:QBO328241 QLK327682:QLK328241 QVG327682:QVG328241 RFC327682:RFC328241 ROY327682:ROY328241 RYU327682:RYU328241 SIQ327682:SIQ328241 SSM327682:SSM328241 TCI327682:TCI328241 TME327682:TME328241 TWA327682:TWA328241 UFW327682:UFW328241 UPS327682:UPS328241 UZO327682:UZO328241 VJK327682:VJK328241 VTG327682:VTG328241 WDC327682:WDC328241 WMY327682:WMY328241 WWU327682:WWU328241 AM393218:AM393777 KI393218:KI393777 UE393218:UE393777 AEA393218:AEA393777 ANW393218:ANW393777 AXS393218:AXS393777 BHO393218:BHO393777 BRK393218:BRK393777 CBG393218:CBG393777 CLC393218:CLC393777 CUY393218:CUY393777 DEU393218:DEU393777 DOQ393218:DOQ393777 DYM393218:DYM393777 EII393218:EII393777 ESE393218:ESE393777 FCA393218:FCA393777 FLW393218:FLW393777 FVS393218:FVS393777 GFO393218:GFO393777 GPK393218:GPK393777 GZG393218:GZG393777 HJC393218:HJC393777 HSY393218:HSY393777 ICU393218:ICU393777 IMQ393218:IMQ393777 IWM393218:IWM393777 JGI393218:JGI393777 JQE393218:JQE393777 KAA393218:KAA393777 KJW393218:KJW393777 KTS393218:KTS393777 LDO393218:LDO393777 LNK393218:LNK393777 LXG393218:LXG393777 MHC393218:MHC393777 MQY393218:MQY393777 NAU393218:NAU393777 NKQ393218:NKQ393777 NUM393218:NUM393777 OEI393218:OEI393777 OOE393218:OOE393777 OYA393218:OYA393777 PHW393218:PHW393777 PRS393218:PRS393777 QBO393218:QBO393777 QLK393218:QLK393777 QVG393218:QVG393777 RFC393218:RFC393777 ROY393218:ROY393777 RYU393218:RYU393777 SIQ393218:SIQ393777 SSM393218:SSM393777 TCI393218:TCI393777 TME393218:TME393777 TWA393218:TWA393777 UFW393218:UFW393777 UPS393218:UPS393777 UZO393218:UZO393777 VJK393218:VJK393777 VTG393218:VTG393777 WDC393218:WDC393777 WMY393218:WMY393777 WWU393218:WWU393777 AM458754:AM459313 KI458754:KI459313 UE458754:UE459313 AEA458754:AEA459313 ANW458754:ANW459313 AXS458754:AXS459313 BHO458754:BHO459313 BRK458754:BRK459313 CBG458754:CBG459313 CLC458754:CLC459313 CUY458754:CUY459313 DEU458754:DEU459313 DOQ458754:DOQ459313 DYM458754:DYM459313 EII458754:EII459313 ESE458754:ESE459313 FCA458754:FCA459313 FLW458754:FLW459313 FVS458754:FVS459313 GFO458754:GFO459313 GPK458754:GPK459313 GZG458754:GZG459313 HJC458754:HJC459313 HSY458754:HSY459313 ICU458754:ICU459313 IMQ458754:IMQ459313 IWM458754:IWM459313 JGI458754:JGI459313 JQE458754:JQE459313 KAA458754:KAA459313 KJW458754:KJW459313 KTS458754:KTS459313 LDO458754:LDO459313 LNK458754:LNK459313 LXG458754:LXG459313 MHC458754:MHC459313 MQY458754:MQY459313 NAU458754:NAU459313 NKQ458754:NKQ459313 NUM458754:NUM459313 OEI458754:OEI459313 OOE458754:OOE459313 OYA458754:OYA459313 PHW458754:PHW459313 PRS458754:PRS459313 QBO458754:QBO459313 QLK458754:QLK459313 QVG458754:QVG459313 RFC458754:RFC459313 ROY458754:ROY459313 RYU458754:RYU459313 SIQ458754:SIQ459313 SSM458754:SSM459313 TCI458754:TCI459313 TME458754:TME459313 TWA458754:TWA459313 UFW458754:UFW459313 UPS458754:UPS459313 UZO458754:UZO459313 VJK458754:VJK459313 VTG458754:VTG459313 WDC458754:WDC459313 WMY458754:WMY459313 WWU458754:WWU459313 AM524290:AM524849 KI524290:KI524849 UE524290:UE524849 AEA524290:AEA524849 ANW524290:ANW524849 AXS524290:AXS524849 BHO524290:BHO524849 BRK524290:BRK524849 CBG524290:CBG524849 CLC524290:CLC524849 CUY524290:CUY524849 DEU524290:DEU524849 DOQ524290:DOQ524849 DYM524290:DYM524849 EII524290:EII524849 ESE524290:ESE524849 FCA524290:FCA524849 FLW524290:FLW524849 FVS524290:FVS524849 GFO524290:GFO524849 GPK524290:GPK524849 GZG524290:GZG524849 HJC524290:HJC524849 HSY524290:HSY524849 ICU524290:ICU524849 IMQ524290:IMQ524849 IWM524290:IWM524849 JGI524290:JGI524849 JQE524290:JQE524849 KAA524290:KAA524849 KJW524290:KJW524849 KTS524290:KTS524849 LDO524290:LDO524849 LNK524290:LNK524849 LXG524290:LXG524849 MHC524290:MHC524849 MQY524290:MQY524849 NAU524290:NAU524849 NKQ524290:NKQ524849 NUM524290:NUM524849 OEI524290:OEI524849 OOE524290:OOE524849 OYA524290:OYA524849 PHW524290:PHW524849 PRS524290:PRS524849 QBO524290:QBO524849 QLK524290:QLK524849 QVG524290:QVG524849 RFC524290:RFC524849 ROY524290:ROY524849 RYU524290:RYU524849 SIQ524290:SIQ524849 SSM524290:SSM524849 TCI524290:TCI524849 TME524290:TME524849 TWA524290:TWA524849 UFW524290:UFW524849 UPS524290:UPS524849 UZO524290:UZO524849 VJK524290:VJK524849 VTG524290:VTG524849 WDC524290:WDC524849 WMY524290:WMY524849 WWU524290:WWU524849 AM589826:AM590385 KI589826:KI590385 UE589826:UE590385 AEA589826:AEA590385 ANW589826:ANW590385 AXS589826:AXS590385 BHO589826:BHO590385 BRK589826:BRK590385 CBG589826:CBG590385 CLC589826:CLC590385 CUY589826:CUY590385 DEU589826:DEU590385 DOQ589826:DOQ590385 DYM589826:DYM590385 EII589826:EII590385 ESE589826:ESE590385 FCA589826:FCA590385 FLW589826:FLW590385 FVS589826:FVS590385 GFO589826:GFO590385 GPK589826:GPK590385 GZG589826:GZG590385 HJC589826:HJC590385 HSY589826:HSY590385 ICU589826:ICU590385 IMQ589826:IMQ590385 IWM589826:IWM590385 JGI589826:JGI590385 JQE589826:JQE590385 KAA589826:KAA590385 KJW589826:KJW590385 KTS589826:KTS590385 LDO589826:LDO590385 LNK589826:LNK590385 LXG589826:LXG590385 MHC589826:MHC590385 MQY589826:MQY590385 NAU589826:NAU590385 NKQ589826:NKQ590385 NUM589826:NUM590385 OEI589826:OEI590385 OOE589826:OOE590385 OYA589826:OYA590385 PHW589826:PHW590385 PRS589826:PRS590385 QBO589826:QBO590385 QLK589826:QLK590385 QVG589826:QVG590385 RFC589826:RFC590385 ROY589826:ROY590385 RYU589826:RYU590385 SIQ589826:SIQ590385 SSM589826:SSM590385 TCI589826:TCI590385 TME589826:TME590385 TWA589826:TWA590385 UFW589826:UFW590385 UPS589826:UPS590385 UZO589826:UZO590385 VJK589826:VJK590385 VTG589826:VTG590385 WDC589826:WDC590385 WMY589826:WMY590385 WWU589826:WWU590385 AM655362:AM655921 KI655362:KI655921 UE655362:UE655921 AEA655362:AEA655921 ANW655362:ANW655921 AXS655362:AXS655921 BHO655362:BHO655921 BRK655362:BRK655921 CBG655362:CBG655921 CLC655362:CLC655921 CUY655362:CUY655921 DEU655362:DEU655921 DOQ655362:DOQ655921 DYM655362:DYM655921 EII655362:EII655921 ESE655362:ESE655921 FCA655362:FCA655921 FLW655362:FLW655921 FVS655362:FVS655921 GFO655362:GFO655921 GPK655362:GPK655921 GZG655362:GZG655921 HJC655362:HJC655921 HSY655362:HSY655921 ICU655362:ICU655921 IMQ655362:IMQ655921 IWM655362:IWM655921 JGI655362:JGI655921 JQE655362:JQE655921 KAA655362:KAA655921 KJW655362:KJW655921 KTS655362:KTS655921 LDO655362:LDO655921 LNK655362:LNK655921 LXG655362:LXG655921 MHC655362:MHC655921 MQY655362:MQY655921 NAU655362:NAU655921 NKQ655362:NKQ655921 NUM655362:NUM655921 OEI655362:OEI655921 OOE655362:OOE655921 OYA655362:OYA655921 PHW655362:PHW655921 PRS655362:PRS655921 QBO655362:QBO655921 QLK655362:QLK655921 QVG655362:QVG655921 RFC655362:RFC655921 ROY655362:ROY655921 RYU655362:RYU655921 SIQ655362:SIQ655921 SSM655362:SSM655921 TCI655362:TCI655921 TME655362:TME655921 TWA655362:TWA655921 UFW655362:UFW655921 UPS655362:UPS655921 UZO655362:UZO655921 VJK655362:VJK655921 VTG655362:VTG655921 WDC655362:WDC655921 WMY655362:WMY655921 WWU655362:WWU655921 AM720898:AM721457 KI720898:KI721457 UE720898:UE721457 AEA720898:AEA721457 ANW720898:ANW721457 AXS720898:AXS721457 BHO720898:BHO721457 BRK720898:BRK721457 CBG720898:CBG721457 CLC720898:CLC721457 CUY720898:CUY721457 DEU720898:DEU721457 DOQ720898:DOQ721457 DYM720898:DYM721457 EII720898:EII721457 ESE720898:ESE721457 FCA720898:FCA721457 FLW720898:FLW721457 FVS720898:FVS721457 GFO720898:GFO721457 GPK720898:GPK721457 GZG720898:GZG721457 HJC720898:HJC721457 HSY720898:HSY721457 ICU720898:ICU721457 IMQ720898:IMQ721457 IWM720898:IWM721457 JGI720898:JGI721457 JQE720898:JQE721457 KAA720898:KAA721457 KJW720898:KJW721457 KTS720898:KTS721457 LDO720898:LDO721457 LNK720898:LNK721457 LXG720898:LXG721457 MHC720898:MHC721457 MQY720898:MQY721457 NAU720898:NAU721457 NKQ720898:NKQ721457 NUM720898:NUM721457 OEI720898:OEI721457 OOE720898:OOE721457 OYA720898:OYA721457 PHW720898:PHW721457 PRS720898:PRS721457 QBO720898:QBO721457 QLK720898:QLK721457 QVG720898:QVG721457 RFC720898:RFC721457 ROY720898:ROY721457 RYU720898:RYU721457 SIQ720898:SIQ721457 SSM720898:SSM721457 TCI720898:TCI721457 TME720898:TME721457 TWA720898:TWA721457 UFW720898:UFW721457 UPS720898:UPS721457 UZO720898:UZO721457 VJK720898:VJK721457 VTG720898:VTG721457 WDC720898:WDC721457 WMY720898:WMY721457 WWU720898:WWU721457 AM786434:AM786993 KI786434:KI786993 UE786434:UE786993 AEA786434:AEA786993 ANW786434:ANW786993 AXS786434:AXS786993 BHO786434:BHO786993 BRK786434:BRK786993 CBG786434:CBG786993 CLC786434:CLC786993 CUY786434:CUY786993 DEU786434:DEU786993 DOQ786434:DOQ786993 DYM786434:DYM786993 EII786434:EII786993 ESE786434:ESE786993 FCA786434:FCA786993 FLW786434:FLW786993 FVS786434:FVS786993 GFO786434:GFO786993 GPK786434:GPK786993 GZG786434:GZG786993 HJC786434:HJC786993 HSY786434:HSY786993 ICU786434:ICU786993 IMQ786434:IMQ786993 IWM786434:IWM786993 JGI786434:JGI786993 JQE786434:JQE786993 KAA786434:KAA786993 KJW786434:KJW786993 KTS786434:KTS786993 LDO786434:LDO786993 LNK786434:LNK786993 LXG786434:LXG786993 MHC786434:MHC786993 MQY786434:MQY786993 NAU786434:NAU786993 NKQ786434:NKQ786993 NUM786434:NUM786993 OEI786434:OEI786993 OOE786434:OOE786993 OYA786434:OYA786993 PHW786434:PHW786993 PRS786434:PRS786993 QBO786434:QBO786993 QLK786434:QLK786993 QVG786434:QVG786993 RFC786434:RFC786993 ROY786434:ROY786993 RYU786434:RYU786993 SIQ786434:SIQ786993 SSM786434:SSM786993 TCI786434:TCI786993 TME786434:TME786993 TWA786434:TWA786993 UFW786434:UFW786993 UPS786434:UPS786993 UZO786434:UZO786993 VJK786434:VJK786993 VTG786434:VTG786993 WDC786434:WDC786993 WMY786434:WMY786993 WWU786434:WWU786993 AM851970:AM852529 KI851970:KI852529 UE851970:UE852529 AEA851970:AEA852529 ANW851970:ANW852529 AXS851970:AXS852529 BHO851970:BHO852529 BRK851970:BRK852529 CBG851970:CBG852529 CLC851970:CLC852529 CUY851970:CUY852529 DEU851970:DEU852529 DOQ851970:DOQ852529 DYM851970:DYM852529 EII851970:EII852529 ESE851970:ESE852529 FCA851970:FCA852529 FLW851970:FLW852529 FVS851970:FVS852529 GFO851970:GFO852529 GPK851970:GPK852529 GZG851970:GZG852529 HJC851970:HJC852529 HSY851970:HSY852529 ICU851970:ICU852529 IMQ851970:IMQ852529 IWM851970:IWM852529 JGI851970:JGI852529 JQE851970:JQE852529 KAA851970:KAA852529 KJW851970:KJW852529 KTS851970:KTS852529 LDO851970:LDO852529 LNK851970:LNK852529 LXG851970:LXG852529 MHC851970:MHC852529 MQY851970:MQY852529 NAU851970:NAU852529 NKQ851970:NKQ852529 NUM851970:NUM852529 OEI851970:OEI852529 OOE851970:OOE852529 OYA851970:OYA852529 PHW851970:PHW852529 PRS851970:PRS852529 QBO851970:QBO852529 QLK851970:QLK852529 QVG851970:QVG852529 RFC851970:RFC852529 ROY851970:ROY852529 RYU851970:RYU852529 SIQ851970:SIQ852529 SSM851970:SSM852529 TCI851970:TCI852529 TME851970:TME852529 TWA851970:TWA852529 UFW851970:UFW852529 UPS851970:UPS852529 UZO851970:UZO852529 VJK851970:VJK852529 VTG851970:VTG852529 WDC851970:WDC852529 WMY851970:WMY852529 WWU851970:WWU852529 AM917506:AM918065 KI917506:KI918065 UE917506:UE918065 AEA917506:AEA918065 ANW917506:ANW918065 AXS917506:AXS918065 BHO917506:BHO918065 BRK917506:BRK918065 CBG917506:CBG918065 CLC917506:CLC918065 CUY917506:CUY918065 DEU917506:DEU918065 DOQ917506:DOQ918065 DYM917506:DYM918065 EII917506:EII918065 ESE917506:ESE918065 FCA917506:FCA918065 FLW917506:FLW918065 FVS917506:FVS918065 GFO917506:GFO918065 GPK917506:GPK918065 GZG917506:GZG918065 HJC917506:HJC918065 HSY917506:HSY918065 ICU917506:ICU918065 IMQ917506:IMQ918065 IWM917506:IWM918065 JGI917506:JGI918065 JQE917506:JQE918065 KAA917506:KAA918065 KJW917506:KJW918065 KTS917506:KTS918065 LDO917506:LDO918065 LNK917506:LNK918065 LXG917506:LXG918065 MHC917506:MHC918065 MQY917506:MQY918065 NAU917506:NAU918065 NKQ917506:NKQ918065 NUM917506:NUM918065 OEI917506:OEI918065 OOE917506:OOE918065 OYA917506:OYA918065 PHW917506:PHW918065 PRS917506:PRS918065 QBO917506:QBO918065 QLK917506:QLK918065 QVG917506:QVG918065 RFC917506:RFC918065 ROY917506:ROY918065 RYU917506:RYU918065 SIQ917506:SIQ918065 SSM917506:SSM918065 TCI917506:TCI918065 TME917506:TME918065 TWA917506:TWA918065 UFW917506:UFW918065 UPS917506:UPS918065 UZO917506:UZO918065 VJK917506:VJK918065 VTG917506:VTG918065 WDC917506:WDC918065 WMY917506:WMY918065 WWU917506:WWU918065 AM983042:AM983601 KI983042:KI983601 UE983042:UE983601 AEA983042:AEA983601 ANW983042:ANW983601 AXS983042:AXS983601 BHO983042:BHO983601 BRK983042:BRK983601 CBG983042:CBG983601 CLC983042:CLC983601 CUY983042:CUY983601 DEU983042:DEU983601 DOQ983042:DOQ983601 DYM983042:DYM983601 EII983042:EII983601 ESE983042:ESE983601 FCA983042:FCA983601 FLW983042:FLW983601 FVS983042:FVS983601 GFO983042:GFO983601 GPK983042:GPK983601 GZG983042:GZG983601 HJC983042:HJC983601 HSY983042:HSY983601 ICU983042:ICU983601 IMQ983042:IMQ983601 IWM983042:IWM983601 JGI983042:JGI983601 JQE983042:JQE983601 KAA983042:KAA983601 KJW983042:KJW983601 KTS983042:KTS983601 LDO983042:LDO983601 LNK983042:LNK983601 LXG983042:LXG983601 MHC983042:MHC983601 MQY983042:MQY983601 NAU983042:NAU983601 NKQ983042:NKQ983601 NUM983042:NUM983601 OEI983042:OEI983601 OOE983042:OOE983601 OYA983042:OYA983601 PHW983042:PHW983601 PRS983042:PRS983601 QBO983042:QBO983601 QLK983042:QLK983601 QVG983042:QVG983601 RFC983042:RFC983601 ROY983042:ROY983601 RYU983042:RYU983601 SIQ983042:SIQ983601 SSM983042:SSM983601 TCI983042:TCI983601 TME983042:TME983601 TWA983042:TWA983601 UFW983042:UFW983601 UPS983042:UPS983601 UZO983042:UZO983601 VJK983042:VJK983601 VTG983042:VTG983601 WDC983042:WDC983601 WMY983042:WMY983601 WWU983042:WWU983601 AM563:AM65536 KI563:KI65536 UE563:UE65536 AEA563:AEA65536 ANW563:ANW65536 AXS563:AXS65536 BHO563:BHO65536 BRK563:BRK65536 CBG563:CBG65536 CLC563:CLC65536 CUY563:CUY65536 DEU563:DEU65536 DOQ563:DOQ65536 DYM563:DYM65536 EII563:EII65536 ESE563:ESE65536 FCA563:FCA65536 FLW563:FLW65536 FVS563:FVS65536 GFO563:GFO65536 GPK563:GPK65536 GZG563:GZG65536 HJC563:HJC65536 HSY563:HSY65536 ICU563:ICU65536 IMQ563:IMQ65536 IWM563:IWM65536 JGI563:JGI65536 JQE563:JQE65536 KAA563:KAA65536 KJW563:KJW65536 KTS563:KTS65536 LDO563:LDO65536 LNK563:LNK65536 LXG563:LXG65536 MHC563:MHC65536 MQY563:MQY65536 NAU563:NAU65536 NKQ563:NKQ65536 NUM563:NUM65536 OEI563:OEI65536 OOE563:OOE65536 OYA563:OYA65536 PHW563:PHW65536 PRS563:PRS65536 QBO563:QBO65536 QLK563:QLK65536 QVG563:QVG65536 RFC563:RFC65536 ROY563:ROY65536 RYU563:RYU65536 SIQ563:SIQ65536 SSM563:SSM65536 TCI563:TCI65536 TME563:TME65536 TWA563:TWA65536 UFW563:UFW65536 UPS563:UPS65536 UZO563:UZO65536 VJK563:VJK65536 VTG563:VTG65536 WDC563:WDC65536 WMY563:WMY65536 WWU563:WWU65536 AM66099:AM131072 KI66099:KI131072 UE66099:UE131072 AEA66099:AEA131072 ANW66099:ANW131072 AXS66099:AXS131072 BHO66099:BHO131072 BRK66099:BRK131072 CBG66099:CBG131072 CLC66099:CLC131072 CUY66099:CUY131072 DEU66099:DEU131072 DOQ66099:DOQ131072 DYM66099:DYM131072 EII66099:EII131072 ESE66099:ESE131072 FCA66099:FCA131072 FLW66099:FLW131072 FVS66099:FVS131072 GFO66099:GFO131072 GPK66099:GPK131072 GZG66099:GZG131072 HJC66099:HJC131072 HSY66099:HSY131072 ICU66099:ICU131072 IMQ66099:IMQ131072 IWM66099:IWM131072 JGI66099:JGI131072 JQE66099:JQE131072 KAA66099:KAA131072 KJW66099:KJW131072 KTS66099:KTS131072 LDO66099:LDO131072 LNK66099:LNK131072 LXG66099:LXG131072 MHC66099:MHC131072 MQY66099:MQY131072 NAU66099:NAU131072 NKQ66099:NKQ131072 NUM66099:NUM131072 OEI66099:OEI131072 OOE66099:OOE131072 OYA66099:OYA131072 PHW66099:PHW131072 PRS66099:PRS131072 QBO66099:QBO131072 QLK66099:QLK131072 QVG66099:QVG131072 RFC66099:RFC131072 ROY66099:ROY131072 RYU66099:RYU131072 SIQ66099:SIQ131072 SSM66099:SSM131072 TCI66099:TCI131072 TME66099:TME131072 TWA66099:TWA131072 UFW66099:UFW131072 UPS66099:UPS131072 UZO66099:UZO131072 VJK66099:VJK131072 VTG66099:VTG131072 WDC66099:WDC131072 WMY66099:WMY131072 WWU66099:WWU131072 AM131635:AM196608 KI131635:KI196608 UE131635:UE196608 AEA131635:AEA196608 ANW131635:ANW196608 AXS131635:AXS196608 BHO131635:BHO196608 BRK131635:BRK196608 CBG131635:CBG196608 CLC131635:CLC196608 CUY131635:CUY196608 DEU131635:DEU196608 DOQ131635:DOQ196608 DYM131635:DYM196608 EII131635:EII196608 ESE131635:ESE196608 FCA131635:FCA196608 FLW131635:FLW196608 FVS131635:FVS196608 GFO131635:GFO196608 GPK131635:GPK196608 GZG131635:GZG196608 HJC131635:HJC196608 HSY131635:HSY196608 ICU131635:ICU196608 IMQ131635:IMQ196608 IWM131635:IWM196608 JGI131635:JGI196608 JQE131635:JQE196608 KAA131635:KAA196608 KJW131635:KJW196608 KTS131635:KTS196608 LDO131635:LDO196608 LNK131635:LNK196608 LXG131635:LXG196608 MHC131635:MHC196608 MQY131635:MQY196608 NAU131635:NAU196608 NKQ131635:NKQ196608 NUM131635:NUM196608 OEI131635:OEI196608 OOE131635:OOE196608 OYA131635:OYA196608 PHW131635:PHW196608 PRS131635:PRS196608 QBO131635:QBO196608 QLK131635:QLK196608 QVG131635:QVG196608 RFC131635:RFC196608 ROY131635:ROY196608 RYU131635:RYU196608 SIQ131635:SIQ196608 SSM131635:SSM196608 TCI131635:TCI196608 TME131635:TME196608 TWA131635:TWA196608 UFW131635:UFW196608 UPS131635:UPS196608 UZO131635:UZO196608 VJK131635:VJK196608 VTG131635:VTG196608 WDC131635:WDC196608 WMY131635:WMY196608 WWU131635:WWU196608 AM197171:AM262144 KI197171:KI262144 UE197171:UE262144 AEA197171:AEA262144 ANW197171:ANW262144 AXS197171:AXS262144 BHO197171:BHO262144 BRK197171:BRK262144 CBG197171:CBG262144 CLC197171:CLC262144 CUY197171:CUY262144 DEU197171:DEU262144 DOQ197171:DOQ262144 DYM197171:DYM262144 EII197171:EII262144 ESE197171:ESE262144 FCA197171:FCA262144 FLW197171:FLW262144 FVS197171:FVS262144 GFO197171:GFO262144 GPK197171:GPK262144 GZG197171:GZG262144 HJC197171:HJC262144 HSY197171:HSY262144 ICU197171:ICU262144 IMQ197171:IMQ262144 IWM197171:IWM262144 JGI197171:JGI262144 JQE197171:JQE262144 KAA197171:KAA262144 KJW197171:KJW262144 KTS197171:KTS262144 LDO197171:LDO262144 LNK197171:LNK262144 LXG197171:LXG262144 MHC197171:MHC262144 MQY197171:MQY262144 NAU197171:NAU262144 NKQ197171:NKQ262144 NUM197171:NUM262144 OEI197171:OEI262144 OOE197171:OOE262144 OYA197171:OYA262144 PHW197171:PHW262144 PRS197171:PRS262144 QBO197171:QBO262144 QLK197171:QLK262144 QVG197171:QVG262144 RFC197171:RFC262144 ROY197171:ROY262144 RYU197171:RYU262144 SIQ197171:SIQ262144 SSM197171:SSM262144 TCI197171:TCI262144 TME197171:TME262144 TWA197171:TWA262144 UFW197171:UFW262144 UPS197171:UPS262144 UZO197171:UZO262144 VJK197171:VJK262144 VTG197171:VTG262144 WDC197171:WDC262144 WMY197171:WMY262144 WWU197171:WWU262144 AM262707:AM327680 KI262707:KI327680 UE262707:UE327680 AEA262707:AEA327680 ANW262707:ANW327680 AXS262707:AXS327680 BHO262707:BHO327680 BRK262707:BRK327680 CBG262707:CBG327680 CLC262707:CLC327680 CUY262707:CUY327680 DEU262707:DEU327680 DOQ262707:DOQ327680 DYM262707:DYM327680 EII262707:EII327680 ESE262707:ESE327680 FCA262707:FCA327680 FLW262707:FLW327680 FVS262707:FVS327680 GFO262707:GFO327680 GPK262707:GPK327680 GZG262707:GZG327680 HJC262707:HJC327680 HSY262707:HSY327680 ICU262707:ICU327680 IMQ262707:IMQ327680 IWM262707:IWM327680 JGI262707:JGI327680 JQE262707:JQE327680 KAA262707:KAA327680 KJW262707:KJW327680 KTS262707:KTS327680 LDO262707:LDO327680 LNK262707:LNK327680 LXG262707:LXG327680 MHC262707:MHC327680 MQY262707:MQY327680 NAU262707:NAU327680 NKQ262707:NKQ327680 NUM262707:NUM327680 OEI262707:OEI327680 OOE262707:OOE327680 OYA262707:OYA327680 PHW262707:PHW327680 PRS262707:PRS327680 QBO262707:QBO327680 QLK262707:QLK327680 QVG262707:QVG327680 RFC262707:RFC327680 ROY262707:ROY327680 RYU262707:RYU327680 SIQ262707:SIQ327680 SSM262707:SSM327680 TCI262707:TCI327680 TME262707:TME327680 TWA262707:TWA327680 UFW262707:UFW327680 UPS262707:UPS327680 UZO262707:UZO327680 VJK262707:VJK327680 VTG262707:VTG327680 WDC262707:WDC327680 WMY262707:WMY327680 WWU262707:WWU327680 AM328243:AM393216 KI328243:KI393216 UE328243:UE393216 AEA328243:AEA393216 ANW328243:ANW393216 AXS328243:AXS393216 BHO328243:BHO393216 BRK328243:BRK393216 CBG328243:CBG393216 CLC328243:CLC393216 CUY328243:CUY393216 DEU328243:DEU393216 DOQ328243:DOQ393216 DYM328243:DYM393216 EII328243:EII393216 ESE328243:ESE393216 FCA328243:FCA393216 FLW328243:FLW393216 FVS328243:FVS393216 GFO328243:GFO393216 GPK328243:GPK393216 GZG328243:GZG393216 HJC328243:HJC393216 HSY328243:HSY393216 ICU328243:ICU393216 IMQ328243:IMQ393216 IWM328243:IWM393216 JGI328243:JGI393216 JQE328243:JQE393216 KAA328243:KAA393216 KJW328243:KJW393216 KTS328243:KTS393216 LDO328243:LDO393216 LNK328243:LNK393216 LXG328243:LXG393216 MHC328243:MHC393216 MQY328243:MQY393216 NAU328243:NAU393216 NKQ328243:NKQ393216 NUM328243:NUM393216 OEI328243:OEI393216 OOE328243:OOE393216 OYA328243:OYA393216 PHW328243:PHW393216 PRS328243:PRS393216 QBO328243:QBO393216 QLK328243:QLK393216 QVG328243:QVG393216 RFC328243:RFC393216 ROY328243:ROY393216 RYU328243:RYU393216 SIQ328243:SIQ393216 SSM328243:SSM393216 TCI328243:TCI393216 TME328243:TME393216 TWA328243:TWA393216 UFW328243:UFW393216 UPS328243:UPS393216 UZO328243:UZO393216 VJK328243:VJK393216 VTG328243:VTG393216 WDC328243:WDC393216 WMY328243:WMY393216 WWU328243:WWU393216 AM393779:AM458752 KI393779:KI458752 UE393779:UE458752 AEA393779:AEA458752 ANW393779:ANW458752 AXS393779:AXS458752 BHO393779:BHO458752 BRK393779:BRK458752 CBG393779:CBG458752 CLC393779:CLC458752 CUY393779:CUY458752 DEU393779:DEU458752 DOQ393779:DOQ458752 DYM393779:DYM458752 EII393779:EII458752 ESE393779:ESE458752 FCA393779:FCA458752 FLW393779:FLW458752 FVS393779:FVS458752 GFO393779:GFO458752 GPK393779:GPK458752 GZG393779:GZG458752 HJC393779:HJC458752 HSY393779:HSY458752 ICU393779:ICU458752 IMQ393779:IMQ458752 IWM393779:IWM458752 JGI393779:JGI458752 JQE393779:JQE458752 KAA393779:KAA458752 KJW393779:KJW458752 KTS393779:KTS458752 LDO393779:LDO458752 LNK393779:LNK458752 LXG393779:LXG458752 MHC393779:MHC458752 MQY393779:MQY458752 NAU393779:NAU458752 NKQ393779:NKQ458752 NUM393779:NUM458752 OEI393779:OEI458752 OOE393779:OOE458752 OYA393779:OYA458752 PHW393779:PHW458752 PRS393779:PRS458752 QBO393779:QBO458752 QLK393779:QLK458752 QVG393779:QVG458752 RFC393779:RFC458752 ROY393779:ROY458752 RYU393779:RYU458752 SIQ393779:SIQ458752 SSM393779:SSM458752 TCI393779:TCI458752 TME393779:TME458752 TWA393779:TWA458752 UFW393779:UFW458752 UPS393779:UPS458752 UZO393779:UZO458752 VJK393779:VJK458752 VTG393779:VTG458752 WDC393779:WDC458752 WMY393779:WMY458752 WWU393779:WWU458752 AM459315:AM524288 KI459315:KI524288 UE459315:UE524288 AEA459315:AEA524288 ANW459315:ANW524288 AXS459315:AXS524288 BHO459315:BHO524288 BRK459315:BRK524288 CBG459315:CBG524288 CLC459315:CLC524288 CUY459315:CUY524288 DEU459315:DEU524288 DOQ459315:DOQ524288 DYM459315:DYM524288 EII459315:EII524288 ESE459315:ESE524288 FCA459315:FCA524288 FLW459315:FLW524288 FVS459315:FVS524288 GFO459315:GFO524288 GPK459315:GPK524288 GZG459315:GZG524288 HJC459315:HJC524288 HSY459315:HSY524288 ICU459315:ICU524288 IMQ459315:IMQ524288 IWM459315:IWM524288 JGI459315:JGI524288 JQE459315:JQE524288 KAA459315:KAA524288 KJW459315:KJW524288 KTS459315:KTS524288 LDO459315:LDO524288 LNK459315:LNK524288 LXG459315:LXG524288 MHC459315:MHC524288 MQY459315:MQY524288 NAU459315:NAU524288 NKQ459315:NKQ524288 NUM459315:NUM524288 OEI459315:OEI524288 OOE459315:OOE524288 OYA459315:OYA524288 PHW459315:PHW524288 PRS459315:PRS524288 QBO459315:QBO524288 QLK459315:QLK524288 QVG459315:QVG524288 RFC459315:RFC524288 ROY459315:ROY524288 RYU459315:RYU524288 SIQ459315:SIQ524288 SSM459315:SSM524288 TCI459315:TCI524288 TME459315:TME524288 TWA459315:TWA524288 UFW459315:UFW524288 UPS459315:UPS524288 UZO459315:UZO524288 VJK459315:VJK524288 VTG459315:VTG524288 WDC459315:WDC524288 WMY459315:WMY524288 WWU459315:WWU524288 AM524851:AM589824 KI524851:KI589824 UE524851:UE589824 AEA524851:AEA589824 ANW524851:ANW589824 AXS524851:AXS589824 BHO524851:BHO589824 BRK524851:BRK589824 CBG524851:CBG589824 CLC524851:CLC589824 CUY524851:CUY589824 DEU524851:DEU589824 DOQ524851:DOQ589824 DYM524851:DYM589824 EII524851:EII589824 ESE524851:ESE589824 FCA524851:FCA589824 FLW524851:FLW589824 FVS524851:FVS589824 GFO524851:GFO589824 GPK524851:GPK589824 GZG524851:GZG589824 HJC524851:HJC589824 HSY524851:HSY589824 ICU524851:ICU589824 IMQ524851:IMQ589824 IWM524851:IWM589824 JGI524851:JGI589824 JQE524851:JQE589824 KAA524851:KAA589824 KJW524851:KJW589824 KTS524851:KTS589824 LDO524851:LDO589824 LNK524851:LNK589824 LXG524851:LXG589824 MHC524851:MHC589824 MQY524851:MQY589824 NAU524851:NAU589824 NKQ524851:NKQ589824 NUM524851:NUM589824 OEI524851:OEI589824 OOE524851:OOE589824 OYA524851:OYA589824 PHW524851:PHW589824 PRS524851:PRS589824 QBO524851:QBO589824 QLK524851:QLK589824 QVG524851:QVG589824 RFC524851:RFC589824 ROY524851:ROY589824 RYU524851:RYU589824 SIQ524851:SIQ589824 SSM524851:SSM589824 TCI524851:TCI589824 TME524851:TME589824 TWA524851:TWA589824 UFW524851:UFW589824 UPS524851:UPS589824 UZO524851:UZO589824 VJK524851:VJK589824 VTG524851:VTG589824 WDC524851:WDC589824 WMY524851:WMY589824 WWU524851:WWU589824 AM590387:AM655360 KI590387:KI655360 UE590387:UE655360 AEA590387:AEA655360 ANW590387:ANW655360 AXS590387:AXS655360 BHO590387:BHO655360 BRK590387:BRK655360 CBG590387:CBG655360 CLC590387:CLC655360 CUY590387:CUY655360 DEU590387:DEU655360 DOQ590387:DOQ655360 DYM590387:DYM655360 EII590387:EII655360 ESE590387:ESE655360 FCA590387:FCA655360 FLW590387:FLW655360 FVS590387:FVS655360 GFO590387:GFO655360 GPK590387:GPK655360 GZG590387:GZG655360 HJC590387:HJC655360 HSY590387:HSY655360 ICU590387:ICU655360 IMQ590387:IMQ655360 IWM590387:IWM655360 JGI590387:JGI655360 JQE590387:JQE655360 KAA590387:KAA655360 KJW590387:KJW655360 KTS590387:KTS655360 LDO590387:LDO655360 LNK590387:LNK655360 LXG590387:LXG655360 MHC590387:MHC655360 MQY590387:MQY655360 NAU590387:NAU655360 NKQ590387:NKQ655360 NUM590387:NUM655360 OEI590387:OEI655360 OOE590387:OOE655360 OYA590387:OYA655360 PHW590387:PHW655360 PRS590387:PRS655360 QBO590387:QBO655360 QLK590387:QLK655360 QVG590387:QVG655360 RFC590387:RFC655360 ROY590387:ROY655360 RYU590387:RYU655360 SIQ590387:SIQ655360 SSM590387:SSM655360 TCI590387:TCI655360 TME590387:TME655360 TWA590387:TWA655360 UFW590387:UFW655360 UPS590387:UPS655360 UZO590387:UZO655360 VJK590387:VJK655360 VTG590387:VTG655360 WDC590387:WDC655360 WMY590387:WMY655360 WWU590387:WWU655360 AM655923:AM720896 KI655923:KI720896 UE655923:UE720896 AEA655923:AEA720896 ANW655923:ANW720896 AXS655923:AXS720896 BHO655923:BHO720896 BRK655923:BRK720896 CBG655923:CBG720896 CLC655923:CLC720896 CUY655923:CUY720896 DEU655923:DEU720896 DOQ655923:DOQ720896 DYM655923:DYM720896 EII655923:EII720896 ESE655923:ESE720896 FCA655923:FCA720896 FLW655923:FLW720896 FVS655923:FVS720896 GFO655923:GFO720896 GPK655923:GPK720896 GZG655923:GZG720896 HJC655923:HJC720896 HSY655923:HSY720896 ICU655923:ICU720896 IMQ655923:IMQ720896 IWM655923:IWM720896 JGI655923:JGI720896 JQE655923:JQE720896 KAA655923:KAA720896 KJW655923:KJW720896 KTS655923:KTS720896 LDO655923:LDO720896 LNK655923:LNK720896 LXG655923:LXG720896 MHC655923:MHC720896 MQY655923:MQY720896 NAU655923:NAU720896 NKQ655923:NKQ720896 NUM655923:NUM720896 OEI655923:OEI720896 OOE655923:OOE720896 OYA655923:OYA720896 PHW655923:PHW720896 PRS655923:PRS720896 QBO655923:QBO720896 QLK655923:QLK720896 QVG655923:QVG720896 RFC655923:RFC720896 ROY655923:ROY720896 RYU655923:RYU720896 SIQ655923:SIQ720896 SSM655923:SSM720896 TCI655923:TCI720896 TME655923:TME720896 TWA655923:TWA720896 UFW655923:UFW720896 UPS655923:UPS720896 UZO655923:UZO720896 VJK655923:VJK720896 VTG655923:VTG720896 WDC655923:WDC720896 WMY655923:WMY720896 WWU655923:WWU720896 AM721459:AM786432 KI721459:KI786432 UE721459:UE786432 AEA721459:AEA786432 ANW721459:ANW786432 AXS721459:AXS786432 BHO721459:BHO786432 BRK721459:BRK786432 CBG721459:CBG786432 CLC721459:CLC786432 CUY721459:CUY786432 DEU721459:DEU786432 DOQ721459:DOQ786432 DYM721459:DYM786432 EII721459:EII786432 ESE721459:ESE786432 FCA721459:FCA786432 FLW721459:FLW786432 FVS721459:FVS786432 GFO721459:GFO786432 GPK721459:GPK786432 GZG721459:GZG786432 HJC721459:HJC786432 HSY721459:HSY786432 ICU721459:ICU786432 IMQ721459:IMQ786432 IWM721459:IWM786432 JGI721459:JGI786432 JQE721459:JQE786432 KAA721459:KAA786432 KJW721459:KJW786432 KTS721459:KTS786432 LDO721459:LDO786432 LNK721459:LNK786432 LXG721459:LXG786432 MHC721459:MHC786432 MQY721459:MQY786432 NAU721459:NAU786432 NKQ721459:NKQ786432 NUM721459:NUM786432 OEI721459:OEI786432 OOE721459:OOE786432 OYA721459:OYA786432 PHW721459:PHW786432 PRS721459:PRS786432 QBO721459:QBO786432 QLK721459:QLK786432 QVG721459:QVG786432 RFC721459:RFC786432 ROY721459:ROY786432 RYU721459:RYU786432 SIQ721459:SIQ786432 SSM721459:SSM786432 TCI721459:TCI786432 TME721459:TME786432 TWA721459:TWA786432 UFW721459:UFW786432 UPS721459:UPS786432 UZO721459:UZO786432 VJK721459:VJK786432 VTG721459:VTG786432 WDC721459:WDC786432 WMY721459:WMY786432 WWU721459:WWU786432 AM786995:AM851968 KI786995:KI851968 UE786995:UE851968 AEA786995:AEA851968 ANW786995:ANW851968 AXS786995:AXS851968 BHO786995:BHO851968 BRK786995:BRK851968 CBG786995:CBG851968 CLC786995:CLC851968 CUY786995:CUY851968 DEU786995:DEU851968 DOQ786995:DOQ851968 DYM786995:DYM851968 EII786995:EII851968 ESE786995:ESE851968 FCA786995:FCA851968 FLW786995:FLW851968 FVS786995:FVS851968 GFO786995:GFO851968 GPK786995:GPK851968 GZG786995:GZG851968 HJC786995:HJC851968 HSY786995:HSY851968 ICU786995:ICU851968 IMQ786995:IMQ851968 IWM786995:IWM851968 JGI786995:JGI851968 JQE786995:JQE851968 KAA786995:KAA851968 KJW786995:KJW851968 KTS786995:KTS851968 LDO786995:LDO851968 LNK786995:LNK851968 LXG786995:LXG851968 MHC786995:MHC851968 MQY786995:MQY851968 NAU786995:NAU851968 NKQ786995:NKQ851968 NUM786995:NUM851968 OEI786995:OEI851968 OOE786995:OOE851968 OYA786995:OYA851968 PHW786995:PHW851968 PRS786995:PRS851968 QBO786995:QBO851968 QLK786995:QLK851968 QVG786995:QVG851968 RFC786995:RFC851968 ROY786995:ROY851968 RYU786995:RYU851968 SIQ786995:SIQ851968 SSM786995:SSM851968 TCI786995:TCI851968 TME786995:TME851968 TWA786995:TWA851968 UFW786995:UFW851968 UPS786995:UPS851968 UZO786995:UZO851968 VJK786995:VJK851968 VTG786995:VTG851968 WDC786995:WDC851968 WMY786995:WMY851968 WWU786995:WWU851968 AM852531:AM917504 KI852531:KI917504 UE852531:UE917504 AEA852531:AEA917504 ANW852531:ANW917504 AXS852531:AXS917504 BHO852531:BHO917504 BRK852531:BRK917504 CBG852531:CBG917504 CLC852531:CLC917504 CUY852531:CUY917504 DEU852531:DEU917504 DOQ852531:DOQ917504 DYM852531:DYM917504 EII852531:EII917504 ESE852531:ESE917504 FCA852531:FCA917504 FLW852531:FLW917504 FVS852531:FVS917504 GFO852531:GFO917504 GPK852531:GPK917504 GZG852531:GZG917504 HJC852531:HJC917504 HSY852531:HSY917504 ICU852531:ICU917504 IMQ852531:IMQ917504 IWM852531:IWM917504 JGI852531:JGI917504 JQE852531:JQE917504 KAA852531:KAA917504 KJW852531:KJW917504 KTS852531:KTS917504 LDO852531:LDO917504 LNK852531:LNK917504 LXG852531:LXG917504 MHC852531:MHC917504 MQY852531:MQY917504 NAU852531:NAU917504 NKQ852531:NKQ917504 NUM852531:NUM917504 OEI852531:OEI917504 OOE852531:OOE917504 OYA852531:OYA917504 PHW852531:PHW917504 PRS852531:PRS917504 QBO852531:QBO917504 QLK852531:QLK917504 QVG852531:QVG917504 RFC852531:RFC917504 ROY852531:ROY917504 RYU852531:RYU917504 SIQ852531:SIQ917504 SSM852531:SSM917504 TCI852531:TCI917504 TME852531:TME917504 TWA852531:TWA917504 UFW852531:UFW917504 UPS852531:UPS917504 UZO852531:UZO917504 VJK852531:VJK917504 VTG852531:VTG917504 WDC852531:WDC917504 WMY852531:WMY917504 WWU852531:WWU917504 AM918067:AM983040 KI918067:KI983040 UE918067:UE983040 AEA918067:AEA983040 ANW918067:ANW983040 AXS918067:AXS983040 BHO918067:BHO983040 BRK918067:BRK983040 CBG918067:CBG983040 CLC918067:CLC983040 CUY918067:CUY983040 DEU918067:DEU983040 DOQ918067:DOQ983040 DYM918067:DYM983040 EII918067:EII983040 ESE918067:ESE983040 FCA918067:FCA983040 FLW918067:FLW983040 FVS918067:FVS983040 GFO918067:GFO983040 GPK918067:GPK983040 GZG918067:GZG983040 HJC918067:HJC983040 HSY918067:HSY983040 ICU918067:ICU983040 IMQ918067:IMQ983040 IWM918067:IWM983040 JGI918067:JGI983040 JQE918067:JQE983040 KAA918067:KAA983040 KJW918067:KJW983040 KTS918067:KTS983040 LDO918067:LDO983040 LNK918067:LNK983040 LXG918067:LXG983040 MHC918067:MHC983040 MQY918067:MQY983040 NAU918067:NAU983040 NKQ918067:NKQ983040 NUM918067:NUM983040 OEI918067:OEI983040 OOE918067:OOE983040 OYA918067:OYA983040 PHW918067:PHW983040 PRS918067:PRS983040 QBO918067:QBO983040 QLK918067:QLK983040 QVG918067:QVG983040 RFC918067:RFC983040 ROY918067:ROY983040 RYU918067:RYU983040 SIQ918067:SIQ983040 SSM918067:SSM983040 TCI918067:TCI983040 TME918067:TME983040 TWA918067:TWA983040 UFW918067:UFW983040 UPS918067:UPS983040 UZO918067:UZO983040 VJK918067:VJK983040 VTG918067:VTG983040 WDC918067:WDC983040 WMY918067:WMY983040 WWU918067:WWU983040 AM983603:AM1048576 KI983603:KI1048576 UE983603:UE1048576 AEA983603:AEA1048576 ANW983603:ANW1048576 AXS983603:AXS1048576 BHO983603:BHO1048576 BRK983603:BRK1048576 CBG983603:CBG1048576 CLC983603:CLC1048576 CUY983603:CUY1048576 DEU983603:DEU1048576 DOQ983603:DOQ1048576 DYM983603:DYM1048576 EII983603:EII1048576 ESE983603:ESE1048576 FCA983603:FCA1048576 FLW983603:FLW1048576 FVS983603:FVS1048576 GFO983603:GFO1048576 GPK983603:GPK1048576 GZG983603:GZG1048576 HJC983603:HJC1048576 HSY983603:HSY1048576 ICU983603:ICU1048576 IMQ983603:IMQ1048576 IWM983603:IWM1048576 JGI983603:JGI1048576 JQE983603:JQE1048576 KAA983603:KAA1048576 KJW983603:KJW1048576 KTS983603:KTS1048576 LDO983603:LDO1048576 LNK983603:LNK1048576 LXG983603:LXG1048576 MHC983603:MHC1048576 MQY983603:MQY1048576 NAU983603:NAU1048576 NKQ983603:NKQ1048576 NUM983603:NUM1048576 OEI983603:OEI1048576 OOE983603:OOE1048576 OYA983603:OYA1048576 PHW983603:PHW1048576 PRS983603:PRS1048576 QBO983603:QBO1048576 QLK983603:QLK1048576 QVG983603:QVG1048576 RFC983603:RFC1048576 ROY983603:ROY1048576 RYU983603:RYU1048576 SIQ983603:SIQ1048576 SSM983603:SSM1048576 TCI983603:TCI1048576 TME983603:TME1048576 TWA983603:TWA1048576 UFW983603:UFW1048576 UPS983603:UPS1048576 UZO983603:UZO1048576 VJK983603:VJK1048576 VTG983603:VTG1048576 WDC983603:WDC1048576 WMY983603:WMY1048576 WWU983603:WWU1048576</xm:sqref>
        </x14:dataValidation>
        <x14:dataValidation type="list" allowBlank="1" showInputMessage="1" showErrorMessage="1">
          <x14:formula1>
            <xm:f>[3]基础信息!#REF!</xm:f>
          </x14:formula1>
          <xm:sqref>AO1:AO561 KK1:KK561 UG1:UG561 AEC1:AEC561 ANY1:ANY561 AXU1:AXU561 BHQ1:BHQ561 BRM1:BRM561 CBI1:CBI561 CLE1:CLE561 CVA1:CVA561 DEW1:DEW561 DOS1:DOS561 DYO1:DYO561 EIK1:EIK561 ESG1:ESG561 FCC1:FCC561 FLY1:FLY561 FVU1:FVU561 GFQ1:GFQ561 GPM1:GPM561 GZI1:GZI561 HJE1:HJE561 HTA1:HTA561 ICW1:ICW561 IMS1:IMS561 IWO1:IWO561 JGK1:JGK561 JQG1:JQG561 KAC1:KAC561 KJY1:KJY561 KTU1:KTU561 LDQ1:LDQ561 LNM1:LNM561 LXI1:LXI561 MHE1:MHE561 MRA1:MRA561 NAW1:NAW561 NKS1:NKS561 NUO1:NUO561 OEK1:OEK561 OOG1:OOG561 OYC1:OYC561 PHY1:PHY561 PRU1:PRU561 QBQ1:QBQ561 QLM1:QLM561 QVI1:QVI561 RFE1:RFE561 RPA1:RPA561 RYW1:RYW561 SIS1:SIS561 SSO1:SSO561 TCK1:TCK561 TMG1:TMG561 TWC1:TWC561 UFY1:UFY561 UPU1:UPU561 UZQ1:UZQ561 VJM1:VJM561 VTI1:VTI561 WDE1:WDE561 WNA1:WNA561 WWW1:WWW561 AO563:AO66097 KK563:KK66097 UG563:UG66097 AEC563:AEC66097 ANY563:ANY66097 AXU563:AXU66097 BHQ563:BHQ66097 BRM563:BRM66097 CBI563:CBI66097 CLE563:CLE66097 CVA563:CVA66097 DEW563:DEW66097 DOS563:DOS66097 DYO563:DYO66097 EIK563:EIK66097 ESG563:ESG66097 FCC563:FCC66097 FLY563:FLY66097 FVU563:FVU66097 GFQ563:GFQ66097 GPM563:GPM66097 GZI563:GZI66097 HJE563:HJE66097 HTA563:HTA66097 ICW563:ICW66097 IMS563:IMS66097 IWO563:IWO66097 JGK563:JGK66097 JQG563:JQG66097 KAC563:KAC66097 KJY563:KJY66097 KTU563:KTU66097 LDQ563:LDQ66097 LNM563:LNM66097 LXI563:LXI66097 MHE563:MHE66097 MRA563:MRA66097 NAW563:NAW66097 NKS563:NKS66097 NUO563:NUO66097 OEK563:OEK66097 OOG563:OOG66097 OYC563:OYC66097 PHY563:PHY66097 PRU563:PRU66097 QBQ563:QBQ66097 QLM563:QLM66097 QVI563:QVI66097 RFE563:RFE66097 RPA563:RPA66097 RYW563:RYW66097 SIS563:SIS66097 SSO563:SSO66097 TCK563:TCK66097 TMG563:TMG66097 TWC563:TWC66097 UFY563:UFY66097 UPU563:UPU66097 UZQ563:UZQ66097 VJM563:VJM66097 VTI563:VTI66097 WDE563:WDE66097 WNA563:WNA66097 WWW563:WWW66097 AO66099:AO131633 KK66099:KK131633 UG66099:UG131633 AEC66099:AEC131633 ANY66099:ANY131633 AXU66099:AXU131633 BHQ66099:BHQ131633 BRM66099:BRM131633 CBI66099:CBI131633 CLE66099:CLE131633 CVA66099:CVA131633 DEW66099:DEW131633 DOS66099:DOS131633 DYO66099:DYO131633 EIK66099:EIK131633 ESG66099:ESG131633 FCC66099:FCC131633 FLY66099:FLY131633 FVU66099:FVU131633 GFQ66099:GFQ131633 GPM66099:GPM131633 GZI66099:GZI131633 HJE66099:HJE131633 HTA66099:HTA131633 ICW66099:ICW131633 IMS66099:IMS131633 IWO66099:IWO131633 JGK66099:JGK131633 JQG66099:JQG131633 KAC66099:KAC131633 KJY66099:KJY131633 KTU66099:KTU131633 LDQ66099:LDQ131633 LNM66099:LNM131633 LXI66099:LXI131633 MHE66099:MHE131633 MRA66099:MRA131633 NAW66099:NAW131633 NKS66099:NKS131633 NUO66099:NUO131633 OEK66099:OEK131633 OOG66099:OOG131633 OYC66099:OYC131633 PHY66099:PHY131633 PRU66099:PRU131633 QBQ66099:QBQ131633 QLM66099:QLM131633 QVI66099:QVI131633 RFE66099:RFE131633 RPA66099:RPA131633 RYW66099:RYW131633 SIS66099:SIS131633 SSO66099:SSO131633 TCK66099:TCK131633 TMG66099:TMG131633 TWC66099:TWC131633 UFY66099:UFY131633 UPU66099:UPU131633 UZQ66099:UZQ131633 VJM66099:VJM131633 VTI66099:VTI131633 WDE66099:WDE131633 WNA66099:WNA131633 WWW66099:WWW131633 AO131635:AO197169 KK131635:KK197169 UG131635:UG197169 AEC131635:AEC197169 ANY131635:ANY197169 AXU131635:AXU197169 BHQ131635:BHQ197169 BRM131635:BRM197169 CBI131635:CBI197169 CLE131635:CLE197169 CVA131635:CVA197169 DEW131635:DEW197169 DOS131635:DOS197169 DYO131635:DYO197169 EIK131635:EIK197169 ESG131635:ESG197169 FCC131635:FCC197169 FLY131635:FLY197169 FVU131635:FVU197169 GFQ131635:GFQ197169 GPM131635:GPM197169 GZI131635:GZI197169 HJE131635:HJE197169 HTA131635:HTA197169 ICW131635:ICW197169 IMS131635:IMS197169 IWO131635:IWO197169 JGK131635:JGK197169 JQG131635:JQG197169 KAC131635:KAC197169 KJY131635:KJY197169 KTU131635:KTU197169 LDQ131635:LDQ197169 LNM131635:LNM197169 LXI131635:LXI197169 MHE131635:MHE197169 MRA131635:MRA197169 NAW131635:NAW197169 NKS131635:NKS197169 NUO131635:NUO197169 OEK131635:OEK197169 OOG131635:OOG197169 OYC131635:OYC197169 PHY131635:PHY197169 PRU131635:PRU197169 QBQ131635:QBQ197169 QLM131635:QLM197169 QVI131635:QVI197169 RFE131635:RFE197169 RPA131635:RPA197169 RYW131635:RYW197169 SIS131635:SIS197169 SSO131635:SSO197169 TCK131635:TCK197169 TMG131635:TMG197169 TWC131635:TWC197169 UFY131635:UFY197169 UPU131635:UPU197169 UZQ131635:UZQ197169 VJM131635:VJM197169 VTI131635:VTI197169 WDE131635:WDE197169 WNA131635:WNA197169 WWW131635:WWW197169 AO197171:AO262705 KK197171:KK262705 UG197171:UG262705 AEC197171:AEC262705 ANY197171:ANY262705 AXU197171:AXU262705 BHQ197171:BHQ262705 BRM197171:BRM262705 CBI197171:CBI262705 CLE197171:CLE262705 CVA197171:CVA262705 DEW197171:DEW262705 DOS197171:DOS262705 DYO197171:DYO262705 EIK197171:EIK262705 ESG197171:ESG262705 FCC197171:FCC262705 FLY197171:FLY262705 FVU197171:FVU262705 GFQ197171:GFQ262705 GPM197171:GPM262705 GZI197171:GZI262705 HJE197171:HJE262705 HTA197171:HTA262705 ICW197171:ICW262705 IMS197171:IMS262705 IWO197171:IWO262705 JGK197171:JGK262705 JQG197171:JQG262705 KAC197171:KAC262705 KJY197171:KJY262705 KTU197171:KTU262705 LDQ197171:LDQ262705 LNM197171:LNM262705 LXI197171:LXI262705 MHE197171:MHE262705 MRA197171:MRA262705 NAW197171:NAW262705 NKS197171:NKS262705 NUO197171:NUO262705 OEK197171:OEK262705 OOG197171:OOG262705 OYC197171:OYC262705 PHY197171:PHY262705 PRU197171:PRU262705 QBQ197171:QBQ262705 QLM197171:QLM262705 QVI197171:QVI262705 RFE197171:RFE262705 RPA197171:RPA262705 RYW197171:RYW262705 SIS197171:SIS262705 SSO197171:SSO262705 TCK197171:TCK262705 TMG197171:TMG262705 TWC197171:TWC262705 UFY197171:UFY262705 UPU197171:UPU262705 UZQ197171:UZQ262705 VJM197171:VJM262705 VTI197171:VTI262705 WDE197171:WDE262705 WNA197171:WNA262705 WWW197171:WWW262705 AO262707:AO328241 KK262707:KK328241 UG262707:UG328241 AEC262707:AEC328241 ANY262707:ANY328241 AXU262707:AXU328241 BHQ262707:BHQ328241 BRM262707:BRM328241 CBI262707:CBI328241 CLE262707:CLE328241 CVA262707:CVA328241 DEW262707:DEW328241 DOS262707:DOS328241 DYO262707:DYO328241 EIK262707:EIK328241 ESG262707:ESG328241 FCC262707:FCC328241 FLY262707:FLY328241 FVU262707:FVU328241 GFQ262707:GFQ328241 GPM262707:GPM328241 GZI262707:GZI328241 HJE262707:HJE328241 HTA262707:HTA328241 ICW262707:ICW328241 IMS262707:IMS328241 IWO262707:IWO328241 JGK262707:JGK328241 JQG262707:JQG328241 KAC262707:KAC328241 KJY262707:KJY328241 KTU262707:KTU328241 LDQ262707:LDQ328241 LNM262707:LNM328241 LXI262707:LXI328241 MHE262707:MHE328241 MRA262707:MRA328241 NAW262707:NAW328241 NKS262707:NKS328241 NUO262707:NUO328241 OEK262707:OEK328241 OOG262707:OOG328241 OYC262707:OYC328241 PHY262707:PHY328241 PRU262707:PRU328241 QBQ262707:QBQ328241 QLM262707:QLM328241 QVI262707:QVI328241 RFE262707:RFE328241 RPA262707:RPA328241 RYW262707:RYW328241 SIS262707:SIS328241 SSO262707:SSO328241 TCK262707:TCK328241 TMG262707:TMG328241 TWC262707:TWC328241 UFY262707:UFY328241 UPU262707:UPU328241 UZQ262707:UZQ328241 VJM262707:VJM328241 VTI262707:VTI328241 WDE262707:WDE328241 WNA262707:WNA328241 WWW262707:WWW328241 AO328243:AO393777 KK328243:KK393777 UG328243:UG393777 AEC328243:AEC393777 ANY328243:ANY393777 AXU328243:AXU393777 BHQ328243:BHQ393777 BRM328243:BRM393777 CBI328243:CBI393777 CLE328243:CLE393777 CVA328243:CVA393777 DEW328243:DEW393777 DOS328243:DOS393777 DYO328243:DYO393777 EIK328243:EIK393777 ESG328243:ESG393777 FCC328243:FCC393777 FLY328243:FLY393777 FVU328243:FVU393777 GFQ328243:GFQ393777 GPM328243:GPM393777 GZI328243:GZI393777 HJE328243:HJE393777 HTA328243:HTA393777 ICW328243:ICW393777 IMS328243:IMS393777 IWO328243:IWO393777 JGK328243:JGK393777 JQG328243:JQG393777 KAC328243:KAC393777 KJY328243:KJY393777 KTU328243:KTU393777 LDQ328243:LDQ393777 LNM328243:LNM393777 LXI328243:LXI393777 MHE328243:MHE393777 MRA328243:MRA393777 NAW328243:NAW393777 NKS328243:NKS393777 NUO328243:NUO393777 OEK328243:OEK393777 OOG328243:OOG393777 OYC328243:OYC393777 PHY328243:PHY393777 PRU328243:PRU393777 QBQ328243:QBQ393777 QLM328243:QLM393777 QVI328243:QVI393777 RFE328243:RFE393777 RPA328243:RPA393777 RYW328243:RYW393777 SIS328243:SIS393777 SSO328243:SSO393777 TCK328243:TCK393777 TMG328243:TMG393777 TWC328243:TWC393777 UFY328243:UFY393777 UPU328243:UPU393777 UZQ328243:UZQ393777 VJM328243:VJM393777 VTI328243:VTI393777 WDE328243:WDE393777 WNA328243:WNA393777 WWW328243:WWW393777 AO393779:AO459313 KK393779:KK459313 UG393779:UG459313 AEC393779:AEC459313 ANY393779:ANY459313 AXU393779:AXU459313 BHQ393779:BHQ459313 BRM393779:BRM459313 CBI393779:CBI459313 CLE393779:CLE459313 CVA393779:CVA459313 DEW393779:DEW459313 DOS393779:DOS459313 DYO393779:DYO459313 EIK393779:EIK459313 ESG393779:ESG459313 FCC393779:FCC459313 FLY393779:FLY459313 FVU393779:FVU459313 GFQ393779:GFQ459313 GPM393779:GPM459313 GZI393779:GZI459313 HJE393779:HJE459313 HTA393779:HTA459313 ICW393779:ICW459313 IMS393779:IMS459313 IWO393779:IWO459313 JGK393779:JGK459313 JQG393779:JQG459313 KAC393779:KAC459313 KJY393779:KJY459313 KTU393779:KTU459313 LDQ393779:LDQ459313 LNM393779:LNM459313 LXI393779:LXI459313 MHE393779:MHE459313 MRA393779:MRA459313 NAW393779:NAW459313 NKS393779:NKS459313 NUO393779:NUO459313 OEK393779:OEK459313 OOG393779:OOG459313 OYC393779:OYC459313 PHY393779:PHY459313 PRU393779:PRU459313 QBQ393779:QBQ459313 QLM393779:QLM459313 QVI393779:QVI459313 RFE393779:RFE459313 RPA393779:RPA459313 RYW393779:RYW459313 SIS393779:SIS459313 SSO393779:SSO459313 TCK393779:TCK459313 TMG393779:TMG459313 TWC393779:TWC459313 UFY393779:UFY459313 UPU393779:UPU459313 UZQ393779:UZQ459313 VJM393779:VJM459313 VTI393779:VTI459313 WDE393779:WDE459313 WNA393779:WNA459313 WWW393779:WWW459313 AO459315:AO524849 KK459315:KK524849 UG459315:UG524849 AEC459315:AEC524849 ANY459315:ANY524849 AXU459315:AXU524849 BHQ459315:BHQ524849 BRM459315:BRM524849 CBI459315:CBI524849 CLE459315:CLE524849 CVA459315:CVA524849 DEW459315:DEW524849 DOS459315:DOS524849 DYO459315:DYO524849 EIK459315:EIK524849 ESG459315:ESG524849 FCC459315:FCC524849 FLY459315:FLY524849 FVU459315:FVU524849 GFQ459315:GFQ524849 GPM459315:GPM524849 GZI459315:GZI524849 HJE459315:HJE524849 HTA459315:HTA524849 ICW459315:ICW524849 IMS459315:IMS524849 IWO459315:IWO524849 JGK459315:JGK524849 JQG459315:JQG524849 KAC459315:KAC524849 KJY459315:KJY524849 KTU459315:KTU524849 LDQ459315:LDQ524849 LNM459315:LNM524849 LXI459315:LXI524849 MHE459315:MHE524849 MRA459315:MRA524849 NAW459315:NAW524849 NKS459315:NKS524849 NUO459315:NUO524849 OEK459315:OEK524849 OOG459315:OOG524849 OYC459315:OYC524849 PHY459315:PHY524849 PRU459315:PRU524849 QBQ459315:QBQ524849 QLM459315:QLM524849 QVI459315:QVI524849 RFE459315:RFE524849 RPA459315:RPA524849 RYW459315:RYW524849 SIS459315:SIS524849 SSO459315:SSO524849 TCK459315:TCK524849 TMG459315:TMG524849 TWC459315:TWC524849 UFY459315:UFY524849 UPU459315:UPU524849 UZQ459315:UZQ524849 VJM459315:VJM524849 VTI459315:VTI524849 WDE459315:WDE524849 WNA459315:WNA524849 WWW459315:WWW524849 AO524851:AO590385 KK524851:KK590385 UG524851:UG590385 AEC524851:AEC590385 ANY524851:ANY590385 AXU524851:AXU590385 BHQ524851:BHQ590385 BRM524851:BRM590385 CBI524851:CBI590385 CLE524851:CLE590385 CVA524851:CVA590385 DEW524851:DEW590385 DOS524851:DOS590385 DYO524851:DYO590385 EIK524851:EIK590385 ESG524851:ESG590385 FCC524851:FCC590385 FLY524851:FLY590385 FVU524851:FVU590385 GFQ524851:GFQ590385 GPM524851:GPM590385 GZI524851:GZI590385 HJE524851:HJE590385 HTA524851:HTA590385 ICW524851:ICW590385 IMS524851:IMS590385 IWO524851:IWO590385 JGK524851:JGK590385 JQG524851:JQG590385 KAC524851:KAC590385 KJY524851:KJY590385 KTU524851:KTU590385 LDQ524851:LDQ590385 LNM524851:LNM590385 LXI524851:LXI590385 MHE524851:MHE590385 MRA524851:MRA590385 NAW524851:NAW590385 NKS524851:NKS590385 NUO524851:NUO590385 OEK524851:OEK590385 OOG524851:OOG590385 OYC524851:OYC590385 PHY524851:PHY590385 PRU524851:PRU590385 QBQ524851:QBQ590385 QLM524851:QLM590385 QVI524851:QVI590385 RFE524851:RFE590385 RPA524851:RPA590385 RYW524851:RYW590385 SIS524851:SIS590385 SSO524851:SSO590385 TCK524851:TCK590385 TMG524851:TMG590385 TWC524851:TWC590385 UFY524851:UFY590385 UPU524851:UPU590385 UZQ524851:UZQ590385 VJM524851:VJM590385 VTI524851:VTI590385 WDE524851:WDE590385 WNA524851:WNA590385 WWW524851:WWW590385 AO590387:AO655921 KK590387:KK655921 UG590387:UG655921 AEC590387:AEC655921 ANY590387:ANY655921 AXU590387:AXU655921 BHQ590387:BHQ655921 BRM590387:BRM655921 CBI590387:CBI655921 CLE590387:CLE655921 CVA590387:CVA655921 DEW590387:DEW655921 DOS590387:DOS655921 DYO590387:DYO655921 EIK590387:EIK655921 ESG590387:ESG655921 FCC590387:FCC655921 FLY590387:FLY655921 FVU590387:FVU655921 GFQ590387:GFQ655921 GPM590387:GPM655921 GZI590387:GZI655921 HJE590387:HJE655921 HTA590387:HTA655921 ICW590387:ICW655921 IMS590387:IMS655921 IWO590387:IWO655921 JGK590387:JGK655921 JQG590387:JQG655921 KAC590387:KAC655921 KJY590387:KJY655921 KTU590387:KTU655921 LDQ590387:LDQ655921 LNM590387:LNM655921 LXI590387:LXI655921 MHE590387:MHE655921 MRA590387:MRA655921 NAW590387:NAW655921 NKS590387:NKS655921 NUO590387:NUO655921 OEK590387:OEK655921 OOG590387:OOG655921 OYC590387:OYC655921 PHY590387:PHY655921 PRU590387:PRU655921 QBQ590387:QBQ655921 QLM590387:QLM655921 QVI590387:QVI655921 RFE590387:RFE655921 RPA590387:RPA655921 RYW590387:RYW655921 SIS590387:SIS655921 SSO590387:SSO655921 TCK590387:TCK655921 TMG590387:TMG655921 TWC590387:TWC655921 UFY590387:UFY655921 UPU590387:UPU655921 UZQ590387:UZQ655921 VJM590387:VJM655921 VTI590387:VTI655921 WDE590387:WDE655921 WNA590387:WNA655921 WWW590387:WWW655921 AO655923:AO721457 KK655923:KK721457 UG655923:UG721457 AEC655923:AEC721457 ANY655923:ANY721457 AXU655923:AXU721457 BHQ655923:BHQ721457 BRM655923:BRM721457 CBI655923:CBI721457 CLE655923:CLE721457 CVA655923:CVA721457 DEW655923:DEW721457 DOS655923:DOS721457 DYO655923:DYO721457 EIK655923:EIK721457 ESG655923:ESG721457 FCC655923:FCC721457 FLY655923:FLY721457 FVU655923:FVU721457 GFQ655923:GFQ721457 GPM655923:GPM721457 GZI655923:GZI721457 HJE655923:HJE721457 HTA655923:HTA721457 ICW655923:ICW721457 IMS655923:IMS721457 IWO655923:IWO721457 JGK655923:JGK721457 JQG655923:JQG721457 KAC655923:KAC721457 KJY655923:KJY721457 KTU655923:KTU721457 LDQ655923:LDQ721457 LNM655923:LNM721457 LXI655923:LXI721457 MHE655923:MHE721457 MRA655923:MRA721457 NAW655923:NAW721457 NKS655923:NKS721457 NUO655923:NUO721457 OEK655923:OEK721457 OOG655923:OOG721457 OYC655923:OYC721457 PHY655923:PHY721457 PRU655923:PRU721457 QBQ655923:QBQ721457 QLM655923:QLM721457 QVI655923:QVI721457 RFE655923:RFE721457 RPA655923:RPA721457 RYW655923:RYW721457 SIS655923:SIS721457 SSO655923:SSO721457 TCK655923:TCK721457 TMG655923:TMG721457 TWC655923:TWC721457 UFY655923:UFY721457 UPU655923:UPU721457 UZQ655923:UZQ721457 VJM655923:VJM721457 VTI655923:VTI721457 WDE655923:WDE721457 WNA655923:WNA721457 WWW655923:WWW721457 AO721459:AO786993 KK721459:KK786993 UG721459:UG786993 AEC721459:AEC786993 ANY721459:ANY786993 AXU721459:AXU786993 BHQ721459:BHQ786993 BRM721459:BRM786993 CBI721459:CBI786993 CLE721459:CLE786993 CVA721459:CVA786993 DEW721459:DEW786993 DOS721459:DOS786993 DYO721459:DYO786993 EIK721459:EIK786993 ESG721459:ESG786993 FCC721459:FCC786993 FLY721459:FLY786993 FVU721459:FVU786993 GFQ721459:GFQ786993 GPM721459:GPM786993 GZI721459:GZI786993 HJE721459:HJE786993 HTA721459:HTA786993 ICW721459:ICW786993 IMS721459:IMS786993 IWO721459:IWO786993 JGK721459:JGK786993 JQG721459:JQG786993 KAC721459:KAC786993 KJY721459:KJY786993 KTU721459:KTU786993 LDQ721459:LDQ786993 LNM721459:LNM786993 LXI721459:LXI786993 MHE721459:MHE786993 MRA721459:MRA786993 NAW721459:NAW786993 NKS721459:NKS786993 NUO721459:NUO786993 OEK721459:OEK786993 OOG721459:OOG786993 OYC721459:OYC786993 PHY721459:PHY786993 PRU721459:PRU786993 QBQ721459:QBQ786993 QLM721459:QLM786993 QVI721459:QVI786993 RFE721459:RFE786993 RPA721459:RPA786993 RYW721459:RYW786993 SIS721459:SIS786993 SSO721459:SSO786993 TCK721459:TCK786993 TMG721459:TMG786993 TWC721459:TWC786993 UFY721459:UFY786993 UPU721459:UPU786993 UZQ721459:UZQ786993 VJM721459:VJM786993 VTI721459:VTI786993 WDE721459:WDE786993 WNA721459:WNA786993 WWW721459:WWW786993 AO786995:AO852529 KK786995:KK852529 UG786995:UG852529 AEC786995:AEC852529 ANY786995:ANY852529 AXU786995:AXU852529 BHQ786995:BHQ852529 BRM786995:BRM852529 CBI786995:CBI852529 CLE786995:CLE852529 CVA786995:CVA852529 DEW786995:DEW852529 DOS786995:DOS852529 DYO786995:DYO852529 EIK786995:EIK852529 ESG786995:ESG852529 FCC786995:FCC852529 FLY786995:FLY852529 FVU786995:FVU852529 GFQ786995:GFQ852529 GPM786995:GPM852529 GZI786995:GZI852529 HJE786995:HJE852529 HTA786995:HTA852529 ICW786995:ICW852529 IMS786995:IMS852529 IWO786995:IWO852529 JGK786995:JGK852529 JQG786995:JQG852529 KAC786995:KAC852529 KJY786995:KJY852529 KTU786995:KTU852529 LDQ786995:LDQ852529 LNM786995:LNM852529 LXI786995:LXI852529 MHE786995:MHE852529 MRA786995:MRA852529 NAW786995:NAW852529 NKS786995:NKS852529 NUO786995:NUO852529 OEK786995:OEK852529 OOG786995:OOG852529 OYC786995:OYC852529 PHY786995:PHY852529 PRU786995:PRU852529 QBQ786995:QBQ852529 QLM786995:QLM852529 QVI786995:QVI852529 RFE786995:RFE852529 RPA786995:RPA852529 RYW786995:RYW852529 SIS786995:SIS852529 SSO786995:SSO852529 TCK786995:TCK852529 TMG786995:TMG852529 TWC786995:TWC852529 UFY786995:UFY852529 UPU786995:UPU852529 UZQ786995:UZQ852529 VJM786995:VJM852529 VTI786995:VTI852529 WDE786995:WDE852529 WNA786995:WNA852529 WWW786995:WWW852529 AO852531:AO918065 KK852531:KK918065 UG852531:UG918065 AEC852531:AEC918065 ANY852531:ANY918065 AXU852531:AXU918065 BHQ852531:BHQ918065 BRM852531:BRM918065 CBI852531:CBI918065 CLE852531:CLE918065 CVA852531:CVA918065 DEW852531:DEW918065 DOS852531:DOS918065 DYO852531:DYO918065 EIK852531:EIK918065 ESG852531:ESG918065 FCC852531:FCC918065 FLY852531:FLY918065 FVU852531:FVU918065 GFQ852531:GFQ918065 GPM852531:GPM918065 GZI852531:GZI918065 HJE852531:HJE918065 HTA852531:HTA918065 ICW852531:ICW918065 IMS852531:IMS918065 IWO852531:IWO918065 JGK852531:JGK918065 JQG852531:JQG918065 KAC852531:KAC918065 KJY852531:KJY918065 KTU852531:KTU918065 LDQ852531:LDQ918065 LNM852531:LNM918065 LXI852531:LXI918065 MHE852531:MHE918065 MRA852531:MRA918065 NAW852531:NAW918065 NKS852531:NKS918065 NUO852531:NUO918065 OEK852531:OEK918065 OOG852531:OOG918065 OYC852531:OYC918065 PHY852531:PHY918065 PRU852531:PRU918065 QBQ852531:QBQ918065 QLM852531:QLM918065 QVI852531:QVI918065 RFE852531:RFE918065 RPA852531:RPA918065 RYW852531:RYW918065 SIS852531:SIS918065 SSO852531:SSO918065 TCK852531:TCK918065 TMG852531:TMG918065 TWC852531:TWC918065 UFY852531:UFY918065 UPU852531:UPU918065 UZQ852531:UZQ918065 VJM852531:VJM918065 VTI852531:VTI918065 WDE852531:WDE918065 WNA852531:WNA918065 WWW852531:WWW918065 AO918067:AO983601 KK918067:KK983601 UG918067:UG983601 AEC918067:AEC983601 ANY918067:ANY983601 AXU918067:AXU983601 BHQ918067:BHQ983601 BRM918067:BRM983601 CBI918067:CBI983601 CLE918067:CLE983601 CVA918067:CVA983601 DEW918067:DEW983601 DOS918067:DOS983601 DYO918067:DYO983601 EIK918067:EIK983601 ESG918067:ESG983601 FCC918067:FCC983601 FLY918067:FLY983601 FVU918067:FVU983601 GFQ918067:GFQ983601 GPM918067:GPM983601 GZI918067:GZI983601 HJE918067:HJE983601 HTA918067:HTA983601 ICW918067:ICW983601 IMS918067:IMS983601 IWO918067:IWO983601 JGK918067:JGK983601 JQG918067:JQG983601 KAC918067:KAC983601 KJY918067:KJY983601 KTU918067:KTU983601 LDQ918067:LDQ983601 LNM918067:LNM983601 LXI918067:LXI983601 MHE918067:MHE983601 MRA918067:MRA983601 NAW918067:NAW983601 NKS918067:NKS983601 NUO918067:NUO983601 OEK918067:OEK983601 OOG918067:OOG983601 OYC918067:OYC983601 PHY918067:PHY983601 PRU918067:PRU983601 QBQ918067:QBQ983601 QLM918067:QLM983601 QVI918067:QVI983601 RFE918067:RFE983601 RPA918067:RPA983601 RYW918067:RYW983601 SIS918067:SIS983601 SSO918067:SSO983601 TCK918067:TCK983601 TMG918067:TMG983601 TWC918067:TWC983601 UFY918067:UFY983601 UPU918067:UPU983601 UZQ918067:UZQ983601 VJM918067:VJM983601 VTI918067:VTI983601 WDE918067:WDE983601 WNA918067:WNA983601 WWW918067:WWW983601 AO983603:AO1048576 KK983603:KK1048576 UG983603:UG1048576 AEC983603:AEC1048576 ANY983603:ANY1048576 AXU983603:AXU1048576 BHQ983603:BHQ1048576 BRM983603:BRM1048576 CBI983603:CBI1048576 CLE983603:CLE1048576 CVA983603:CVA1048576 DEW983603:DEW1048576 DOS983603:DOS1048576 DYO983603:DYO1048576 EIK983603:EIK1048576 ESG983603:ESG1048576 FCC983603:FCC1048576 FLY983603:FLY1048576 FVU983603:FVU1048576 GFQ983603:GFQ1048576 GPM983603:GPM1048576 GZI983603:GZI1048576 HJE983603:HJE1048576 HTA983603:HTA1048576 ICW983603:ICW1048576 IMS983603:IMS1048576 IWO983603:IWO1048576 JGK983603:JGK1048576 JQG983603:JQG1048576 KAC983603:KAC1048576 KJY983603:KJY1048576 KTU983603:KTU1048576 LDQ983603:LDQ1048576 LNM983603:LNM1048576 LXI983603:LXI1048576 MHE983603:MHE1048576 MRA983603:MRA1048576 NAW983603:NAW1048576 NKS983603:NKS1048576 NUO983603:NUO1048576 OEK983603:OEK1048576 OOG983603:OOG1048576 OYC983603:OYC1048576 PHY983603:PHY1048576 PRU983603:PRU1048576 QBQ983603:QBQ1048576 QLM983603:QLM1048576 QVI983603:QVI1048576 RFE983603:RFE1048576 RPA983603:RPA1048576 RYW983603:RYW1048576 SIS983603:SIS1048576 SSO983603:SSO1048576 TCK983603:TCK1048576 TMG983603:TMG1048576 TWC983603:TWC1048576 UFY983603:UFY1048576 UPU983603:UPU1048576 UZQ983603:UZQ1048576 VJM983603:VJM1048576 VTI983603:VTI1048576 WDE983603:WDE1048576 WNA983603:WNA1048576 WWW983603:WWW1048576</xm:sqref>
        </x14:dataValidation>
        <x14:dataValidation type="list" allowBlank="1" showInputMessage="1" showErrorMessage="1">
          <x14:formula1>
            <xm:f>[3]基础信息!#REF!</xm:f>
          </x14:formula1>
          <xm:sqref>AW1:AW561 KS1:KS561 UO1:UO561 AEK1:AEK561 AOG1:AOG561 AYC1:AYC561 BHY1:BHY561 BRU1:BRU561 CBQ1:CBQ561 CLM1:CLM561 CVI1:CVI561 DFE1:DFE561 DPA1:DPA561 DYW1:DYW561 EIS1:EIS561 ESO1:ESO561 FCK1:FCK561 FMG1:FMG561 FWC1:FWC561 GFY1:GFY561 GPU1:GPU561 GZQ1:GZQ561 HJM1:HJM561 HTI1:HTI561 IDE1:IDE561 INA1:INA561 IWW1:IWW561 JGS1:JGS561 JQO1:JQO561 KAK1:KAK561 KKG1:KKG561 KUC1:KUC561 LDY1:LDY561 LNU1:LNU561 LXQ1:LXQ561 MHM1:MHM561 MRI1:MRI561 NBE1:NBE561 NLA1:NLA561 NUW1:NUW561 OES1:OES561 OOO1:OOO561 OYK1:OYK561 PIG1:PIG561 PSC1:PSC561 QBY1:QBY561 QLU1:QLU561 QVQ1:QVQ561 RFM1:RFM561 RPI1:RPI561 RZE1:RZE561 SJA1:SJA561 SSW1:SSW561 TCS1:TCS561 TMO1:TMO561 TWK1:TWK561 UGG1:UGG561 UQC1:UQC561 UZY1:UZY561 VJU1:VJU561 VTQ1:VTQ561 WDM1:WDM561 WNI1:WNI561 WXE1:WXE561 AW563:AW66097 KS563:KS66097 UO563:UO66097 AEK563:AEK66097 AOG563:AOG66097 AYC563:AYC66097 BHY563:BHY66097 BRU563:BRU66097 CBQ563:CBQ66097 CLM563:CLM66097 CVI563:CVI66097 DFE563:DFE66097 DPA563:DPA66097 DYW563:DYW66097 EIS563:EIS66097 ESO563:ESO66097 FCK563:FCK66097 FMG563:FMG66097 FWC563:FWC66097 GFY563:GFY66097 GPU563:GPU66097 GZQ563:GZQ66097 HJM563:HJM66097 HTI563:HTI66097 IDE563:IDE66097 INA563:INA66097 IWW563:IWW66097 JGS563:JGS66097 JQO563:JQO66097 KAK563:KAK66097 KKG563:KKG66097 KUC563:KUC66097 LDY563:LDY66097 LNU563:LNU66097 LXQ563:LXQ66097 MHM563:MHM66097 MRI563:MRI66097 NBE563:NBE66097 NLA563:NLA66097 NUW563:NUW66097 OES563:OES66097 OOO563:OOO66097 OYK563:OYK66097 PIG563:PIG66097 PSC563:PSC66097 QBY563:QBY66097 QLU563:QLU66097 QVQ563:QVQ66097 RFM563:RFM66097 RPI563:RPI66097 RZE563:RZE66097 SJA563:SJA66097 SSW563:SSW66097 TCS563:TCS66097 TMO563:TMO66097 TWK563:TWK66097 UGG563:UGG66097 UQC563:UQC66097 UZY563:UZY66097 VJU563:VJU66097 VTQ563:VTQ66097 WDM563:WDM66097 WNI563:WNI66097 WXE563:WXE66097 AW66099:AW131633 KS66099:KS131633 UO66099:UO131633 AEK66099:AEK131633 AOG66099:AOG131633 AYC66099:AYC131633 BHY66099:BHY131633 BRU66099:BRU131633 CBQ66099:CBQ131633 CLM66099:CLM131633 CVI66099:CVI131633 DFE66099:DFE131633 DPA66099:DPA131633 DYW66099:DYW131633 EIS66099:EIS131633 ESO66099:ESO131633 FCK66099:FCK131633 FMG66099:FMG131633 FWC66099:FWC131633 GFY66099:GFY131633 GPU66099:GPU131633 GZQ66099:GZQ131633 HJM66099:HJM131633 HTI66099:HTI131633 IDE66099:IDE131633 INA66099:INA131633 IWW66099:IWW131633 JGS66099:JGS131633 JQO66099:JQO131633 KAK66099:KAK131633 KKG66099:KKG131633 KUC66099:KUC131633 LDY66099:LDY131633 LNU66099:LNU131633 LXQ66099:LXQ131633 MHM66099:MHM131633 MRI66099:MRI131633 NBE66099:NBE131633 NLA66099:NLA131633 NUW66099:NUW131633 OES66099:OES131633 OOO66099:OOO131633 OYK66099:OYK131633 PIG66099:PIG131633 PSC66099:PSC131633 QBY66099:QBY131633 QLU66099:QLU131633 QVQ66099:QVQ131633 RFM66099:RFM131633 RPI66099:RPI131633 RZE66099:RZE131633 SJA66099:SJA131633 SSW66099:SSW131633 TCS66099:TCS131633 TMO66099:TMO131633 TWK66099:TWK131633 UGG66099:UGG131633 UQC66099:UQC131633 UZY66099:UZY131633 VJU66099:VJU131633 VTQ66099:VTQ131633 WDM66099:WDM131633 WNI66099:WNI131633 WXE66099:WXE131633 AW131635:AW197169 KS131635:KS197169 UO131635:UO197169 AEK131635:AEK197169 AOG131635:AOG197169 AYC131635:AYC197169 BHY131635:BHY197169 BRU131635:BRU197169 CBQ131635:CBQ197169 CLM131635:CLM197169 CVI131635:CVI197169 DFE131635:DFE197169 DPA131635:DPA197169 DYW131635:DYW197169 EIS131635:EIS197169 ESO131635:ESO197169 FCK131635:FCK197169 FMG131635:FMG197169 FWC131635:FWC197169 GFY131635:GFY197169 GPU131635:GPU197169 GZQ131635:GZQ197169 HJM131635:HJM197169 HTI131635:HTI197169 IDE131635:IDE197169 INA131635:INA197169 IWW131635:IWW197169 JGS131635:JGS197169 JQO131635:JQO197169 KAK131635:KAK197169 KKG131635:KKG197169 KUC131635:KUC197169 LDY131635:LDY197169 LNU131635:LNU197169 LXQ131635:LXQ197169 MHM131635:MHM197169 MRI131635:MRI197169 NBE131635:NBE197169 NLA131635:NLA197169 NUW131635:NUW197169 OES131635:OES197169 OOO131635:OOO197169 OYK131635:OYK197169 PIG131635:PIG197169 PSC131635:PSC197169 QBY131635:QBY197169 QLU131635:QLU197169 QVQ131635:QVQ197169 RFM131635:RFM197169 RPI131635:RPI197169 RZE131635:RZE197169 SJA131635:SJA197169 SSW131635:SSW197169 TCS131635:TCS197169 TMO131635:TMO197169 TWK131635:TWK197169 UGG131635:UGG197169 UQC131635:UQC197169 UZY131635:UZY197169 VJU131635:VJU197169 VTQ131635:VTQ197169 WDM131635:WDM197169 WNI131635:WNI197169 WXE131635:WXE197169 AW197171:AW262705 KS197171:KS262705 UO197171:UO262705 AEK197171:AEK262705 AOG197171:AOG262705 AYC197171:AYC262705 BHY197171:BHY262705 BRU197171:BRU262705 CBQ197171:CBQ262705 CLM197171:CLM262705 CVI197171:CVI262705 DFE197171:DFE262705 DPA197171:DPA262705 DYW197171:DYW262705 EIS197171:EIS262705 ESO197171:ESO262705 FCK197171:FCK262705 FMG197171:FMG262705 FWC197171:FWC262705 GFY197171:GFY262705 GPU197171:GPU262705 GZQ197171:GZQ262705 HJM197171:HJM262705 HTI197171:HTI262705 IDE197171:IDE262705 INA197171:INA262705 IWW197171:IWW262705 JGS197171:JGS262705 JQO197171:JQO262705 KAK197171:KAK262705 KKG197171:KKG262705 KUC197171:KUC262705 LDY197171:LDY262705 LNU197171:LNU262705 LXQ197171:LXQ262705 MHM197171:MHM262705 MRI197171:MRI262705 NBE197171:NBE262705 NLA197171:NLA262705 NUW197171:NUW262705 OES197171:OES262705 OOO197171:OOO262705 OYK197171:OYK262705 PIG197171:PIG262705 PSC197171:PSC262705 QBY197171:QBY262705 QLU197171:QLU262705 QVQ197171:QVQ262705 RFM197171:RFM262705 RPI197171:RPI262705 RZE197171:RZE262705 SJA197171:SJA262705 SSW197171:SSW262705 TCS197171:TCS262705 TMO197171:TMO262705 TWK197171:TWK262705 UGG197171:UGG262705 UQC197171:UQC262705 UZY197171:UZY262705 VJU197171:VJU262705 VTQ197171:VTQ262705 WDM197171:WDM262705 WNI197171:WNI262705 WXE197171:WXE262705 AW262707:AW328241 KS262707:KS328241 UO262707:UO328241 AEK262707:AEK328241 AOG262707:AOG328241 AYC262707:AYC328241 BHY262707:BHY328241 BRU262707:BRU328241 CBQ262707:CBQ328241 CLM262707:CLM328241 CVI262707:CVI328241 DFE262707:DFE328241 DPA262707:DPA328241 DYW262707:DYW328241 EIS262707:EIS328241 ESO262707:ESO328241 FCK262707:FCK328241 FMG262707:FMG328241 FWC262707:FWC328241 GFY262707:GFY328241 GPU262707:GPU328241 GZQ262707:GZQ328241 HJM262707:HJM328241 HTI262707:HTI328241 IDE262707:IDE328241 INA262707:INA328241 IWW262707:IWW328241 JGS262707:JGS328241 JQO262707:JQO328241 KAK262707:KAK328241 KKG262707:KKG328241 KUC262707:KUC328241 LDY262707:LDY328241 LNU262707:LNU328241 LXQ262707:LXQ328241 MHM262707:MHM328241 MRI262707:MRI328241 NBE262707:NBE328241 NLA262707:NLA328241 NUW262707:NUW328241 OES262707:OES328241 OOO262707:OOO328241 OYK262707:OYK328241 PIG262707:PIG328241 PSC262707:PSC328241 QBY262707:QBY328241 QLU262707:QLU328241 QVQ262707:QVQ328241 RFM262707:RFM328241 RPI262707:RPI328241 RZE262707:RZE328241 SJA262707:SJA328241 SSW262707:SSW328241 TCS262707:TCS328241 TMO262707:TMO328241 TWK262707:TWK328241 UGG262707:UGG328241 UQC262707:UQC328241 UZY262707:UZY328241 VJU262707:VJU328241 VTQ262707:VTQ328241 WDM262707:WDM328241 WNI262707:WNI328241 WXE262707:WXE328241 AW328243:AW393777 KS328243:KS393777 UO328243:UO393777 AEK328243:AEK393777 AOG328243:AOG393777 AYC328243:AYC393777 BHY328243:BHY393777 BRU328243:BRU393777 CBQ328243:CBQ393777 CLM328243:CLM393777 CVI328243:CVI393777 DFE328243:DFE393777 DPA328243:DPA393777 DYW328243:DYW393777 EIS328243:EIS393777 ESO328243:ESO393777 FCK328243:FCK393777 FMG328243:FMG393777 FWC328243:FWC393777 GFY328243:GFY393777 GPU328243:GPU393777 GZQ328243:GZQ393777 HJM328243:HJM393777 HTI328243:HTI393777 IDE328243:IDE393777 INA328243:INA393777 IWW328243:IWW393777 JGS328243:JGS393777 JQO328243:JQO393777 KAK328243:KAK393777 KKG328243:KKG393777 KUC328243:KUC393777 LDY328243:LDY393777 LNU328243:LNU393777 LXQ328243:LXQ393777 MHM328243:MHM393777 MRI328243:MRI393777 NBE328243:NBE393777 NLA328243:NLA393777 NUW328243:NUW393777 OES328243:OES393777 OOO328243:OOO393777 OYK328243:OYK393777 PIG328243:PIG393777 PSC328243:PSC393777 QBY328243:QBY393777 QLU328243:QLU393777 QVQ328243:QVQ393777 RFM328243:RFM393777 RPI328243:RPI393777 RZE328243:RZE393777 SJA328243:SJA393777 SSW328243:SSW393777 TCS328243:TCS393777 TMO328243:TMO393777 TWK328243:TWK393777 UGG328243:UGG393777 UQC328243:UQC393777 UZY328243:UZY393777 VJU328243:VJU393777 VTQ328243:VTQ393777 WDM328243:WDM393777 WNI328243:WNI393777 WXE328243:WXE393777 AW393779:AW459313 KS393779:KS459313 UO393779:UO459313 AEK393779:AEK459313 AOG393779:AOG459313 AYC393779:AYC459313 BHY393779:BHY459313 BRU393779:BRU459313 CBQ393779:CBQ459313 CLM393779:CLM459313 CVI393779:CVI459313 DFE393779:DFE459313 DPA393779:DPA459313 DYW393779:DYW459313 EIS393779:EIS459313 ESO393779:ESO459313 FCK393779:FCK459313 FMG393779:FMG459313 FWC393779:FWC459313 GFY393779:GFY459313 GPU393779:GPU459313 GZQ393779:GZQ459313 HJM393779:HJM459313 HTI393779:HTI459313 IDE393779:IDE459313 INA393779:INA459313 IWW393779:IWW459313 JGS393779:JGS459313 JQO393779:JQO459313 KAK393779:KAK459313 KKG393779:KKG459313 KUC393779:KUC459313 LDY393779:LDY459313 LNU393779:LNU459313 LXQ393779:LXQ459313 MHM393779:MHM459313 MRI393779:MRI459313 NBE393779:NBE459313 NLA393779:NLA459313 NUW393779:NUW459313 OES393779:OES459313 OOO393779:OOO459313 OYK393779:OYK459313 PIG393779:PIG459313 PSC393779:PSC459313 QBY393779:QBY459313 QLU393779:QLU459313 QVQ393779:QVQ459313 RFM393779:RFM459313 RPI393779:RPI459313 RZE393779:RZE459313 SJA393779:SJA459313 SSW393779:SSW459313 TCS393779:TCS459313 TMO393779:TMO459313 TWK393779:TWK459313 UGG393779:UGG459313 UQC393779:UQC459313 UZY393779:UZY459313 VJU393779:VJU459313 VTQ393779:VTQ459313 WDM393779:WDM459313 WNI393779:WNI459313 WXE393779:WXE459313 AW459315:AW524849 KS459315:KS524849 UO459315:UO524849 AEK459315:AEK524849 AOG459315:AOG524849 AYC459315:AYC524849 BHY459315:BHY524849 BRU459315:BRU524849 CBQ459315:CBQ524849 CLM459315:CLM524849 CVI459315:CVI524849 DFE459315:DFE524849 DPA459315:DPA524849 DYW459315:DYW524849 EIS459315:EIS524849 ESO459315:ESO524849 FCK459315:FCK524849 FMG459315:FMG524849 FWC459315:FWC524849 GFY459315:GFY524849 GPU459315:GPU524849 GZQ459315:GZQ524849 HJM459315:HJM524849 HTI459315:HTI524849 IDE459315:IDE524849 INA459315:INA524849 IWW459315:IWW524849 JGS459315:JGS524849 JQO459315:JQO524849 KAK459315:KAK524849 KKG459315:KKG524849 KUC459315:KUC524849 LDY459315:LDY524849 LNU459315:LNU524849 LXQ459315:LXQ524849 MHM459315:MHM524849 MRI459315:MRI524849 NBE459315:NBE524849 NLA459315:NLA524849 NUW459315:NUW524849 OES459315:OES524849 OOO459315:OOO524849 OYK459315:OYK524849 PIG459315:PIG524849 PSC459315:PSC524849 QBY459315:QBY524849 QLU459315:QLU524849 QVQ459315:QVQ524849 RFM459315:RFM524849 RPI459315:RPI524849 RZE459315:RZE524849 SJA459315:SJA524849 SSW459315:SSW524849 TCS459315:TCS524849 TMO459315:TMO524849 TWK459315:TWK524849 UGG459315:UGG524849 UQC459315:UQC524849 UZY459315:UZY524849 VJU459315:VJU524849 VTQ459315:VTQ524849 WDM459315:WDM524849 WNI459315:WNI524849 WXE459315:WXE524849 AW524851:AW590385 KS524851:KS590385 UO524851:UO590385 AEK524851:AEK590385 AOG524851:AOG590385 AYC524851:AYC590385 BHY524851:BHY590385 BRU524851:BRU590385 CBQ524851:CBQ590385 CLM524851:CLM590385 CVI524851:CVI590385 DFE524851:DFE590385 DPA524851:DPA590385 DYW524851:DYW590385 EIS524851:EIS590385 ESO524851:ESO590385 FCK524851:FCK590385 FMG524851:FMG590385 FWC524851:FWC590385 GFY524851:GFY590385 GPU524851:GPU590385 GZQ524851:GZQ590385 HJM524851:HJM590385 HTI524851:HTI590385 IDE524851:IDE590385 INA524851:INA590385 IWW524851:IWW590385 JGS524851:JGS590385 JQO524851:JQO590385 KAK524851:KAK590385 KKG524851:KKG590385 KUC524851:KUC590385 LDY524851:LDY590385 LNU524851:LNU590385 LXQ524851:LXQ590385 MHM524851:MHM590385 MRI524851:MRI590385 NBE524851:NBE590385 NLA524851:NLA590385 NUW524851:NUW590385 OES524851:OES590385 OOO524851:OOO590385 OYK524851:OYK590385 PIG524851:PIG590385 PSC524851:PSC590385 QBY524851:QBY590385 QLU524851:QLU590385 QVQ524851:QVQ590385 RFM524851:RFM590385 RPI524851:RPI590385 RZE524851:RZE590385 SJA524851:SJA590385 SSW524851:SSW590385 TCS524851:TCS590385 TMO524851:TMO590385 TWK524851:TWK590385 UGG524851:UGG590385 UQC524851:UQC590385 UZY524851:UZY590385 VJU524851:VJU590385 VTQ524851:VTQ590385 WDM524851:WDM590385 WNI524851:WNI590385 WXE524851:WXE590385 AW590387:AW655921 KS590387:KS655921 UO590387:UO655921 AEK590387:AEK655921 AOG590387:AOG655921 AYC590387:AYC655921 BHY590387:BHY655921 BRU590387:BRU655921 CBQ590387:CBQ655921 CLM590387:CLM655921 CVI590387:CVI655921 DFE590387:DFE655921 DPA590387:DPA655921 DYW590387:DYW655921 EIS590387:EIS655921 ESO590387:ESO655921 FCK590387:FCK655921 FMG590387:FMG655921 FWC590387:FWC655921 GFY590387:GFY655921 GPU590387:GPU655921 GZQ590387:GZQ655921 HJM590387:HJM655921 HTI590387:HTI655921 IDE590387:IDE655921 INA590387:INA655921 IWW590387:IWW655921 JGS590387:JGS655921 JQO590387:JQO655921 KAK590387:KAK655921 KKG590387:KKG655921 KUC590387:KUC655921 LDY590387:LDY655921 LNU590387:LNU655921 LXQ590387:LXQ655921 MHM590387:MHM655921 MRI590387:MRI655921 NBE590387:NBE655921 NLA590387:NLA655921 NUW590387:NUW655921 OES590387:OES655921 OOO590387:OOO655921 OYK590387:OYK655921 PIG590387:PIG655921 PSC590387:PSC655921 QBY590387:QBY655921 QLU590387:QLU655921 QVQ590387:QVQ655921 RFM590387:RFM655921 RPI590387:RPI655921 RZE590387:RZE655921 SJA590387:SJA655921 SSW590387:SSW655921 TCS590387:TCS655921 TMO590387:TMO655921 TWK590387:TWK655921 UGG590387:UGG655921 UQC590387:UQC655921 UZY590387:UZY655921 VJU590387:VJU655921 VTQ590387:VTQ655921 WDM590387:WDM655921 WNI590387:WNI655921 WXE590387:WXE655921 AW655923:AW721457 KS655923:KS721457 UO655923:UO721457 AEK655923:AEK721457 AOG655923:AOG721457 AYC655923:AYC721457 BHY655923:BHY721457 BRU655923:BRU721457 CBQ655923:CBQ721457 CLM655923:CLM721457 CVI655923:CVI721457 DFE655923:DFE721457 DPA655923:DPA721457 DYW655923:DYW721457 EIS655923:EIS721457 ESO655923:ESO721457 FCK655923:FCK721457 FMG655923:FMG721457 FWC655923:FWC721457 GFY655923:GFY721457 GPU655923:GPU721457 GZQ655923:GZQ721457 HJM655923:HJM721457 HTI655923:HTI721457 IDE655923:IDE721457 INA655923:INA721457 IWW655923:IWW721457 JGS655923:JGS721457 JQO655923:JQO721457 KAK655923:KAK721457 KKG655923:KKG721457 KUC655923:KUC721457 LDY655923:LDY721457 LNU655923:LNU721457 LXQ655923:LXQ721457 MHM655923:MHM721457 MRI655923:MRI721457 NBE655923:NBE721457 NLA655923:NLA721457 NUW655923:NUW721457 OES655923:OES721457 OOO655923:OOO721457 OYK655923:OYK721457 PIG655923:PIG721457 PSC655923:PSC721457 QBY655923:QBY721457 QLU655923:QLU721457 QVQ655923:QVQ721457 RFM655923:RFM721457 RPI655923:RPI721457 RZE655923:RZE721457 SJA655923:SJA721457 SSW655923:SSW721457 TCS655923:TCS721457 TMO655923:TMO721457 TWK655923:TWK721457 UGG655923:UGG721457 UQC655923:UQC721457 UZY655923:UZY721457 VJU655923:VJU721457 VTQ655923:VTQ721457 WDM655923:WDM721457 WNI655923:WNI721457 WXE655923:WXE721457 AW721459:AW786993 KS721459:KS786993 UO721459:UO786993 AEK721459:AEK786993 AOG721459:AOG786993 AYC721459:AYC786993 BHY721459:BHY786993 BRU721459:BRU786993 CBQ721459:CBQ786993 CLM721459:CLM786993 CVI721459:CVI786993 DFE721459:DFE786993 DPA721459:DPA786993 DYW721459:DYW786993 EIS721459:EIS786993 ESO721459:ESO786993 FCK721459:FCK786993 FMG721459:FMG786993 FWC721459:FWC786993 GFY721459:GFY786993 GPU721459:GPU786993 GZQ721459:GZQ786993 HJM721459:HJM786993 HTI721459:HTI786993 IDE721459:IDE786993 INA721459:INA786993 IWW721459:IWW786993 JGS721459:JGS786993 JQO721459:JQO786993 KAK721459:KAK786993 KKG721459:KKG786993 KUC721459:KUC786993 LDY721459:LDY786993 LNU721459:LNU786993 LXQ721459:LXQ786993 MHM721459:MHM786993 MRI721459:MRI786993 NBE721459:NBE786993 NLA721459:NLA786993 NUW721459:NUW786993 OES721459:OES786993 OOO721459:OOO786993 OYK721459:OYK786993 PIG721459:PIG786993 PSC721459:PSC786993 QBY721459:QBY786993 QLU721459:QLU786993 QVQ721459:QVQ786993 RFM721459:RFM786993 RPI721459:RPI786993 RZE721459:RZE786993 SJA721459:SJA786993 SSW721459:SSW786993 TCS721459:TCS786993 TMO721459:TMO786993 TWK721459:TWK786993 UGG721459:UGG786993 UQC721459:UQC786993 UZY721459:UZY786993 VJU721459:VJU786993 VTQ721459:VTQ786993 WDM721459:WDM786993 WNI721459:WNI786993 WXE721459:WXE786993 AW786995:AW852529 KS786995:KS852529 UO786995:UO852529 AEK786995:AEK852529 AOG786995:AOG852529 AYC786995:AYC852529 BHY786995:BHY852529 BRU786995:BRU852529 CBQ786995:CBQ852529 CLM786995:CLM852529 CVI786995:CVI852529 DFE786995:DFE852529 DPA786995:DPA852529 DYW786995:DYW852529 EIS786995:EIS852529 ESO786995:ESO852529 FCK786995:FCK852529 FMG786995:FMG852529 FWC786995:FWC852529 GFY786995:GFY852529 GPU786995:GPU852529 GZQ786995:GZQ852529 HJM786995:HJM852529 HTI786995:HTI852529 IDE786995:IDE852529 INA786995:INA852529 IWW786995:IWW852529 JGS786995:JGS852529 JQO786995:JQO852529 KAK786995:KAK852529 KKG786995:KKG852529 KUC786995:KUC852529 LDY786995:LDY852529 LNU786995:LNU852529 LXQ786995:LXQ852529 MHM786995:MHM852529 MRI786995:MRI852529 NBE786995:NBE852529 NLA786995:NLA852529 NUW786995:NUW852529 OES786995:OES852529 OOO786995:OOO852529 OYK786995:OYK852529 PIG786995:PIG852529 PSC786995:PSC852529 QBY786995:QBY852529 QLU786995:QLU852529 QVQ786995:QVQ852529 RFM786995:RFM852529 RPI786995:RPI852529 RZE786995:RZE852529 SJA786995:SJA852529 SSW786995:SSW852529 TCS786995:TCS852529 TMO786995:TMO852529 TWK786995:TWK852529 UGG786995:UGG852529 UQC786995:UQC852529 UZY786995:UZY852529 VJU786995:VJU852529 VTQ786995:VTQ852529 WDM786995:WDM852529 WNI786995:WNI852529 WXE786995:WXE852529 AW852531:AW918065 KS852531:KS918065 UO852531:UO918065 AEK852531:AEK918065 AOG852531:AOG918065 AYC852531:AYC918065 BHY852531:BHY918065 BRU852531:BRU918065 CBQ852531:CBQ918065 CLM852531:CLM918065 CVI852531:CVI918065 DFE852531:DFE918065 DPA852531:DPA918065 DYW852531:DYW918065 EIS852531:EIS918065 ESO852531:ESO918065 FCK852531:FCK918065 FMG852531:FMG918065 FWC852531:FWC918065 GFY852531:GFY918065 GPU852531:GPU918065 GZQ852531:GZQ918065 HJM852531:HJM918065 HTI852531:HTI918065 IDE852531:IDE918065 INA852531:INA918065 IWW852531:IWW918065 JGS852531:JGS918065 JQO852531:JQO918065 KAK852531:KAK918065 KKG852531:KKG918065 KUC852531:KUC918065 LDY852531:LDY918065 LNU852531:LNU918065 LXQ852531:LXQ918065 MHM852531:MHM918065 MRI852531:MRI918065 NBE852531:NBE918065 NLA852531:NLA918065 NUW852531:NUW918065 OES852531:OES918065 OOO852531:OOO918065 OYK852531:OYK918065 PIG852531:PIG918065 PSC852531:PSC918065 QBY852531:QBY918065 QLU852531:QLU918065 QVQ852531:QVQ918065 RFM852531:RFM918065 RPI852531:RPI918065 RZE852531:RZE918065 SJA852531:SJA918065 SSW852531:SSW918065 TCS852531:TCS918065 TMO852531:TMO918065 TWK852531:TWK918065 UGG852531:UGG918065 UQC852531:UQC918065 UZY852531:UZY918065 VJU852531:VJU918065 VTQ852531:VTQ918065 WDM852531:WDM918065 WNI852531:WNI918065 WXE852531:WXE918065 AW918067:AW983601 KS918067:KS983601 UO918067:UO983601 AEK918067:AEK983601 AOG918067:AOG983601 AYC918067:AYC983601 BHY918067:BHY983601 BRU918067:BRU983601 CBQ918067:CBQ983601 CLM918067:CLM983601 CVI918067:CVI983601 DFE918067:DFE983601 DPA918067:DPA983601 DYW918067:DYW983601 EIS918067:EIS983601 ESO918067:ESO983601 FCK918067:FCK983601 FMG918067:FMG983601 FWC918067:FWC983601 GFY918067:GFY983601 GPU918067:GPU983601 GZQ918067:GZQ983601 HJM918067:HJM983601 HTI918067:HTI983601 IDE918067:IDE983601 INA918067:INA983601 IWW918067:IWW983601 JGS918067:JGS983601 JQO918067:JQO983601 KAK918067:KAK983601 KKG918067:KKG983601 KUC918067:KUC983601 LDY918067:LDY983601 LNU918067:LNU983601 LXQ918067:LXQ983601 MHM918067:MHM983601 MRI918067:MRI983601 NBE918067:NBE983601 NLA918067:NLA983601 NUW918067:NUW983601 OES918067:OES983601 OOO918067:OOO983601 OYK918067:OYK983601 PIG918067:PIG983601 PSC918067:PSC983601 QBY918067:QBY983601 QLU918067:QLU983601 QVQ918067:QVQ983601 RFM918067:RFM983601 RPI918067:RPI983601 RZE918067:RZE983601 SJA918067:SJA983601 SSW918067:SSW983601 TCS918067:TCS983601 TMO918067:TMO983601 TWK918067:TWK983601 UGG918067:UGG983601 UQC918067:UQC983601 UZY918067:UZY983601 VJU918067:VJU983601 VTQ918067:VTQ983601 WDM918067:WDM983601 WNI918067:WNI983601 WXE918067:WXE983601 AW983603:AW1048576 KS983603:KS1048576 UO983603:UO1048576 AEK983603:AEK1048576 AOG983603:AOG1048576 AYC983603:AYC1048576 BHY983603:BHY1048576 BRU983603:BRU1048576 CBQ983603:CBQ1048576 CLM983603:CLM1048576 CVI983603:CVI1048576 DFE983603:DFE1048576 DPA983603:DPA1048576 DYW983603:DYW1048576 EIS983603:EIS1048576 ESO983603:ESO1048576 FCK983603:FCK1048576 FMG983603:FMG1048576 FWC983603:FWC1048576 GFY983603:GFY1048576 GPU983603:GPU1048576 GZQ983603:GZQ1048576 HJM983603:HJM1048576 HTI983603:HTI1048576 IDE983603:IDE1048576 INA983603:INA1048576 IWW983603:IWW1048576 JGS983603:JGS1048576 JQO983603:JQO1048576 KAK983603:KAK1048576 KKG983603:KKG1048576 KUC983603:KUC1048576 LDY983603:LDY1048576 LNU983603:LNU1048576 LXQ983603:LXQ1048576 MHM983603:MHM1048576 MRI983603:MRI1048576 NBE983603:NBE1048576 NLA983603:NLA1048576 NUW983603:NUW1048576 OES983603:OES1048576 OOO983603:OOO1048576 OYK983603:OYK1048576 PIG983603:PIG1048576 PSC983603:PSC1048576 QBY983603:QBY1048576 QLU983603:QLU1048576 QVQ983603:QVQ1048576 RFM983603:RFM1048576 RPI983603:RPI1048576 RZE983603:RZE1048576 SJA983603:SJA1048576 SSW983603:SSW1048576 TCS983603:TCS1048576 TMO983603:TMO1048576 TWK983603:TWK1048576 UGG983603:UGG1048576 UQC983603:UQC1048576 UZY983603:UZY1048576 VJU983603:VJU1048576 VTQ983603:VTQ1048576 WDM983603:WDM1048576 WNI983603:WNI1048576 WXE983603:WXE1048576</xm:sqref>
        </x14:dataValidation>
        <x14:dataValidation type="list" allowBlank="1" showInputMessage="1" showErrorMessage="1">
          <x14:formula1>
            <xm:f>[3]基础信息!#REF!</xm:f>
          </x14:formula1>
          <xm:sqref>AC2:AC561 JY2:JY561 TU2:TU561 ADQ2:ADQ561 ANM2:ANM561 AXI2:AXI561 BHE2:BHE561 BRA2:BRA561 CAW2:CAW561 CKS2:CKS561 CUO2:CUO561 DEK2:DEK561 DOG2:DOG561 DYC2:DYC561 EHY2:EHY561 ERU2:ERU561 FBQ2:FBQ561 FLM2:FLM561 FVI2:FVI561 GFE2:GFE561 GPA2:GPA561 GYW2:GYW561 HIS2:HIS561 HSO2:HSO561 ICK2:ICK561 IMG2:IMG561 IWC2:IWC561 JFY2:JFY561 JPU2:JPU561 JZQ2:JZQ561 KJM2:KJM561 KTI2:KTI561 LDE2:LDE561 LNA2:LNA561 LWW2:LWW561 MGS2:MGS561 MQO2:MQO561 NAK2:NAK561 NKG2:NKG561 NUC2:NUC561 ODY2:ODY561 ONU2:ONU561 OXQ2:OXQ561 PHM2:PHM561 PRI2:PRI561 QBE2:QBE561 QLA2:QLA561 QUW2:QUW561 RES2:RES561 ROO2:ROO561 RYK2:RYK561 SIG2:SIG561 SSC2:SSC561 TBY2:TBY561 TLU2:TLU561 TVQ2:TVQ561 UFM2:UFM561 UPI2:UPI561 UZE2:UZE561 VJA2:VJA561 VSW2:VSW561 WCS2:WCS561 WMO2:WMO561 WWK2:WWK561 AC65538:AC66097 JY65538:JY66097 TU65538:TU66097 ADQ65538:ADQ66097 ANM65538:ANM66097 AXI65538:AXI66097 BHE65538:BHE66097 BRA65538:BRA66097 CAW65538:CAW66097 CKS65538:CKS66097 CUO65538:CUO66097 DEK65538:DEK66097 DOG65538:DOG66097 DYC65538:DYC66097 EHY65538:EHY66097 ERU65538:ERU66097 FBQ65538:FBQ66097 FLM65538:FLM66097 FVI65538:FVI66097 GFE65538:GFE66097 GPA65538:GPA66097 GYW65538:GYW66097 HIS65538:HIS66097 HSO65538:HSO66097 ICK65538:ICK66097 IMG65538:IMG66097 IWC65538:IWC66097 JFY65538:JFY66097 JPU65538:JPU66097 JZQ65538:JZQ66097 KJM65538:KJM66097 KTI65538:KTI66097 LDE65538:LDE66097 LNA65538:LNA66097 LWW65538:LWW66097 MGS65538:MGS66097 MQO65538:MQO66097 NAK65538:NAK66097 NKG65538:NKG66097 NUC65538:NUC66097 ODY65538:ODY66097 ONU65538:ONU66097 OXQ65538:OXQ66097 PHM65538:PHM66097 PRI65538:PRI66097 QBE65538:QBE66097 QLA65538:QLA66097 QUW65538:QUW66097 RES65538:RES66097 ROO65538:ROO66097 RYK65538:RYK66097 SIG65538:SIG66097 SSC65538:SSC66097 TBY65538:TBY66097 TLU65538:TLU66097 TVQ65538:TVQ66097 UFM65538:UFM66097 UPI65538:UPI66097 UZE65538:UZE66097 VJA65538:VJA66097 VSW65538:VSW66097 WCS65538:WCS66097 WMO65538:WMO66097 WWK65538:WWK66097 AC131074:AC131633 JY131074:JY131633 TU131074:TU131633 ADQ131074:ADQ131633 ANM131074:ANM131633 AXI131074:AXI131633 BHE131074:BHE131633 BRA131074:BRA131633 CAW131074:CAW131633 CKS131074:CKS131633 CUO131074:CUO131633 DEK131074:DEK131633 DOG131074:DOG131633 DYC131074:DYC131633 EHY131074:EHY131633 ERU131074:ERU131633 FBQ131074:FBQ131633 FLM131074:FLM131633 FVI131074:FVI131633 GFE131074:GFE131633 GPA131074:GPA131633 GYW131074:GYW131633 HIS131074:HIS131633 HSO131074:HSO131633 ICK131074:ICK131633 IMG131074:IMG131633 IWC131074:IWC131633 JFY131074:JFY131633 JPU131074:JPU131633 JZQ131074:JZQ131633 KJM131074:KJM131633 KTI131074:KTI131633 LDE131074:LDE131633 LNA131074:LNA131633 LWW131074:LWW131633 MGS131074:MGS131633 MQO131074:MQO131633 NAK131074:NAK131633 NKG131074:NKG131633 NUC131074:NUC131633 ODY131074:ODY131633 ONU131074:ONU131633 OXQ131074:OXQ131633 PHM131074:PHM131633 PRI131074:PRI131633 QBE131074:QBE131633 QLA131074:QLA131633 QUW131074:QUW131633 RES131074:RES131633 ROO131074:ROO131633 RYK131074:RYK131633 SIG131074:SIG131633 SSC131074:SSC131633 TBY131074:TBY131633 TLU131074:TLU131633 TVQ131074:TVQ131633 UFM131074:UFM131633 UPI131074:UPI131633 UZE131074:UZE131633 VJA131074:VJA131633 VSW131074:VSW131633 WCS131074:WCS131633 WMO131074:WMO131633 WWK131074:WWK131633 AC196610:AC197169 JY196610:JY197169 TU196610:TU197169 ADQ196610:ADQ197169 ANM196610:ANM197169 AXI196610:AXI197169 BHE196610:BHE197169 BRA196610:BRA197169 CAW196610:CAW197169 CKS196610:CKS197169 CUO196610:CUO197169 DEK196610:DEK197169 DOG196610:DOG197169 DYC196610:DYC197169 EHY196610:EHY197169 ERU196610:ERU197169 FBQ196610:FBQ197169 FLM196610:FLM197169 FVI196610:FVI197169 GFE196610:GFE197169 GPA196610:GPA197169 GYW196610:GYW197169 HIS196610:HIS197169 HSO196610:HSO197169 ICK196610:ICK197169 IMG196610:IMG197169 IWC196610:IWC197169 JFY196610:JFY197169 JPU196610:JPU197169 JZQ196610:JZQ197169 KJM196610:KJM197169 KTI196610:KTI197169 LDE196610:LDE197169 LNA196610:LNA197169 LWW196610:LWW197169 MGS196610:MGS197169 MQO196610:MQO197169 NAK196610:NAK197169 NKG196610:NKG197169 NUC196610:NUC197169 ODY196610:ODY197169 ONU196610:ONU197169 OXQ196610:OXQ197169 PHM196610:PHM197169 PRI196610:PRI197169 QBE196610:QBE197169 QLA196610:QLA197169 QUW196610:QUW197169 RES196610:RES197169 ROO196610:ROO197169 RYK196610:RYK197169 SIG196610:SIG197169 SSC196610:SSC197169 TBY196610:TBY197169 TLU196610:TLU197169 TVQ196610:TVQ197169 UFM196610:UFM197169 UPI196610:UPI197169 UZE196610:UZE197169 VJA196610:VJA197169 VSW196610:VSW197169 WCS196610:WCS197169 WMO196610:WMO197169 WWK196610:WWK197169 AC262146:AC262705 JY262146:JY262705 TU262146:TU262705 ADQ262146:ADQ262705 ANM262146:ANM262705 AXI262146:AXI262705 BHE262146:BHE262705 BRA262146:BRA262705 CAW262146:CAW262705 CKS262146:CKS262705 CUO262146:CUO262705 DEK262146:DEK262705 DOG262146:DOG262705 DYC262146:DYC262705 EHY262146:EHY262705 ERU262146:ERU262705 FBQ262146:FBQ262705 FLM262146:FLM262705 FVI262146:FVI262705 GFE262146:GFE262705 GPA262146:GPA262705 GYW262146:GYW262705 HIS262146:HIS262705 HSO262146:HSO262705 ICK262146:ICK262705 IMG262146:IMG262705 IWC262146:IWC262705 JFY262146:JFY262705 JPU262146:JPU262705 JZQ262146:JZQ262705 KJM262146:KJM262705 KTI262146:KTI262705 LDE262146:LDE262705 LNA262146:LNA262705 LWW262146:LWW262705 MGS262146:MGS262705 MQO262146:MQO262705 NAK262146:NAK262705 NKG262146:NKG262705 NUC262146:NUC262705 ODY262146:ODY262705 ONU262146:ONU262705 OXQ262146:OXQ262705 PHM262146:PHM262705 PRI262146:PRI262705 QBE262146:QBE262705 QLA262146:QLA262705 QUW262146:QUW262705 RES262146:RES262705 ROO262146:ROO262705 RYK262146:RYK262705 SIG262146:SIG262705 SSC262146:SSC262705 TBY262146:TBY262705 TLU262146:TLU262705 TVQ262146:TVQ262705 UFM262146:UFM262705 UPI262146:UPI262705 UZE262146:UZE262705 VJA262146:VJA262705 VSW262146:VSW262705 WCS262146:WCS262705 WMO262146:WMO262705 WWK262146:WWK262705 AC327682:AC328241 JY327682:JY328241 TU327682:TU328241 ADQ327682:ADQ328241 ANM327682:ANM328241 AXI327682:AXI328241 BHE327682:BHE328241 BRA327682:BRA328241 CAW327682:CAW328241 CKS327682:CKS328241 CUO327682:CUO328241 DEK327682:DEK328241 DOG327682:DOG328241 DYC327682:DYC328241 EHY327682:EHY328241 ERU327682:ERU328241 FBQ327682:FBQ328241 FLM327682:FLM328241 FVI327682:FVI328241 GFE327682:GFE328241 GPA327682:GPA328241 GYW327682:GYW328241 HIS327682:HIS328241 HSO327682:HSO328241 ICK327682:ICK328241 IMG327682:IMG328241 IWC327682:IWC328241 JFY327682:JFY328241 JPU327682:JPU328241 JZQ327682:JZQ328241 KJM327682:KJM328241 KTI327682:KTI328241 LDE327682:LDE328241 LNA327682:LNA328241 LWW327682:LWW328241 MGS327682:MGS328241 MQO327682:MQO328241 NAK327682:NAK328241 NKG327682:NKG328241 NUC327682:NUC328241 ODY327682:ODY328241 ONU327682:ONU328241 OXQ327682:OXQ328241 PHM327682:PHM328241 PRI327682:PRI328241 QBE327682:QBE328241 QLA327682:QLA328241 QUW327682:QUW328241 RES327682:RES328241 ROO327682:ROO328241 RYK327682:RYK328241 SIG327682:SIG328241 SSC327682:SSC328241 TBY327682:TBY328241 TLU327682:TLU328241 TVQ327682:TVQ328241 UFM327682:UFM328241 UPI327682:UPI328241 UZE327682:UZE328241 VJA327682:VJA328241 VSW327682:VSW328241 WCS327682:WCS328241 WMO327682:WMO328241 WWK327682:WWK328241 AC393218:AC393777 JY393218:JY393777 TU393218:TU393777 ADQ393218:ADQ393777 ANM393218:ANM393777 AXI393218:AXI393777 BHE393218:BHE393777 BRA393218:BRA393777 CAW393218:CAW393777 CKS393218:CKS393777 CUO393218:CUO393777 DEK393218:DEK393777 DOG393218:DOG393777 DYC393218:DYC393777 EHY393218:EHY393777 ERU393218:ERU393777 FBQ393218:FBQ393777 FLM393218:FLM393777 FVI393218:FVI393777 GFE393218:GFE393777 GPA393218:GPA393777 GYW393218:GYW393777 HIS393218:HIS393777 HSO393218:HSO393777 ICK393218:ICK393777 IMG393218:IMG393777 IWC393218:IWC393777 JFY393218:JFY393777 JPU393218:JPU393777 JZQ393218:JZQ393777 KJM393218:KJM393777 KTI393218:KTI393777 LDE393218:LDE393777 LNA393218:LNA393777 LWW393218:LWW393777 MGS393218:MGS393777 MQO393218:MQO393777 NAK393218:NAK393777 NKG393218:NKG393777 NUC393218:NUC393777 ODY393218:ODY393777 ONU393218:ONU393777 OXQ393218:OXQ393777 PHM393218:PHM393777 PRI393218:PRI393777 QBE393218:QBE393777 QLA393218:QLA393777 QUW393218:QUW393777 RES393218:RES393777 ROO393218:ROO393777 RYK393218:RYK393777 SIG393218:SIG393777 SSC393218:SSC393777 TBY393218:TBY393777 TLU393218:TLU393777 TVQ393218:TVQ393777 UFM393218:UFM393777 UPI393218:UPI393777 UZE393218:UZE393777 VJA393218:VJA393777 VSW393218:VSW393777 WCS393218:WCS393777 WMO393218:WMO393777 WWK393218:WWK393777 AC458754:AC459313 JY458754:JY459313 TU458754:TU459313 ADQ458754:ADQ459313 ANM458754:ANM459313 AXI458754:AXI459313 BHE458754:BHE459313 BRA458754:BRA459313 CAW458754:CAW459313 CKS458754:CKS459313 CUO458754:CUO459313 DEK458754:DEK459313 DOG458754:DOG459313 DYC458754:DYC459313 EHY458754:EHY459313 ERU458754:ERU459313 FBQ458754:FBQ459313 FLM458754:FLM459313 FVI458754:FVI459313 GFE458754:GFE459313 GPA458754:GPA459313 GYW458754:GYW459313 HIS458754:HIS459313 HSO458754:HSO459313 ICK458754:ICK459313 IMG458754:IMG459313 IWC458754:IWC459313 JFY458754:JFY459313 JPU458754:JPU459313 JZQ458754:JZQ459313 KJM458754:KJM459313 KTI458754:KTI459313 LDE458754:LDE459313 LNA458754:LNA459313 LWW458754:LWW459313 MGS458754:MGS459313 MQO458754:MQO459313 NAK458754:NAK459313 NKG458754:NKG459313 NUC458754:NUC459313 ODY458754:ODY459313 ONU458754:ONU459313 OXQ458754:OXQ459313 PHM458754:PHM459313 PRI458754:PRI459313 QBE458754:QBE459313 QLA458754:QLA459313 QUW458754:QUW459313 RES458754:RES459313 ROO458754:ROO459313 RYK458754:RYK459313 SIG458754:SIG459313 SSC458754:SSC459313 TBY458754:TBY459313 TLU458754:TLU459313 TVQ458754:TVQ459313 UFM458754:UFM459313 UPI458754:UPI459313 UZE458754:UZE459313 VJA458754:VJA459313 VSW458754:VSW459313 WCS458754:WCS459313 WMO458754:WMO459313 WWK458754:WWK459313 AC524290:AC524849 JY524290:JY524849 TU524290:TU524849 ADQ524290:ADQ524849 ANM524290:ANM524849 AXI524290:AXI524849 BHE524290:BHE524849 BRA524290:BRA524849 CAW524290:CAW524849 CKS524290:CKS524849 CUO524290:CUO524849 DEK524290:DEK524849 DOG524290:DOG524849 DYC524290:DYC524849 EHY524290:EHY524849 ERU524290:ERU524849 FBQ524290:FBQ524849 FLM524290:FLM524849 FVI524290:FVI524849 GFE524290:GFE524849 GPA524290:GPA524849 GYW524290:GYW524849 HIS524290:HIS524849 HSO524290:HSO524849 ICK524290:ICK524849 IMG524290:IMG524849 IWC524290:IWC524849 JFY524290:JFY524849 JPU524290:JPU524849 JZQ524290:JZQ524849 KJM524290:KJM524849 KTI524290:KTI524849 LDE524290:LDE524849 LNA524290:LNA524849 LWW524290:LWW524849 MGS524290:MGS524849 MQO524290:MQO524849 NAK524290:NAK524849 NKG524290:NKG524849 NUC524290:NUC524849 ODY524290:ODY524849 ONU524290:ONU524849 OXQ524290:OXQ524849 PHM524290:PHM524849 PRI524290:PRI524849 QBE524290:QBE524849 QLA524290:QLA524849 QUW524290:QUW524849 RES524290:RES524849 ROO524290:ROO524849 RYK524290:RYK524849 SIG524290:SIG524849 SSC524290:SSC524849 TBY524290:TBY524849 TLU524290:TLU524849 TVQ524290:TVQ524849 UFM524290:UFM524849 UPI524290:UPI524849 UZE524290:UZE524849 VJA524290:VJA524849 VSW524290:VSW524849 WCS524290:WCS524849 WMO524290:WMO524849 WWK524290:WWK524849 AC589826:AC590385 JY589826:JY590385 TU589826:TU590385 ADQ589826:ADQ590385 ANM589826:ANM590385 AXI589826:AXI590385 BHE589826:BHE590385 BRA589826:BRA590385 CAW589826:CAW590385 CKS589826:CKS590385 CUO589826:CUO590385 DEK589826:DEK590385 DOG589826:DOG590385 DYC589826:DYC590385 EHY589826:EHY590385 ERU589826:ERU590385 FBQ589826:FBQ590385 FLM589826:FLM590385 FVI589826:FVI590385 GFE589826:GFE590385 GPA589826:GPA590385 GYW589826:GYW590385 HIS589826:HIS590385 HSO589826:HSO590385 ICK589826:ICK590385 IMG589826:IMG590385 IWC589826:IWC590385 JFY589826:JFY590385 JPU589826:JPU590385 JZQ589826:JZQ590385 KJM589826:KJM590385 KTI589826:KTI590385 LDE589826:LDE590385 LNA589826:LNA590385 LWW589826:LWW590385 MGS589826:MGS590385 MQO589826:MQO590385 NAK589826:NAK590385 NKG589826:NKG590385 NUC589826:NUC590385 ODY589826:ODY590385 ONU589826:ONU590385 OXQ589826:OXQ590385 PHM589826:PHM590385 PRI589826:PRI590385 QBE589826:QBE590385 QLA589826:QLA590385 QUW589826:QUW590385 RES589826:RES590385 ROO589826:ROO590385 RYK589826:RYK590385 SIG589826:SIG590385 SSC589826:SSC590385 TBY589826:TBY590385 TLU589826:TLU590385 TVQ589826:TVQ590385 UFM589826:UFM590385 UPI589826:UPI590385 UZE589826:UZE590385 VJA589826:VJA590385 VSW589826:VSW590385 WCS589826:WCS590385 WMO589826:WMO590385 WWK589826:WWK590385 AC655362:AC655921 JY655362:JY655921 TU655362:TU655921 ADQ655362:ADQ655921 ANM655362:ANM655921 AXI655362:AXI655921 BHE655362:BHE655921 BRA655362:BRA655921 CAW655362:CAW655921 CKS655362:CKS655921 CUO655362:CUO655921 DEK655362:DEK655921 DOG655362:DOG655921 DYC655362:DYC655921 EHY655362:EHY655921 ERU655362:ERU655921 FBQ655362:FBQ655921 FLM655362:FLM655921 FVI655362:FVI655921 GFE655362:GFE655921 GPA655362:GPA655921 GYW655362:GYW655921 HIS655362:HIS655921 HSO655362:HSO655921 ICK655362:ICK655921 IMG655362:IMG655921 IWC655362:IWC655921 JFY655362:JFY655921 JPU655362:JPU655921 JZQ655362:JZQ655921 KJM655362:KJM655921 KTI655362:KTI655921 LDE655362:LDE655921 LNA655362:LNA655921 LWW655362:LWW655921 MGS655362:MGS655921 MQO655362:MQO655921 NAK655362:NAK655921 NKG655362:NKG655921 NUC655362:NUC655921 ODY655362:ODY655921 ONU655362:ONU655921 OXQ655362:OXQ655921 PHM655362:PHM655921 PRI655362:PRI655921 QBE655362:QBE655921 QLA655362:QLA655921 QUW655362:QUW655921 RES655362:RES655921 ROO655362:ROO655921 RYK655362:RYK655921 SIG655362:SIG655921 SSC655362:SSC655921 TBY655362:TBY655921 TLU655362:TLU655921 TVQ655362:TVQ655921 UFM655362:UFM655921 UPI655362:UPI655921 UZE655362:UZE655921 VJA655362:VJA655921 VSW655362:VSW655921 WCS655362:WCS655921 WMO655362:WMO655921 WWK655362:WWK655921 AC720898:AC721457 JY720898:JY721457 TU720898:TU721457 ADQ720898:ADQ721457 ANM720898:ANM721457 AXI720898:AXI721457 BHE720898:BHE721457 BRA720898:BRA721457 CAW720898:CAW721457 CKS720898:CKS721457 CUO720898:CUO721457 DEK720898:DEK721457 DOG720898:DOG721457 DYC720898:DYC721457 EHY720898:EHY721457 ERU720898:ERU721457 FBQ720898:FBQ721457 FLM720898:FLM721457 FVI720898:FVI721457 GFE720898:GFE721457 GPA720898:GPA721457 GYW720898:GYW721457 HIS720898:HIS721457 HSO720898:HSO721457 ICK720898:ICK721457 IMG720898:IMG721457 IWC720898:IWC721457 JFY720898:JFY721457 JPU720898:JPU721457 JZQ720898:JZQ721457 KJM720898:KJM721457 KTI720898:KTI721457 LDE720898:LDE721457 LNA720898:LNA721457 LWW720898:LWW721457 MGS720898:MGS721457 MQO720898:MQO721457 NAK720898:NAK721457 NKG720898:NKG721457 NUC720898:NUC721457 ODY720898:ODY721457 ONU720898:ONU721457 OXQ720898:OXQ721457 PHM720898:PHM721457 PRI720898:PRI721457 QBE720898:QBE721457 QLA720898:QLA721457 QUW720898:QUW721457 RES720898:RES721457 ROO720898:ROO721457 RYK720898:RYK721457 SIG720898:SIG721457 SSC720898:SSC721457 TBY720898:TBY721457 TLU720898:TLU721457 TVQ720898:TVQ721457 UFM720898:UFM721457 UPI720898:UPI721457 UZE720898:UZE721457 VJA720898:VJA721457 VSW720898:VSW721457 WCS720898:WCS721457 WMO720898:WMO721457 WWK720898:WWK721457 AC786434:AC786993 JY786434:JY786993 TU786434:TU786993 ADQ786434:ADQ786993 ANM786434:ANM786993 AXI786434:AXI786993 BHE786434:BHE786993 BRA786434:BRA786993 CAW786434:CAW786993 CKS786434:CKS786993 CUO786434:CUO786993 DEK786434:DEK786993 DOG786434:DOG786993 DYC786434:DYC786993 EHY786434:EHY786993 ERU786434:ERU786993 FBQ786434:FBQ786993 FLM786434:FLM786993 FVI786434:FVI786993 GFE786434:GFE786993 GPA786434:GPA786993 GYW786434:GYW786993 HIS786434:HIS786993 HSO786434:HSO786993 ICK786434:ICK786993 IMG786434:IMG786993 IWC786434:IWC786993 JFY786434:JFY786993 JPU786434:JPU786993 JZQ786434:JZQ786993 KJM786434:KJM786993 KTI786434:KTI786993 LDE786434:LDE786993 LNA786434:LNA786993 LWW786434:LWW786993 MGS786434:MGS786993 MQO786434:MQO786993 NAK786434:NAK786993 NKG786434:NKG786993 NUC786434:NUC786993 ODY786434:ODY786993 ONU786434:ONU786993 OXQ786434:OXQ786993 PHM786434:PHM786993 PRI786434:PRI786993 QBE786434:QBE786993 QLA786434:QLA786993 QUW786434:QUW786993 RES786434:RES786993 ROO786434:ROO786993 RYK786434:RYK786993 SIG786434:SIG786993 SSC786434:SSC786993 TBY786434:TBY786993 TLU786434:TLU786993 TVQ786434:TVQ786993 UFM786434:UFM786993 UPI786434:UPI786993 UZE786434:UZE786993 VJA786434:VJA786993 VSW786434:VSW786993 WCS786434:WCS786993 WMO786434:WMO786993 WWK786434:WWK786993 AC851970:AC852529 JY851970:JY852529 TU851970:TU852529 ADQ851970:ADQ852529 ANM851970:ANM852529 AXI851970:AXI852529 BHE851970:BHE852529 BRA851970:BRA852529 CAW851970:CAW852529 CKS851970:CKS852529 CUO851970:CUO852529 DEK851970:DEK852529 DOG851970:DOG852529 DYC851970:DYC852529 EHY851970:EHY852529 ERU851970:ERU852529 FBQ851970:FBQ852529 FLM851970:FLM852529 FVI851970:FVI852529 GFE851970:GFE852529 GPA851970:GPA852529 GYW851970:GYW852529 HIS851970:HIS852529 HSO851970:HSO852529 ICK851970:ICK852529 IMG851970:IMG852529 IWC851970:IWC852529 JFY851970:JFY852529 JPU851970:JPU852529 JZQ851970:JZQ852529 KJM851970:KJM852529 KTI851970:KTI852529 LDE851970:LDE852529 LNA851970:LNA852529 LWW851970:LWW852529 MGS851970:MGS852529 MQO851970:MQO852529 NAK851970:NAK852529 NKG851970:NKG852529 NUC851970:NUC852529 ODY851970:ODY852529 ONU851970:ONU852529 OXQ851970:OXQ852529 PHM851970:PHM852529 PRI851970:PRI852529 QBE851970:QBE852529 QLA851970:QLA852529 QUW851970:QUW852529 RES851970:RES852529 ROO851970:ROO852529 RYK851970:RYK852529 SIG851970:SIG852529 SSC851970:SSC852529 TBY851970:TBY852529 TLU851970:TLU852529 TVQ851970:TVQ852529 UFM851970:UFM852529 UPI851970:UPI852529 UZE851970:UZE852529 VJA851970:VJA852529 VSW851970:VSW852529 WCS851970:WCS852529 WMO851970:WMO852529 WWK851970:WWK852529 AC917506:AC918065 JY917506:JY918065 TU917506:TU918065 ADQ917506:ADQ918065 ANM917506:ANM918065 AXI917506:AXI918065 BHE917506:BHE918065 BRA917506:BRA918065 CAW917506:CAW918065 CKS917506:CKS918065 CUO917506:CUO918065 DEK917506:DEK918065 DOG917506:DOG918065 DYC917506:DYC918065 EHY917506:EHY918065 ERU917506:ERU918065 FBQ917506:FBQ918065 FLM917506:FLM918065 FVI917506:FVI918065 GFE917506:GFE918065 GPA917506:GPA918065 GYW917506:GYW918065 HIS917506:HIS918065 HSO917506:HSO918065 ICK917506:ICK918065 IMG917506:IMG918065 IWC917506:IWC918065 JFY917506:JFY918065 JPU917506:JPU918065 JZQ917506:JZQ918065 KJM917506:KJM918065 KTI917506:KTI918065 LDE917506:LDE918065 LNA917506:LNA918065 LWW917506:LWW918065 MGS917506:MGS918065 MQO917506:MQO918065 NAK917506:NAK918065 NKG917506:NKG918065 NUC917506:NUC918065 ODY917506:ODY918065 ONU917506:ONU918065 OXQ917506:OXQ918065 PHM917506:PHM918065 PRI917506:PRI918065 QBE917506:QBE918065 QLA917506:QLA918065 QUW917506:QUW918065 RES917506:RES918065 ROO917506:ROO918065 RYK917506:RYK918065 SIG917506:SIG918065 SSC917506:SSC918065 TBY917506:TBY918065 TLU917506:TLU918065 TVQ917506:TVQ918065 UFM917506:UFM918065 UPI917506:UPI918065 UZE917506:UZE918065 VJA917506:VJA918065 VSW917506:VSW918065 WCS917506:WCS918065 WMO917506:WMO918065 WWK917506:WWK918065 AC983042:AC983601 JY983042:JY983601 TU983042:TU983601 ADQ983042:ADQ983601 ANM983042:ANM983601 AXI983042:AXI983601 BHE983042:BHE983601 BRA983042:BRA983601 CAW983042:CAW983601 CKS983042:CKS983601 CUO983042:CUO983601 DEK983042:DEK983601 DOG983042:DOG983601 DYC983042:DYC983601 EHY983042:EHY983601 ERU983042:ERU983601 FBQ983042:FBQ983601 FLM983042:FLM983601 FVI983042:FVI983601 GFE983042:GFE983601 GPA983042:GPA983601 GYW983042:GYW983601 HIS983042:HIS983601 HSO983042:HSO983601 ICK983042:ICK983601 IMG983042:IMG983601 IWC983042:IWC983601 JFY983042:JFY983601 JPU983042:JPU983601 JZQ983042:JZQ983601 KJM983042:KJM983601 KTI983042:KTI983601 LDE983042:LDE983601 LNA983042:LNA983601 LWW983042:LWW983601 MGS983042:MGS983601 MQO983042:MQO983601 NAK983042:NAK983601 NKG983042:NKG983601 NUC983042:NUC983601 ODY983042:ODY983601 ONU983042:ONU983601 OXQ983042:OXQ983601 PHM983042:PHM983601 PRI983042:PRI983601 QBE983042:QBE983601 QLA983042:QLA983601 QUW983042:QUW983601 RES983042:RES983601 ROO983042:ROO983601 RYK983042:RYK983601 SIG983042:SIG983601 SSC983042:SSC983601 TBY983042:TBY983601 TLU983042:TLU983601 TVQ983042:TVQ983601 UFM983042:UFM983601 UPI983042:UPI983601 UZE983042:UZE983601 VJA983042:VJA983601 VSW983042:VSW983601 WCS983042:WCS983601 WMO983042:WMO983601 WWK983042:WWK983601</xm:sqref>
        </x14:dataValidation>
        <x14:dataValidation type="list" allowBlank="1" showInputMessage="1" showErrorMessage="1">
          <x14:formula1>
            <xm:f>[3]基础信息!#REF!</xm:f>
          </x14:formula1>
          <xm:sqref>AA1:AA561 JW1:JW561 TS1:TS561 ADO1:ADO561 ANK1:ANK561 AXG1:AXG561 BHC1:BHC561 BQY1:BQY561 CAU1:CAU561 CKQ1:CKQ561 CUM1:CUM561 DEI1:DEI561 DOE1:DOE561 DYA1:DYA561 EHW1:EHW561 ERS1:ERS561 FBO1:FBO561 FLK1:FLK561 FVG1:FVG561 GFC1:GFC561 GOY1:GOY561 GYU1:GYU561 HIQ1:HIQ561 HSM1:HSM561 ICI1:ICI561 IME1:IME561 IWA1:IWA561 JFW1:JFW561 JPS1:JPS561 JZO1:JZO561 KJK1:KJK561 KTG1:KTG561 LDC1:LDC561 LMY1:LMY561 LWU1:LWU561 MGQ1:MGQ561 MQM1:MQM561 NAI1:NAI561 NKE1:NKE561 NUA1:NUA561 ODW1:ODW561 ONS1:ONS561 OXO1:OXO561 PHK1:PHK561 PRG1:PRG561 QBC1:QBC561 QKY1:QKY561 QUU1:QUU561 REQ1:REQ561 ROM1:ROM561 RYI1:RYI561 SIE1:SIE561 SSA1:SSA561 TBW1:TBW561 TLS1:TLS561 TVO1:TVO561 UFK1:UFK561 UPG1:UPG561 UZC1:UZC561 VIY1:VIY561 VSU1:VSU561 WCQ1:WCQ561 WMM1:WMM561 WWI1:WWI561 AA65537:AA66097 JW65537:JW66097 TS65537:TS66097 ADO65537:ADO66097 ANK65537:ANK66097 AXG65537:AXG66097 BHC65537:BHC66097 BQY65537:BQY66097 CAU65537:CAU66097 CKQ65537:CKQ66097 CUM65537:CUM66097 DEI65537:DEI66097 DOE65537:DOE66097 DYA65537:DYA66097 EHW65537:EHW66097 ERS65537:ERS66097 FBO65537:FBO66097 FLK65537:FLK66097 FVG65537:FVG66097 GFC65537:GFC66097 GOY65537:GOY66097 GYU65537:GYU66097 HIQ65537:HIQ66097 HSM65537:HSM66097 ICI65537:ICI66097 IME65537:IME66097 IWA65537:IWA66097 JFW65537:JFW66097 JPS65537:JPS66097 JZO65537:JZO66097 KJK65537:KJK66097 KTG65537:KTG66097 LDC65537:LDC66097 LMY65537:LMY66097 LWU65537:LWU66097 MGQ65537:MGQ66097 MQM65537:MQM66097 NAI65537:NAI66097 NKE65537:NKE66097 NUA65537:NUA66097 ODW65537:ODW66097 ONS65537:ONS66097 OXO65537:OXO66097 PHK65537:PHK66097 PRG65537:PRG66097 QBC65537:QBC66097 QKY65537:QKY66097 QUU65537:QUU66097 REQ65537:REQ66097 ROM65537:ROM66097 RYI65537:RYI66097 SIE65537:SIE66097 SSA65537:SSA66097 TBW65537:TBW66097 TLS65537:TLS66097 TVO65537:TVO66097 UFK65537:UFK66097 UPG65537:UPG66097 UZC65537:UZC66097 VIY65537:VIY66097 VSU65537:VSU66097 WCQ65537:WCQ66097 WMM65537:WMM66097 WWI65537:WWI66097 AA131073:AA131633 JW131073:JW131633 TS131073:TS131633 ADO131073:ADO131633 ANK131073:ANK131633 AXG131073:AXG131633 BHC131073:BHC131633 BQY131073:BQY131633 CAU131073:CAU131633 CKQ131073:CKQ131633 CUM131073:CUM131633 DEI131073:DEI131633 DOE131073:DOE131633 DYA131073:DYA131633 EHW131073:EHW131633 ERS131073:ERS131633 FBO131073:FBO131633 FLK131073:FLK131633 FVG131073:FVG131633 GFC131073:GFC131633 GOY131073:GOY131633 GYU131073:GYU131633 HIQ131073:HIQ131633 HSM131073:HSM131633 ICI131073:ICI131633 IME131073:IME131633 IWA131073:IWA131633 JFW131073:JFW131633 JPS131073:JPS131633 JZO131073:JZO131633 KJK131073:KJK131633 KTG131073:KTG131633 LDC131073:LDC131633 LMY131073:LMY131633 LWU131073:LWU131633 MGQ131073:MGQ131633 MQM131073:MQM131633 NAI131073:NAI131633 NKE131073:NKE131633 NUA131073:NUA131633 ODW131073:ODW131633 ONS131073:ONS131633 OXO131073:OXO131633 PHK131073:PHK131633 PRG131073:PRG131633 QBC131073:QBC131633 QKY131073:QKY131633 QUU131073:QUU131633 REQ131073:REQ131633 ROM131073:ROM131633 RYI131073:RYI131633 SIE131073:SIE131633 SSA131073:SSA131633 TBW131073:TBW131633 TLS131073:TLS131633 TVO131073:TVO131633 UFK131073:UFK131633 UPG131073:UPG131633 UZC131073:UZC131633 VIY131073:VIY131633 VSU131073:VSU131633 WCQ131073:WCQ131633 WMM131073:WMM131633 WWI131073:WWI131633 AA196609:AA197169 JW196609:JW197169 TS196609:TS197169 ADO196609:ADO197169 ANK196609:ANK197169 AXG196609:AXG197169 BHC196609:BHC197169 BQY196609:BQY197169 CAU196609:CAU197169 CKQ196609:CKQ197169 CUM196609:CUM197169 DEI196609:DEI197169 DOE196609:DOE197169 DYA196609:DYA197169 EHW196609:EHW197169 ERS196609:ERS197169 FBO196609:FBO197169 FLK196609:FLK197169 FVG196609:FVG197169 GFC196609:GFC197169 GOY196609:GOY197169 GYU196609:GYU197169 HIQ196609:HIQ197169 HSM196609:HSM197169 ICI196609:ICI197169 IME196609:IME197169 IWA196609:IWA197169 JFW196609:JFW197169 JPS196609:JPS197169 JZO196609:JZO197169 KJK196609:KJK197169 KTG196609:KTG197169 LDC196609:LDC197169 LMY196609:LMY197169 LWU196609:LWU197169 MGQ196609:MGQ197169 MQM196609:MQM197169 NAI196609:NAI197169 NKE196609:NKE197169 NUA196609:NUA197169 ODW196609:ODW197169 ONS196609:ONS197169 OXO196609:OXO197169 PHK196609:PHK197169 PRG196609:PRG197169 QBC196609:QBC197169 QKY196609:QKY197169 QUU196609:QUU197169 REQ196609:REQ197169 ROM196609:ROM197169 RYI196609:RYI197169 SIE196609:SIE197169 SSA196609:SSA197169 TBW196609:TBW197169 TLS196609:TLS197169 TVO196609:TVO197169 UFK196609:UFK197169 UPG196609:UPG197169 UZC196609:UZC197169 VIY196609:VIY197169 VSU196609:VSU197169 WCQ196609:WCQ197169 WMM196609:WMM197169 WWI196609:WWI197169 AA262145:AA262705 JW262145:JW262705 TS262145:TS262705 ADO262145:ADO262705 ANK262145:ANK262705 AXG262145:AXG262705 BHC262145:BHC262705 BQY262145:BQY262705 CAU262145:CAU262705 CKQ262145:CKQ262705 CUM262145:CUM262705 DEI262145:DEI262705 DOE262145:DOE262705 DYA262145:DYA262705 EHW262145:EHW262705 ERS262145:ERS262705 FBO262145:FBO262705 FLK262145:FLK262705 FVG262145:FVG262705 GFC262145:GFC262705 GOY262145:GOY262705 GYU262145:GYU262705 HIQ262145:HIQ262705 HSM262145:HSM262705 ICI262145:ICI262705 IME262145:IME262705 IWA262145:IWA262705 JFW262145:JFW262705 JPS262145:JPS262705 JZO262145:JZO262705 KJK262145:KJK262705 KTG262145:KTG262705 LDC262145:LDC262705 LMY262145:LMY262705 LWU262145:LWU262705 MGQ262145:MGQ262705 MQM262145:MQM262705 NAI262145:NAI262705 NKE262145:NKE262705 NUA262145:NUA262705 ODW262145:ODW262705 ONS262145:ONS262705 OXO262145:OXO262705 PHK262145:PHK262705 PRG262145:PRG262705 QBC262145:QBC262705 QKY262145:QKY262705 QUU262145:QUU262705 REQ262145:REQ262705 ROM262145:ROM262705 RYI262145:RYI262705 SIE262145:SIE262705 SSA262145:SSA262705 TBW262145:TBW262705 TLS262145:TLS262705 TVO262145:TVO262705 UFK262145:UFK262705 UPG262145:UPG262705 UZC262145:UZC262705 VIY262145:VIY262705 VSU262145:VSU262705 WCQ262145:WCQ262705 WMM262145:WMM262705 WWI262145:WWI262705 AA327681:AA328241 JW327681:JW328241 TS327681:TS328241 ADO327681:ADO328241 ANK327681:ANK328241 AXG327681:AXG328241 BHC327681:BHC328241 BQY327681:BQY328241 CAU327681:CAU328241 CKQ327681:CKQ328241 CUM327681:CUM328241 DEI327681:DEI328241 DOE327681:DOE328241 DYA327681:DYA328241 EHW327681:EHW328241 ERS327681:ERS328241 FBO327681:FBO328241 FLK327681:FLK328241 FVG327681:FVG328241 GFC327681:GFC328241 GOY327681:GOY328241 GYU327681:GYU328241 HIQ327681:HIQ328241 HSM327681:HSM328241 ICI327681:ICI328241 IME327681:IME328241 IWA327681:IWA328241 JFW327681:JFW328241 JPS327681:JPS328241 JZO327681:JZO328241 KJK327681:KJK328241 KTG327681:KTG328241 LDC327681:LDC328241 LMY327681:LMY328241 LWU327681:LWU328241 MGQ327681:MGQ328241 MQM327681:MQM328241 NAI327681:NAI328241 NKE327681:NKE328241 NUA327681:NUA328241 ODW327681:ODW328241 ONS327681:ONS328241 OXO327681:OXO328241 PHK327681:PHK328241 PRG327681:PRG328241 QBC327681:QBC328241 QKY327681:QKY328241 QUU327681:QUU328241 REQ327681:REQ328241 ROM327681:ROM328241 RYI327681:RYI328241 SIE327681:SIE328241 SSA327681:SSA328241 TBW327681:TBW328241 TLS327681:TLS328241 TVO327681:TVO328241 UFK327681:UFK328241 UPG327681:UPG328241 UZC327681:UZC328241 VIY327681:VIY328241 VSU327681:VSU328241 WCQ327681:WCQ328241 WMM327681:WMM328241 WWI327681:WWI328241 AA393217:AA393777 JW393217:JW393777 TS393217:TS393777 ADO393217:ADO393777 ANK393217:ANK393777 AXG393217:AXG393777 BHC393217:BHC393777 BQY393217:BQY393777 CAU393217:CAU393777 CKQ393217:CKQ393777 CUM393217:CUM393777 DEI393217:DEI393777 DOE393217:DOE393777 DYA393217:DYA393777 EHW393217:EHW393777 ERS393217:ERS393777 FBO393217:FBO393777 FLK393217:FLK393777 FVG393217:FVG393777 GFC393217:GFC393777 GOY393217:GOY393777 GYU393217:GYU393777 HIQ393217:HIQ393777 HSM393217:HSM393777 ICI393217:ICI393777 IME393217:IME393777 IWA393217:IWA393777 JFW393217:JFW393777 JPS393217:JPS393777 JZO393217:JZO393777 KJK393217:KJK393777 KTG393217:KTG393777 LDC393217:LDC393777 LMY393217:LMY393777 LWU393217:LWU393777 MGQ393217:MGQ393777 MQM393217:MQM393777 NAI393217:NAI393777 NKE393217:NKE393777 NUA393217:NUA393777 ODW393217:ODW393777 ONS393217:ONS393777 OXO393217:OXO393777 PHK393217:PHK393777 PRG393217:PRG393777 QBC393217:QBC393777 QKY393217:QKY393777 QUU393217:QUU393777 REQ393217:REQ393777 ROM393217:ROM393777 RYI393217:RYI393777 SIE393217:SIE393777 SSA393217:SSA393777 TBW393217:TBW393777 TLS393217:TLS393777 TVO393217:TVO393777 UFK393217:UFK393777 UPG393217:UPG393777 UZC393217:UZC393777 VIY393217:VIY393777 VSU393217:VSU393777 WCQ393217:WCQ393777 WMM393217:WMM393777 WWI393217:WWI393777 AA458753:AA459313 JW458753:JW459313 TS458753:TS459313 ADO458753:ADO459313 ANK458753:ANK459313 AXG458753:AXG459313 BHC458753:BHC459313 BQY458753:BQY459313 CAU458753:CAU459313 CKQ458753:CKQ459313 CUM458753:CUM459313 DEI458753:DEI459313 DOE458753:DOE459313 DYA458753:DYA459313 EHW458753:EHW459313 ERS458753:ERS459313 FBO458753:FBO459313 FLK458753:FLK459313 FVG458753:FVG459313 GFC458753:GFC459313 GOY458753:GOY459313 GYU458753:GYU459313 HIQ458753:HIQ459313 HSM458753:HSM459313 ICI458753:ICI459313 IME458753:IME459313 IWA458753:IWA459313 JFW458753:JFW459313 JPS458753:JPS459313 JZO458753:JZO459313 KJK458753:KJK459313 KTG458753:KTG459313 LDC458753:LDC459313 LMY458753:LMY459313 LWU458753:LWU459313 MGQ458753:MGQ459313 MQM458753:MQM459313 NAI458753:NAI459313 NKE458753:NKE459313 NUA458753:NUA459313 ODW458753:ODW459313 ONS458753:ONS459313 OXO458753:OXO459313 PHK458753:PHK459313 PRG458753:PRG459313 QBC458753:QBC459313 QKY458753:QKY459313 QUU458753:QUU459313 REQ458753:REQ459313 ROM458753:ROM459313 RYI458753:RYI459313 SIE458753:SIE459313 SSA458753:SSA459313 TBW458753:TBW459313 TLS458753:TLS459313 TVO458753:TVO459313 UFK458753:UFK459313 UPG458753:UPG459313 UZC458753:UZC459313 VIY458753:VIY459313 VSU458753:VSU459313 WCQ458753:WCQ459313 WMM458753:WMM459313 WWI458753:WWI459313 AA524289:AA524849 JW524289:JW524849 TS524289:TS524849 ADO524289:ADO524849 ANK524289:ANK524849 AXG524289:AXG524849 BHC524289:BHC524849 BQY524289:BQY524849 CAU524289:CAU524849 CKQ524289:CKQ524849 CUM524289:CUM524849 DEI524289:DEI524849 DOE524289:DOE524849 DYA524289:DYA524849 EHW524289:EHW524849 ERS524289:ERS524849 FBO524289:FBO524849 FLK524289:FLK524849 FVG524289:FVG524849 GFC524289:GFC524849 GOY524289:GOY524849 GYU524289:GYU524849 HIQ524289:HIQ524849 HSM524289:HSM524849 ICI524289:ICI524849 IME524289:IME524849 IWA524289:IWA524849 JFW524289:JFW524849 JPS524289:JPS524849 JZO524289:JZO524849 KJK524289:KJK524849 KTG524289:KTG524849 LDC524289:LDC524849 LMY524289:LMY524849 LWU524289:LWU524849 MGQ524289:MGQ524849 MQM524289:MQM524849 NAI524289:NAI524849 NKE524289:NKE524849 NUA524289:NUA524849 ODW524289:ODW524849 ONS524289:ONS524849 OXO524289:OXO524849 PHK524289:PHK524849 PRG524289:PRG524849 QBC524289:QBC524849 QKY524289:QKY524849 QUU524289:QUU524849 REQ524289:REQ524849 ROM524289:ROM524849 RYI524289:RYI524849 SIE524289:SIE524849 SSA524289:SSA524849 TBW524289:TBW524849 TLS524289:TLS524849 TVO524289:TVO524849 UFK524289:UFK524849 UPG524289:UPG524849 UZC524289:UZC524849 VIY524289:VIY524849 VSU524289:VSU524849 WCQ524289:WCQ524849 WMM524289:WMM524849 WWI524289:WWI524849 AA589825:AA590385 JW589825:JW590385 TS589825:TS590385 ADO589825:ADO590385 ANK589825:ANK590385 AXG589825:AXG590385 BHC589825:BHC590385 BQY589825:BQY590385 CAU589825:CAU590385 CKQ589825:CKQ590385 CUM589825:CUM590385 DEI589825:DEI590385 DOE589825:DOE590385 DYA589825:DYA590385 EHW589825:EHW590385 ERS589825:ERS590385 FBO589825:FBO590385 FLK589825:FLK590385 FVG589825:FVG590385 GFC589825:GFC590385 GOY589825:GOY590385 GYU589825:GYU590385 HIQ589825:HIQ590385 HSM589825:HSM590385 ICI589825:ICI590385 IME589825:IME590385 IWA589825:IWA590385 JFW589825:JFW590385 JPS589825:JPS590385 JZO589825:JZO590385 KJK589825:KJK590385 KTG589825:KTG590385 LDC589825:LDC590385 LMY589825:LMY590385 LWU589825:LWU590385 MGQ589825:MGQ590385 MQM589825:MQM590385 NAI589825:NAI590385 NKE589825:NKE590385 NUA589825:NUA590385 ODW589825:ODW590385 ONS589825:ONS590385 OXO589825:OXO590385 PHK589825:PHK590385 PRG589825:PRG590385 QBC589825:QBC590385 QKY589825:QKY590385 QUU589825:QUU590385 REQ589825:REQ590385 ROM589825:ROM590385 RYI589825:RYI590385 SIE589825:SIE590385 SSA589825:SSA590385 TBW589825:TBW590385 TLS589825:TLS590385 TVO589825:TVO590385 UFK589825:UFK590385 UPG589825:UPG590385 UZC589825:UZC590385 VIY589825:VIY590385 VSU589825:VSU590385 WCQ589825:WCQ590385 WMM589825:WMM590385 WWI589825:WWI590385 AA655361:AA655921 JW655361:JW655921 TS655361:TS655921 ADO655361:ADO655921 ANK655361:ANK655921 AXG655361:AXG655921 BHC655361:BHC655921 BQY655361:BQY655921 CAU655361:CAU655921 CKQ655361:CKQ655921 CUM655361:CUM655921 DEI655361:DEI655921 DOE655361:DOE655921 DYA655361:DYA655921 EHW655361:EHW655921 ERS655361:ERS655921 FBO655361:FBO655921 FLK655361:FLK655921 FVG655361:FVG655921 GFC655361:GFC655921 GOY655361:GOY655921 GYU655361:GYU655921 HIQ655361:HIQ655921 HSM655361:HSM655921 ICI655361:ICI655921 IME655361:IME655921 IWA655361:IWA655921 JFW655361:JFW655921 JPS655361:JPS655921 JZO655361:JZO655921 KJK655361:KJK655921 KTG655361:KTG655921 LDC655361:LDC655921 LMY655361:LMY655921 LWU655361:LWU655921 MGQ655361:MGQ655921 MQM655361:MQM655921 NAI655361:NAI655921 NKE655361:NKE655921 NUA655361:NUA655921 ODW655361:ODW655921 ONS655361:ONS655921 OXO655361:OXO655921 PHK655361:PHK655921 PRG655361:PRG655921 QBC655361:QBC655921 QKY655361:QKY655921 QUU655361:QUU655921 REQ655361:REQ655921 ROM655361:ROM655921 RYI655361:RYI655921 SIE655361:SIE655921 SSA655361:SSA655921 TBW655361:TBW655921 TLS655361:TLS655921 TVO655361:TVO655921 UFK655361:UFK655921 UPG655361:UPG655921 UZC655361:UZC655921 VIY655361:VIY655921 VSU655361:VSU655921 WCQ655361:WCQ655921 WMM655361:WMM655921 WWI655361:WWI655921 AA720897:AA721457 JW720897:JW721457 TS720897:TS721457 ADO720897:ADO721457 ANK720897:ANK721457 AXG720897:AXG721457 BHC720897:BHC721457 BQY720897:BQY721457 CAU720897:CAU721457 CKQ720897:CKQ721457 CUM720897:CUM721457 DEI720897:DEI721457 DOE720897:DOE721457 DYA720897:DYA721457 EHW720897:EHW721457 ERS720897:ERS721457 FBO720897:FBO721457 FLK720897:FLK721457 FVG720897:FVG721457 GFC720897:GFC721457 GOY720897:GOY721457 GYU720897:GYU721457 HIQ720897:HIQ721457 HSM720897:HSM721457 ICI720897:ICI721457 IME720897:IME721457 IWA720897:IWA721457 JFW720897:JFW721457 JPS720897:JPS721457 JZO720897:JZO721457 KJK720897:KJK721457 KTG720897:KTG721457 LDC720897:LDC721457 LMY720897:LMY721457 LWU720897:LWU721457 MGQ720897:MGQ721457 MQM720897:MQM721457 NAI720897:NAI721457 NKE720897:NKE721457 NUA720897:NUA721457 ODW720897:ODW721457 ONS720897:ONS721457 OXO720897:OXO721457 PHK720897:PHK721457 PRG720897:PRG721457 QBC720897:QBC721457 QKY720897:QKY721457 QUU720897:QUU721457 REQ720897:REQ721457 ROM720897:ROM721457 RYI720897:RYI721457 SIE720897:SIE721457 SSA720897:SSA721457 TBW720897:TBW721457 TLS720897:TLS721457 TVO720897:TVO721457 UFK720897:UFK721457 UPG720897:UPG721457 UZC720897:UZC721457 VIY720897:VIY721457 VSU720897:VSU721457 WCQ720897:WCQ721457 WMM720897:WMM721457 WWI720897:WWI721457 AA786433:AA786993 JW786433:JW786993 TS786433:TS786993 ADO786433:ADO786993 ANK786433:ANK786993 AXG786433:AXG786993 BHC786433:BHC786993 BQY786433:BQY786993 CAU786433:CAU786993 CKQ786433:CKQ786993 CUM786433:CUM786993 DEI786433:DEI786993 DOE786433:DOE786993 DYA786433:DYA786993 EHW786433:EHW786993 ERS786433:ERS786993 FBO786433:FBO786993 FLK786433:FLK786993 FVG786433:FVG786993 GFC786433:GFC786993 GOY786433:GOY786993 GYU786433:GYU786993 HIQ786433:HIQ786993 HSM786433:HSM786993 ICI786433:ICI786993 IME786433:IME786993 IWA786433:IWA786993 JFW786433:JFW786993 JPS786433:JPS786993 JZO786433:JZO786993 KJK786433:KJK786993 KTG786433:KTG786993 LDC786433:LDC786993 LMY786433:LMY786993 LWU786433:LWU786993 MGQ786433:MGQ786993 MQM786433:MQM786993 NAI786433:NAI786993 NKE786433:NKE786993 NUA786433:NUA786993 ODW786433:ODW786993 ONS786433:ONS786993 OXO786433:OXO786993 PHK786433:PHK786993 PRG786433:PRG786993 QBC786433:QBC786993 QKY786433:QKY786993 QUU786433:QUU786993 REQ786433:REQ786993 ROM786433:ROM786993 RYI786433:RYI786993 SIE786433:SIE786993 SSA786433:SSA786993 TBW786433:TBW786993 TLS786433:TLS786993 TVO786433:TVO786993 UFK786433:UFK786993 UPG786433:UPG786993 UZC786433:UZC786993 VIY786433:VIY786993 VSU786433:VSU786993 WCQ786433:WCQ786993 WMM786433:WMM786993 WWI786433:WWI786993 AA851969:AA852529 JW851969:JW852529 TS851969:TS852529 ADO851969:ADO852529 ANK851969:ANK852529 AXG851969:AXG852529 BHC851969:BHC852529 BQY851969:BQY852529 CAU851969:CAU852529 CKQ851969:CKQ852529 CUM851969:CUM852529 DEI851969:DEI852529 DOE851969:DOE852529 DYA851969:DYA852529 EHW851969:EHW852529 ERS851969:ERS852529 FBO851969:FBO852529 FLK851969:FLK852529 FVG851969:FVG852529 GFC851969:GFC852529 GOY851969:GOY852529 GYU851969:GYU852529 HIQ851969:HIQ852529 HSM851969:HSM852529 ICI851969:ICI852529 IME851969:IME852529 IWA851969:IWA852529 JFW851969:JFW852529 JPS851969:JPS852529 JZO851969:JZO852529 KJK851969:KJK852529 KTG851969:KTG852529 LDC851969:LDC852529 LMY851969:LMY852529 LWU851969:LWU852529 MGQ851969:MGQ852529 MQM851969:MQM852529 NAI851969:NAI852529 NKE851969:NKE852529 NUA851969:NUA852529 ODW851969:ODW852529 ONS851969:ONS852529 OXO851969:OXO852529 PHK851969:PHK852529 PRG851969:PRG852529 QBC851969:QBC852529 QKY851969:QKY852529 QUU851969:QUU852529 REQ851969:REQ852529 ROM851969:ROM852529 RYI851969:RYI852529 SIE851969:SIE852529 SSA851969:SSA852529 TBW851969:TBW852529 TLS851969:TLS852529 TVO851969:TVO852529 UFK851969:UFK852529 UPG851969:UPG852529 UZC851969:UZC852529 VIY851969:VIY852529 VSU851969:VSU852529 WCQ851969:WCQ852529 WMM851969:WMM852529 WWI851969:WWI852529 AA917505:AA918065 JW917505:JW918065 TS917505:TS918065 ADO917505:ADO918065 ANK917505:ANK918065 AXG917505:AXG918065 BHC917505:BHC918065 BQY917505:BQY918065 CAU917505:CAU918065 CKQ917505:CKQ918065 CUM917505:CUM918065 DEI917505:DEI918065 DOE917505:DOE918065 DYA917505:DYA918065 EHW917505:EHW918065 ERS917505:ERS918065 FBO917505:FBO918065 FLK917505:FLK918065 FVG917505:FVG918065 GFC917505:GFC918065 GOY917505:GOY918065 GYU917505:GYU918065 HIQ917505:HIQ918065 HSM917505:HSM918065 ICI917505:ICI918065 IME917505:IME918065 IWA917505:IWA918065 JFW917505:JFW918065 JPS917505:JPS918065 JZO917505:JZO918065 KJK917505:KJK918065 KTG917505:KTG918065 LDC917505:LDC918065 LMY917505:LMY918065 LWU917505:LWU918065 MGQ917505:MGQ918065 MQM917505:MQM918065 NAI917505:NAI918065 NKE917505:NKE918065 NUA917505:NUA918065 ODW917505:ODW918065 ONS917505:ONS918065 OXO917505:OXO918065 PHK917505:PHK918065 PRG917505:PRG918065 QBC917505:QBC918065 QKY917505:QKY918065 QUU917505:QUU918065 REQ917505:REQ918065 ROM917505:ROM918065 RYI917505:RYI918065 SIE917505:SIE918065 SSA917505:SSA918065 TBW917505:TBW918065 TLS917505:TLS918065 TVO917505:TVO918065 UFK917505:UFK918065 UPG917505:UPG918065 UZC917505:UZC918065 VIY917505:VIY918065 VSU917505:VSU918065 WCQ917505:WCQ918065 WMM917505:WMM918065 WWI917505:WWI918065 AA983041:AA983601 JW983041:JW983601 TS983041:TS983601 ADO983041:ADO983601 ANK983041:ANK983601 AXG983041:AXG983601 BHC983041:BHC983601 BQY983041:BQY983601 CAU983041:CAU983601 CKQ983041:CKQ983601 CUM983041:CUM983601 DEI983041:DEI983601 DOE983041:DOE983601 DYA983041:DYA983601 EHW983041:EHW983601 ERS983041:ERS983601 FBO983041:FBO983601 FLK983041:FLK983601 FVG983041:FVG983601 GFC983041:GFC983601 GOY983041:GOY983601 GYU983041:GYU983601 HIQ983041:HIQ983601 HSM983041:HSM983601 ICI983041:ICI983601 IME983041:IME983601 IWA983041:IWA983601 JFW983041:JFW983601 JPS983041:JPS983601 JZO983041:JZO983601 KJK983041:KJK983601 KTG983041:KTG983601 LDC983041:LDC983601 LMY983041:LMY983601 LWU983041:LWU983601 MGQ983041:MGQ983601 MQM983041:MQM983601 NAI983041:NAI983601 NKE983041:NKE983601 NUA983041:NUA983601 ODW983041:ODW983601 ONS983041:ONS983601 OXO983041:OXO983601 PHK983041:PHK983601 PRG983041:PRG983601 QBC983041:QBC983601 QKY983041:QKY983601 QUU983041:QUU983601 REQ983041:REQ983601 ROM983041:ROM983601 RYI983041:RYI983601 SIE983041:SIE983601 SSA983041:SSA983601 TBW983041:TBW983601 TLS983041:TLS983601 TVO983041:TVO983601 UFK983041:UFK983601 UPG983041:UPG983601 UZC983041:UZC983601 VIY983041:VIY983601 VSU983041:VSU983601 WCQ983041:WCQ983601 WMM983041:WMM983601 WWI983041:WWI983601</xm:sqref>
        </x14:dataValidation>
        <x14:dataValidation type="list" allowBlank="1" showInputMessage="1" showErrorMessage="1">
          <x14:formula1>
            <xm:f>[3]基础信息!#REF!</xm:f>
          </x14:formula1>
          <xm:sqref>AE2:AE561 KA2:KA561 TW2:TW561 ADS2:ADS561 ANO2:ANO561 AXK2:AXK561 BHG2:BHG561 BRC2:BRC561 CAY2:CAY561 CKU2:CKU561 CUQ2:CUQ561 DEM2:DEM561 DOI2:DOI561 DYE2:DYE561 EIA2:EIA561 ERW2:ERW561 FBS2:FBS561 FLO2:FLO561 FVK2:FVK561 GFG2:GFG561 GPC2:GPC561 GYY2:GYY561 HIU2:HIU561 HSQ2:HSQ561 ICM2:ICM561 IMI2:IMI561 IWE2:IWE561 JGA2:JGA561 JPW2:JPW561 JZS2:JZS561 KJO2:KJO561 KTK2:KTK561 LDG2:LDG561 LNC2:LNC561 LWY2:LWY561 MGU2:MGU561 MQQ2:MQQ561 NAM2:NAM561 NKI2:NKI561 NUE2:NUE561 OEA2:OEA561 ONW2:ONW561 OXS2:OXS561 PHO2:PHO561 PRK2:PRK561 QBG2:QBG561 QLC2:QLC561 QUY2:QUY561 REU2:REU561 ROQ2:ROQ561 RYM2:RYM561 SII2:SII561 SSE2:SSE561 TCA2:TCA561 TLW2:TLW561 TVS2:TVS561 UFO2:UFO561 UPK2:UPK561 UZG2:UZG561 VJC2:VJC561 VSY2:VSY561 WCU2:WCU561 WMQ2:WMQ561 WWM2:WWM561 AE65538:AE66097 KA65538:KA66097 TW65538:TW66097 ADS65538:ADS66097 ANO65538:ANO66097 AXK65538:AXK66097 BHG65538:BHG66097 BRC65538:BRC66097 CAY65538:CAY66097 CKU65538:CKU66097 CUQ65538:CUQ66097 DEM65538:DEM66097 DOI65538:DOI66097 DYE65538:DYE66097 EIA65538:EIA66097 ERW65538:ERW66097 FBS65538:FBS66097 FLO65538:FLO66097 FVK65538:FVK66097 GFG65538:GFG66097 GPC65538:GPC66097 GYY65538:GYY66097 HIU65538:HIU66097 HSQ65538:HSQ66097 ICM65538:ICM66097 IMI65538:IMI66097 IWE65538:IWE66097 JGA65538:JGA66097 JPW65538:JPW66097 JZS65538:JZS66097 KJO65538:KJO66097 KTK65538:KTK66097 LDG65538:LDG66097 LNC65538:LNC66097 LWY65538:LWY66097 MGU65538:MGU66097 MQQ65538:MQQ66097 NAM65538:NAM66097 NKI65538:NKI66097 NUE65538:NUE66097 OEA65538:OEA66097 ONW65538:ONW66097 OXS65538:OXS66097 PHO65538:PHO66097 PRK65538:PRK66097 QBG65538:QBG66097 QLC65538:QLC66097 QUY65538:QUY66097 REU65538:REU66097 ROQ65538:ROQ66097 RYM65538:RYM66097 SII65538:SII66097 SSE65538:SSE66097 TCA65538:TCA66097 TLW65538:TLW66097 TVS65538:TVS66097 UFO65538:UFO66097 UPK65538:UPK66097 UZG65538:UZG66097 VJC65538:VJC66097 VSY65538:VSY66097 WCU65538:WCU66097 WMQ65538:WMQ66097 WWM65538:WWM66097 AE131074:AE131633 KA131074:KA131633 TW131074:TW131633 ADS131074:ADS131633 ANO131074:ANO131633 AXK131074:AXK131633 BHG131074:BHG131633 BRC131074:BRC131633 CAY131074:CAY131633 CKU131074:CKU131633 CUQ131074:CUQ131633 DEM131074:DEM131633 DOI131074:DOI131633 DYE131074:DYE131633 EIA131074:EIA131633 ERW131074:ERW131633 FBS131074:FBS131633 FLO131074:FLO131633 FVK131074:FVK131633 GFG131074:GFG131633 GPC131074:GPC131633 GYY131074:GYY131633 HIU131074:HIU131633 HSQ131074:HSQ131633 ICM131074:ICM131633 IMI131074:IMI131633 IWE131074:IWE131633 JGA131074:JGA131633 JPW131074:JPW131633 JZS131074:JZS131633 KJO131074:KJO131633 KTK131074:KTK131633 LDG131074:LDG131633 LNC131074:LNC131633 LWY131074:LWY131633 MGU131074:MGU131633 MQQ131074:MQQ131633 NAM131074:NAM131633 NKI131074:NKI131633 NUE131074:NUE131633 OEA131074:OEA131633 ONW131074:ONW131633 OXS131074:OXS131633 PHO131074:PHO131633 PRK131074:PRK131633 QBG131074:QBG131633 QLC131074:QLC131633 QUY131074:QUY131633 REU131074:REU131633 ROQ131074:ROQ131633 RYM131074:RYM131633 SII131074:SII131633 SSE131074:SSE131633 TCA131074:TCA131633 TLW131074:TLW131633 TVS131074:TVS131633 UFO131074:UFO131633 UPK131074:UPK131633 UZG131074:UZG131633 VJC131074:VJC131633 VSY131074:VSY131633 WCU131074:WCU131633 WMQ131074:WMQ131633 WWM131074:WWM131633 AE196610:AE197169 KA196610:KA197169 TW196610:TW197169 ADS196610:ADS197169 ANO196610:ANO197169 AXK196610:AXK197169 BHG196610:BHG197169 BRC196610:BRC197169 CAY196610:CAY197169 CKU196610:CKU197169 CUQ196610:CUQ197169 DEM196610:DEM197169 DOI196610:DOI197169 DYE196610:DYE197169 EIA196610:EIA197169 ERW196610:ERW197169 FBS196610:FBS197169 FLO196610:FLO197169 FVK196610:FVK197169 GFG196610:GFG197169 GPC196610:GPC197169 GYY196610:GYY197169 HIU196610:HIU197169 HSQ196610:HSQ197169 ICM196610:ICM197169 IMI196610:IMI197169 IWE196610:IWE197169 JGA196610:JGA197169 JPW196610:JPW197169 JZS196610:JZS197169 KJO196610:KJO197169 KTK196610:KTK197169 LDG196610:LDG197169 LNC196610:LNC197169 LWY196610:LWY197169 MGU196610:MGU197169 MQQ196610:MQQ197169 NAM196610:NAM197169 NKI196610:NKI197169 NUE196610:NUE197169 OEA196610:OEA197169 ONW196610:ONW197169 OXS196610:OXS197169 PHO196610:PHO197169 PRK196610:PRK197169 QBG196610:QBG197169 QLC196610:QLC197169 QUY196610:QUY197169 REU196610:REU197169 ROQ196610:ROQ197169 RYM196610:RYM197169 SII196610:SII197169 SSE196610:SSE197169 TCA196610:TCA197169 TLW196610:TLW197169 TVS196610:TVS197169 UFO196610:UFO197169 UPK196610:UPK197169 UZG196610:UZG197169 VJC196610:VJC197169 VSY196610:VSY197169 WCU196610:WCU197169 WMQ196610:WMQ197169 WWM196610:WWM197169 AE262146:AE262705 KA262146:KA262705 TW262146:TW262705 ADS262146:ADS262705 ANO262146:ANO262705 AXK262146:AXK262705 BHG262146:BHG262705 BRC262146:BRC262705 CAY262146:CAY262705 CKU262146:CKU262705 CUQ262146:CUQ262705 DEM262146:DEM262705 DOI262146:DOI262705 DYE262146:DYE262705 EIA262146:EIA262705 ERW262146:ERW262705 FBS262146:FBS262705 FLO262146:FLO262705 FVK262146:FVK262705 GFG262146:GFG262705 GPC262146:GPC262705 GYY262146:GYY262705 HIU262146:HIU262705 HSQ262146:HSQ262705 ICM262146:ICM262705 IMI262146:IMI262705 IWE262146:IWE262705 JGA262146:JGA262705 JPW262146:JPW262705 JZS262146:JZS262705 KJO262146:KJO262705 KTK262146:KTK262705 LDG262146:LDG262705 LNC262146:LNC262705 LWY262146:LWY262705 MGU262146:MGU262705 MQQ262146:MQQ262705 NAM262146:NAM262705 NKI262146:NKI262705 NUE262146:NUE262705 OEA262146:OEA262705 ONW262146:ONW262705 OXS262146:OXS262705 PHO262146:PHO262705 PRK262146:PRK262705 QBG262146:QBG262705 QLC262146:QLC262705 QUY262146:QUY262705 REU262146:REU262705 ROQ262146:ROQ262705 RYM262146:RYM262705 SII262146:SII262705 SSE262146:SSE262705 TCA262146:TCA262705 TLW262146:TLW262705 TVS262146:TVS262705 UFO262146:UFO262705 UPK262146:UPK262705 UZG262146:UZG262705 VJC262146:VJC262705 VSY262146:VSY262705 WCU262146:WCU262705 WMQ262146:WMQ262705 WWM262146:WWM262705 AE327682:AE328241 KA327682:KA328241 TW327682:TW328241 ADS327682:ADS328241 ANO327682:ANO328241 AXK327682:AXK328241 BHG327682:BHG328241 BRC327682:BRC328241 CAY327682:CAY328241 CKU327682:CKU328241 CUQ327682:CUQ328241 DEM327682:DEM328241 DOI327682:DOI328241 DYE327682:DYE328241 EIA327682:EIA328241 ERW327682:ERW328241 FBS327682:FBS328241 FLO327682:FLO328241 FVK327682:FVK328241 GFG327682:GFG328241 GPC327682:GPC328241 GYY327682:GYY328241 HIU327682:HIU328241 HSQ327682:HSQ328241 ICM327682:ICM328241 IMI327682:IMI328241 IWE327682:IWE328241 JGA327682:JGA328241 JPW327682:JPW328241 JZS327682:JZS328241 KJO327682:KJO328241 KTK327682:KTK328241 LDG327682:LDG328241 LNC327682:LNC328241 LWY327682:LWY328241 MGU327682:MGU328241 MQQ327682:MQQ328241 NAM327682:NAM328241 NKI327682:NKI328241 NUE327682:NUE328241 OEA327682:OEA328241 ONW327682:ONW328241 OXS327682:OXS328241 PHO327682:PHO328241 PRK327682:PRK328241 QBG327682:QBG328241 QLC327682:QLC328241 QUY327682:QUY328241 REU327682:REU328241 ROQ327682:ROQ328241 RYM327682:RYM328241 SII327682:SII328241 SSE327682:SSE328241 TCA327682:TCA328241 TLW327682:TLW328241 TVS327682:TVS328241 UFO327682:UFO328241 UPK327682:UPK328241 UZG327682:UZG328241 VJC327682:VJC328241 VSY327682:VSY328241 WCU327682:WCU328241 WMQ327682:WMQ328241 WWM327682:WWM328241 AE393218:AE393777 KA393218:KA393777 TW393218:TW393777 ADS393218:ADS393777 ANO393218:ANO393777 AXK393218:AXK393777 BHG393218:BHG393777 BRC393218:BRC393777 CAY393218:CAY393777 CKU393218:CKU393777 CUQ393218:CUQ393777 DEM393218:DEM393777 DOI393218:DOI393777 DYE393218:DYE393777 EIA393218:EIA393777 ERW393218:ERW393777 FBS393218:FBS393777 FLO393218:FLO393777 FVK393218:FVK393777 GFG393218:GFG393777 GPC393218:GPC393777 GYY393218:GYY393777 HIU393218:HIU393777 HSQ393218:HSQ393777 ICM393218:ICM393777 IMI393218:IMI393777 IWE393218:IWE393777 JGA393218:JGA393777 JPW393218:JPW393777 JZS393218:JZS393777 KJO393218:KJO393777 KTK393218:KTK393777 LDG393218:LDG393777 LNC393218:LNC393777 LWY393218:LWY393777 MGU393218:MGU393777 MQQ393218:MQQ393777 NAM393218:NAM393777 NKI393218:NKI393777 NUE393218:NUE393777 OEA393218:OEA393777 ONW393218:ONW393777 OXS393218:OXS393777 PHO393218:PHO393777 PRK393218:PRK393777 QBG393218:QBG393777 QLC393218:QLC393777 QUY393218:QUY393777 REU393218:REU393777 ROQ393218:ROQ393777 RYM393218:RYM393777 SII393218:SII393777 SSE393218:SSE393777 TCA393218:TCA393777 TLW393218:TLW393777 TVS393218:TVS393777 UFO393218:UFO393777 UPK393218:UPK393777 UZG393218:UZG393777 VJC393218:VJC393777 VSY393218:VSY393777 WCU393218:WCU393777 WMQ393218:WMQ393777 WWM393218:WWM393777 AE458754:AE459313 KA458754:KA459313 TW458754:TW459313 ADS458754:ADS459313 ANO458754:ANO459313 AXK458754:AXK459313 BHG458754:BHG459313 BRC458754:BRC459313 CAY458754:CAY459313 CKU458754:CKU459313 CUQ458754:CUQ459313 DEM458754:DEM459313 DOI458754:DOI459313 DYE458754:DYE459313 EIA458754:EIA459313 ERW458754:ERW459313 FBS458754:FBS459313 FLO458754:FLO459313 FVK458754:FVK459313 GFG458754:GFG459313 GPC458754:GPC459313 GYY458754:GYY459313 HIU458754:HIU459313 HSQ458754:HSQ459313 ICM458754:ICM459313 IMI458754:IMI459313 IWE458754:IWE459313 JGA458754:JGA459313 JPW458754:JPW459313 JZS458754:JZS459313 KJO458754:KJO459313 KTK458754:KTK459313 LDG458754:LDG459313 LNC458754:LNC459313 LWY458754:LWY459313 MGU458754:MGU459313 MQQ458754:MQQ459313 NAM458754:NAM459313 NKI458754:NKI459313 NUE458754:NUE459313 OEA458754:OEA459313 ONW458754:ONW459313 OXS458754:OXS459313 PHO458754:PHO459313 PRK458754:PRK459313 QBG458754:QBG459313 QLC458754:QLC459313 QUY458754:QUY459313 REU458754:REU459313 ROQ458754:ROQ459313 RYM458754:RYM459313 SII458754:SII459313 SSE458754:SSE459313 TCA458754:TCA459313 TLW458754:TLW459313 TVS458754:TVS459313 UFO458754:UFO459313 UPK458754:UPK459313 UZG458754:UZG459313 VJC458754:VJC459313 VSY458754:VSY459313 WCU458754:WCU459313 WMQ458754:WMQ459313 WWM458754:WWM459313 AE524290:AE524849 KA524290:KA524849 TW524290:TW524849 ADS524290:ADS524849 ANO524290:ANO524849 AXK524290:AXK524849 BHG524290:BHG524849 BRC524290:BRC524849 CAY524290:CAY524849 CKU524290:CKU524849 CUQ524290:CUQ524849 DEM524290:DEM524849 DOI524290:DOI524849 DYE524290:DYE524849 EIA524290:EIA524849 ERW524290:ERW524849 FBS524290:FBS524849 FLO524290:FLO524849 FVK524290:FVK524849 GFG524290:GFG524849 GPC524290:GPC524849 GYY524290:GYY524849 HIU524290:HIU524849 HSQ524290:HSQ524849 ICM524290:ICM524849 IMI524290:IMI524849 IWE524290:IWE524849 JGA524290:JGA524849 JPW524290:JPW524849 JZS524290:JZS524849 KJO524290:KJO524849 KTK524290:KTK524849 LDG524290:LDG524849 LNC524290:LNC524849 LWY524290:LWY524849 MGU524290:MGU524849 MQQ524290:MQQ524849 NAM524290:NAM524849 NKI524290:NKI524849 NUE524290:NUE524849 OEA524290:OEA524849 ONW524290:ONW524849 OXS524290:OXS524849 PHO524290:PHO524849 PRK524290:PRK524849 QBG524290:QBG524849 QLC524290:QLC524849 QUY524290:QUY524849 REU524290:REU524849 ROQ524290:ROQ524849 RYM524290:RYM524849 SII524290:SII524849 SSE524290:SSE524849 TCA524290:TCA524849 TLW524290:TLW524849 TVS524290:TVS524849 UFO524290:UFO524849 UPK524290:UPK524849 UZG524290:UZG524849 VJC524290:VJC524849 VSY524290:VSY524849 WCU524290:WCU524849 WMQ524290:WMQ524849 WWM524290:WWM524849 AE589826:AE590385 KA589826:KA590385 TW589826:TW590385 ADS589826:ADS590385 ANO589826:ANO590385 AXK589826:AXK590385 BHG589826:BHG590385 BRC589826:BRC590385 CAY589826:CAY590385 CKU589826:CKU590385 CUQ589826:CUQ590385 DEM589826:DEM590385 DOI589826:DOI590385 DYE589826:DYE590385 EIA589826:EIA590385 ERW589826:ERW590385 FBS589826:FBS590385 FLO589826:FLO590385 FVK589826:FVK590385 GFG589826:GFG590385 GPC589826:GPC590385 GYY589826:GYY590385 HIU589826:HIU590385 HSQ589826:HSQ590385 ICM589826:ICM590385 IMI589826:IMI590385 IWE589826:IWE590385 JGA589826:JGA590385 JPW589826:JPW590385 JZS589826:JZS590385 KJO589826:KJO590385 KTK589826:KTK590385 LDG589826:LDG590385 LNC589826:LNC590385 LWY589826:LWY590385 MGU589826:MGU590385 MQQ589826:MQQ590385 NAM589826:NAM590385 NKI589826:NKI590385 NUE589826:NUE590385 OEA589826:OEA590385 ONW589826:ONW590385 OXS589826:OXS590385 PHO589826:PHO590385 PRK589826:PRK590385 QBG589826:QBG590385 QLC589826:QLC590385 QUY589826:QUY590385 REU589826:REU590385 ROQ589826:ROQ590385 RYM589826:RYM590385 SII589826:SII590385 SSE589826:SSE590385 TCA589826:TCA590385 TLW589826:TLW590385 TVS589826:TVS590385 UFO589826:UFO590385 UPK589826:UPK590385 UZG589826:UZG590385 VJC589826:VJC590385 VSY589826:VSY590385 WCU589826:WCU590385 WMQ589826:WMQ590385 WWM589826:WWM590385 AE655362:AE655921 KA655362:KA655921 TW655362:TW655921 ADS655362:ADS655921 ANO655362:ANO655921 AXK655362:AXK655921 BHG655362:BHG655921 BRC655362:BRC655921 CAY655362:CAY655921 CKU655362:CKU655921 CUQ655362:CUQ655921 DEM655362:DEM655921 DOI655362:DOI655921 DYE655362:DYE655921 EIA655362:EIA655921 ERW655362:ERW655921 FBS655362:FBS655921 FLO655362:FLO655921 FVK655362:FVK655921 GFG655362:GFG655921 GPC655362:GPC655921 GYY655362:GYY655921 HIU655362:HIU655921 HSQ655362:HSQ655921 ICM655362:ICM655921 IMI655362:IMI655921 IWE655362:IWE655921 JGA655362:JGA655921 JPW655362:JPW655921 JZS655362:JZS655921 KJO655362:KJO655921 KTK655362:KTK655921 LDG655362:LDG655921 LNC655362:LNC655921 LWY655362:LWY655921 MGU655362:MGU655921 MQQ655362:MQQ655921 NAM655362:NAM655921 NKI655362:NKI655921 NUE655362:NUE655921 OEA655362:OEA655921 ONW655362:ONW655921 OXS655362:OXS655921 PHO655362:PHO655921 PRK655362:PRK655921 QBG655362:QBG655921 QLC655362:QLC655921 QUY655362:QUY655921 REU655362:REU655921 ROQ655362:ROQ655921 RYM655362:RYM655921 SII655362:SII655921 SSE655362:SSE655921 TCA655362:TCA655921 TLW655362:TLW655921 TVS655362:TVS655921 UFO655362:UFO655921 UPK655362:UPK655921 UZG655362:UZG655921 VJC655362:VJC655921 VSY655362:VSY655921 WCU655362:WCU655921 WMQ655362:WMQ655921 WWM655362:WWM655921 AE720898:AE721457 KA720898:KA721457 TW720898:TW721457 ADS720898:ADS721457 ANO720898:ANO721457 AXK720898:AXK721457 BHG720898:BHG721457 BRC720898:BRC721457 CAY720898:CAY721457 CKU720898:CKU721457 CUQ720898:CUQ721457 DEM720898:DEM721457 DOI720898:DOI721457 DYE720898:DYE721457 EIA720898:EIA721457 ERW720898:ERW721457 FBS720898:FBS721457 FLO720898:FLO721457 FVK720898:FVK721457 GFG720898:GFG721457 GPC720898:GPC721457 GYY720898:GYY721457 HIU720898:HIU721457 HSQ720898:HSQ721457 ICM720898:ICM721457 IMI720898:IMI721457 IWE720898:IWE721457 JGA720898:JGA721457 JPW720898:JPW721457 JZS720898:JZS721457 KJO720898:KJO721457 KTK720898:KTK721457 LDG720898:LDG721457 LNC720898:LNC721457 LWY720898:LWY721457 MGU720898:MGU721457 MQQ720898:MQQ721457 NAM720898:NAM721457 NKI720898:NKI721457 NUE720898:NUE721457 OEA720898:OEA721457 ONW720898:ONW721457 OXS720898:OXS721457 PHO720898:PHO721457 PRK720898:PRK721457 QBG720898:QBG721457 QLC720898:QLC721457 QUY720898:QUY721457 REU720898:REU721457 ROQ720898:ROQ721457 RYM720898:RYM721457 SII720898:SII721457 SSE720898:SSE721457 TCA720898:TCA721457 TLW720898:TLW721457 TVS720898:TVS721457 UFO720898:UFO721457 UPK720898:UPK721457 UZG720898:UZG721457 VJC720898:VJC721457 VSY720898:VSY721457 WCU720898:WCU721457 WMQ720898:WMQ721457 WWM720898:WWM721457 AE786434:AE786993 KA786434:KA786993 TW786434:TW786993 ADS786434:ADS786993 ANO786434:ANO786993 AXK786434:AXK786993 BHG786434:BHG786993 BRC786434:BRC786993 CAY786434:CAY786993 CKU786434:CKU786993 CUQ786434:CUQ786993 DEM786434:DEM786993 DOI786434:DOI786993 DYE786434:DYE786993 EIA786434:EIA786993 ERW786434:ERW786993 FBS786434:FBS786993 FLO786434:FLO786993 FVK786434:FVK786993 GFG786434:GFG786993 GPC786434:GPC786993 GYY786434:GYY786993 HIU786434:HIU786993 HSQ786434:HSQ786993 ICM786434:ICM786993 IMI786434:IMI786993 IWE786434:IWE786993 JGA786434:JGA786993 JPW786434:JPW786993 JZS786434:JZS786993 KJO786434:KJO786993 KTK786434:KTK786993 LDG786434:LDG786993 LNC786434:LNC786993 LWY786434:LWY786993 MGU786434:MGU786993 MQQ786434:MQQ786993 NAM786434:NAM786993 NKI786434:NKI786993 NUE786434:NUE786993 OEA786434:OEA786993 ONW786434:ONW786993 OXS786434:OXS786993 PHO786434:PHO786993 PRK786434:PRK786993 QBG786434:QBG786993 QLC786434:QLC786993 QUY786434:QUY786993 REU786434:REU786993 ROQ786434:ROQ786993 RYM786434:RYM786993 SII786434:SII786993 SSE786434:SSE786993 TCA786434:TCA786993 TLW786434:TLW786993 TVS786434:TVS786993 UFO786434:UFO786993 UPK786434:UPK786993 UZG786434:UZG786993 VJC786434:VJC786993 VSY786434:VSY786993 WCU786434:WCU786993 WMQ786434:WMQ786993 WWM786434:WWM786993 AE851970:AE852529 KA851970:KA852529 TW851970:TW852529 ADS851970:ADS852529 ANO851970:ANO852529 AXK851970:AXK852529 BHG851970:BHG852529 BRC851970:BRC852529 CAY851970:CAY852529 CKU851970:CKU852529 CUQ851970:CUQ852529 DEM851970:DEM852529 DOI851970:DOI852529 DYE851970:DYE852529 EIA851970:EIA852529 ERW851970:ERW852529 FBS851970:FBS852529 FLO851970:FLO852529 FVK851970:FVK852529 GFG851970:GFG852529 GPC851970:GPC852529 GYY851970:GYY852529 HIU851970:HIU852529 HSQ851970:HSQ852529 ICM851970:ICM852529 IMI851970:IMI852529 IWE851970:IWE852529 JGA851970:JGA852529 JPW851970:JPW852529 JZS851970:JZS852529 KJO851970:KJO852529 KTK851970:KTK852529 LDG851970:LDG852529 LNC851970:LNC852529 LWY851970:LWY852529 MGU851970:MGU852529 MQQ851970:MQQ852529 NAM851970:NAM852529 NKI851970:NKI852529 NUE851970:NUE852529 OEA851970:OEA852529 ONW851970:ONW852529 OXS851970:OXS852529 PHO851970:PHO852529 PRK851970:PRK852529 QBG851970:QBG852529 QLC851970:QLC852529 QUY851970:QUY852529 REU851970:REU852529 ROQ851970:ROQ852529 RYM851970:RYM852529 SII851970:SII852529 SSE851970:SSE852529 TCA851970:TCA852529 TLW851970:TLW852529 TVS851970:TVS852529 UFO851970:UFO852529 UPK851970:UPK852529 UZG851970:UZG852529 VJC851970:VJC852529 VSY851970:VSY852529 WCU851970:WCU852529 WMQ851970:WMQ852529 WWM851970:WWM852529 AE917506:AE918065 KA917506:KA918065 TW917506:TW918065 ADS917506:ADS918065 ANO917506:ANO918065 AXK917506:AXK918065 BHG917506:BHG918065 BRC917506:BRC918065 CAY917506:CAY918065 CKU917506:CKU918065 CUQ917506:CUQ918065 DEM917506:DEM918065 DOI917506:DOI918065 DYE917506:DYE918065 EIA917506:EIA918065 ERW917506:ERW918065 FBS917506:FBS918065 FLO917506:FLO918065 FVK917506:FVK918065 GFG917506:GFG918065 GPC917506:GPC918065 GYY917506:GYY918065 HIU917506:HIU918065 HSQ917506:HSQ918065 ICM917506:ICM918065 IMI917506:IMI918065 IWE917506:IWE918065 JGA917506:JGA918065 JPW917506:JPW918065 JZS917506:JZS918065 KJO917506:KJO918065 KTK917506:KTK918065 LDG917506:LDG918065 LNC917506:LNC918065 LWY917506:LWY918065 MGU917506:MGU918065 MQQ917506:MQQ918065 NAM917506:NAM918065 NKI917506:NKI918065 NUE917506:NUE918065 OEA917506:OEA918065 ONW917506:ONW918065 OXS917506:OXS918065 PHO917506:PHO918065 PRK917506:PRK918065 QBG917506:QBG918065 QLC917506:QLC918065 QUY917506:QUY918065 REU917506:REU918065 ROQ917506:ROQ918065 RYM917506:RYM918065 SII917506:SII918065 SSE917506:SSE918065 TCA917506:TCA918065 TLW917506:TLW918065 TVS917506:TVS918065 UFO917506:UFO918065 UPK917506:UPK918065 UZG917506:UZG918065 VJC917506:VJC918065 VSY917506:VSY918065 WCU917506:WCU918065 WMQ917506:WMQ918065 WWM917506:WWM918065 AE983042:AE983601 KA983042:KA983601 TW983042:TW983601 ADS983042:ADS983601 ANO983042:ANO983601 AXK983042:AXK983601 BHG983042:BHG983601 BRC983042:BRC983601 CAY983042:CAY983601 CKU983042:CKU983601 CUQ983042:CUQ983601 DEM983042:DEM983601 DOI983042:DOI983601 DYE983042:DYE983601 EIA983042:EIA983601 ERW983042:ERW983601 FBS983042:FBS983601 FLO983042:FLO983601 FVK983042:FVK983601 GFG983042:GFG983601 GPC983042:GPC983601 GYY983042:GYY983601 HIU983042:HIU983601 HSQ983042:HSQ983601 ICM983042:ICM983601 IMI983042:IMI983601 IWE983042:IWE983601 JGA983042:JGA983601 JPW983042:JPW983601 JZS983042:JZS983601 KJO983042:KJO983601 KTK983042:KTK983601 LDG983042:LDG983601 LNC983042:LNC983601 LWY983042:LWY983601 MGU983042:MGU983601 MQQ983042:MQQ983601 NAM983042:NAM983601 NKI983042:NKI983601 NUE983042:NUE983601 OEA983042:OEA983601 ONW983042:ONW983601 OXS983042:OXS983601 PHO983042:PHO983601 PRK983042:PRK983601 QBG983042:QBG983601 QLC983042:QLC983601 QUY983042:QUY983601 REU983042:REU983601 ROQ983042:ROQ983601 RYM983042:RYM983601 SII983042:SII983601 SSE983042:SSE983601 TCA983042:TCA983601 TLW983042:TLW983601 TVS983042:TVS983601 UFO983042:UFO983601 UPK983042:UPK983601 UZG983042:UZG983601 VJC983042:VJC983601 VSY983042:VSY983601 WCU983042:WCU983601 WMQ983042:WMQ983601 WWM983042:WWM983601</xm:sqref>
        </x14:dataValidation>
        <x14:dataValidation type="list" allowBlank="1" showInputMessage="1" showErrorMessage="1">
          <x14:formula1>
            <xm:f>[3]基础信息!#REF!</xm:f>
          </x14:formula1>
          <xm:sqref>AB2:AB561 JX2:JX561 TT2:TT561 ADP2:ADP561 ANL2:ANL561 AXH2:AXH561 BHD2:BHD561 BQZ2:BQZ561 CAV2:CAV561 CKR2:CKR561 CUN2:CUN561 DEJ2:DEJ561 DOF2:DOF561 DYB2:DYB561 EHX2:EHX561 ERT2:ERT561 FBP2:FBP561 FLL2:FLL561 FVH2:FVH561 GFD2:GFD561 GOZ2:GOZ561 GYV2:GYV561 HIR2:HIR561 HSN2:HSN561 ICJ2:ICJ561 IMF2:IMF561 IWB2:IWB561 JFX2:JFX561 JPT2:JPT561 JZP2:JZP561 KJL2:KJL561 KTH2:KTH561 LDD2:LDD561 LMZ2:LMZ561 LWV2:LWV561 MGR2:MGR561 MQN2:MQN561 NAJ2:NAJ561 NKF2:NKF561 NUB2:NUB561 ODX2:ODX561 ONT2:ONT561 OXP2:OXP561 PHL2:PHL561 PRH2:PRH561 QBD2:QBD561 QKZ2:QKZ561 QUV2:QUV561 RER2:RER561 RON2:RON561 RYJ2:RYJ561 SIF2:SIF561 SSB2:SSB561 TBX2:TBX561 TLT2:TLT561 TVP2:TVP561 UFL2:UFL561 UPH2:UPH561 UZD2:UZD561 VIZ2:VIZ561 VSV2:VSV561 WCR2:WCR561 WMN2:WMN561 WWJ2:WWJ561 AB65538:AB66097 JX65538:JX66097 TT65538:TT66097 ADP65538:ADP66097 ANL65538:ANL66097 AXH65538:AXH66097 BHD65538:BHD66097 BQZ65538:BQZ66097 CAV65538:CAV66097 CKR65538:CKR66097 CUN65538:CUN66097 DEJ65538:DEJ66097 DOF65538:DOF66097 DYB65538:DYB66097 EHX65538:EHX66097 ERT65538:ERT66097 FBP65538:FBP66097 FLL65538:FLL66097 FVH65538:FVH66097 GFD65538:GFD66097 GOZ65538:GOZ66097 GYV65538:GYV66097 HIR65538:HIR66097 HSN65538:HSN66097 ICJ65538:ICJ66097 IMF65538:IMF66097 IWB65538:IWB66097 JFX65538:JFX66097 JPT65538:JPT66097 JZP65538:JZP66097 KJL65538:KJL66097 KTH65538:KTH66097 LDD65538:LDD66097 LMZ65538:LMZ66097 LWV65538:LWV66097 MGR65538:MGR66097 MQN65538:MQN66097 NAJ65538:NAJ66097 NKF65538:NKF66097 NUB65538:NUB66097 ODX65538:ODX66097 ONT65538:ONT66097 OXP65538:OXP66097 PHL65538:PHL66097 PRH65538:PRH66097 QBD65538:QBD66097 QKZ65538:QKZ66097 QUV65538:QUV66097 RER65538:RER66097 RON65538:RON66097 RYJ65538:RYJ66097 SIF65538:SIF66097 SSB65538:SSB66097 TBX65538:TBX66097 TLT65538:TLT66097 TVP65538:TVP66097 UFL65538:UFL66097 UPH65538:UPH66097 UZD65538:UZD66097 VIZ65538:VIZ66097 VSV65538:VSV66097 WCR65538:WCR66097 WMN65538:WMN66097 WWJ65538:WWJ66097 AB131074:AB131633 JX131074:JX131633 TT131074:TT131633 ADP131074:ADP131633 ANL131074:ANL131633 AXH131074:AXH131633 BHD131074:BHD131633 BQZ131074:BQZ131633 CAV131074:CAV131633 CKR131074:CKR131633 CUN131074:CUN131633 DEJ131074:DEJ131633 DOF131074:DOF131633 DYB131074:DYB131633 EHX131074:EHX131633 ERT131074:ERT131633 FBP131074:FBP131633 FLL131074:FLL131633 FVH131074:FVH131633 GFD131074:GFD131633 GOZ131074:GOZ131633 GYV131074:GYV131633 HIR131074:HIR131633 HSN131074:HSN131633 ICJ131074:ICJ131633 IMF131074:IMF131633 IWB131074:IWB131633 JFX131074:JFX131633 JPT131074:JPT131633 JZP131074:JZP131633 KJL131074:KJL131633 KTH131074:KTH131633 LDD131074:LDD131633 LMZ131074:LMZ131633 LWV131074:LWV131633 MGR131074:MGR131633 MQN131074:MQN131633 NAJ131074:NAJ131633 NKF131074:NKF131633 NUB131074:NUB131633 ODX131074:ODX131633 ONT131074:ONT131633 OXP131074:OXP131633 PHL131074:PHL131633 PRH131074:PRH131633 QBD131074:QBD131633 QKZ131074:QKZ131633 QUV131074:QUV131633 RER131074:RER131633 RON131074:RON131633 RYJ131074:RYJ131633 SIF131074:SIF131633 SSB131074:SSB131633 TBX131074:TBX131633 TLT131074:TLT131633 TVP131074:TVP131633 UFL131074:UFL131633 UPH131074:UPH131633 UZD131074:UZD131633 VIZ131074:VIZ131633 VSV131074:VSV131633 WCR131074:WCR131633 WMN131074:WMN131633 WWJ131074:WWJ131633 AB196610:AB197169 JX196610:JX197169 TT196610:TT197169 ADP196610:ADP197169 ANL196610:ANL197169 AXH196610:AXH197169 BHD196610:BHD197169 BQZ196610:BQZ197169 CAV196610:CAV197169 CKR196610:CKR197169 CUN196610:CUN197169 DEJ196610:DEJ197169 DOF196610:DOF197169 DYB196610:DYB197169 EHX196610:EHX197169 ERT196610:ERT197169 FBP196610:FBP197169 FLL196610:FLL197169 FVH196610:FVH197169 GFD196610:GFD197169 GOZ196610:GOZ197169 GYV196610:GYV197169 HIR196610:HIR197169 HSN196610:HSN197169 ICJ196610:ICJ197169 IMF196610:IMF197169 IWB196610:IWB197169 JFX196610:JFX197169 JPT196610:JPT197169 JZP196610:JZP197169 KJL196610:KJL197169 KTH196610:KTH197169 LDD196610:LDD197169 LMZ196610:LMZ197169 LWV196610:LWV197169 MGR196610:MGR197169 MQN196610:MQN197169 NAJ196610:NAJ197169 NKF196610:NKF197169 NUB196610:NUB197169 ODX196610:ODX197169 ONT196610:ONT197169 OXP196610:OXP197169 PHL196610:PHL197169 PRH196610:PRH197169 QBD196610:QBD197169 QKZ196610:QKZ197169 QUV196610:QUV197169 RER196610:RER197169 RON196610:RON197169 RYJ196610:RYJ197169 SIF196610:SIF197169 SSB196610:SSB197169 TBX196610:TBX197169 TLT196610:TLT197169 TVP196610:TVP197169 UFL196610:UFL197169 UPH196610:UPH197169 UZD196610:UZD197169 VIZ196610:VIZ197169 VSV196610:VSV197169 WCR196610:WCR197169 WMN196610:WMN197169 WWJ196610:WWJ197169 AB262146:AB262705 JX262146:JX262705 TT262146:TT262705 ADP262146:ADP262705 ANL262146:ANL262705 AXH262146:AXH262705 BHD262146:BHD262705 BQZ262146:BQZ262705 CAV262146:CAV262705 CKR262146:CKR262705 CUN262146:CUN262705 DEJ262146:DEJ262705 DOF262146:DOF262705 DYB262146:DYB262705 EHX262146:EHX262705 ERT262146:ERT262705 FBP262146:FBP262705 FLL262146:FLL262705 FVH262146:FVH262705 GFD262146:GFD262705 GOZ262146:GOZ262705 GYV262146:GYV262705 HIR262146:HIR262705 HSN262146:HSN262705 ICJ262146:ICJ262705 IMF262146:IMF262705 IWB262146:IWB262705 JFX262146:JFX262705 JPT262146:JPT262705 JZP262146:JZP262705 KJL262146:KJL262705 KTH262146:KTH262705 LDD262146:LDD262705 LMZ262146:LMZ262705 LWV262146:LWV262705 MGR262146:MGR262705 MQN262146:MQN262705 NAJ262146:NAJ262705 NKF262146:NKF262705 NUB262146:NUB262705 ODX262146:ODX262705 ONT262146:ONT262705 OXP262146:OXP262705 PHL262146:PHL262705 PRH262146:PRH262705 QBD262146:QBD262705 QKZ262146:QKZ262705 QUV262146:QUV262705 RER262146:RER262705 RON262146:RON262705 RYJ262146:RYJ262705 SIF262146:SIF262705 SSB262146:SSB262705 TBX262146:TBX262705 TLT262146:TLT262705 TVP262146:TVP262705 UFL262146:UFL262705 UPH262146:UPH262705 UZD262146:UZD262705 VIZ262146:VIZ262705 VSV262146:VSV262705 WCR262146:WCR262705 WMN262146:WMN262705 WWJ262146:WWJ262705 AB327682:AB328241 JX327682:JX328241 TT327682:TT328241 ADP327682:ADP328241 ANL327682:ANL328241 AXH327682:AXH328241 BHD327682:BHD328241 BQZ327682:BQZ328241 CAV327682:CAV328241 CKR327682:CKR328241 CUN327682:CUN328241 DEJ327682:DEJ328241 DOF327682:DOF328241 DYB327682:DYB328241 EHX327682:EHX328241 ERT327682:ERT328241 FBP327682:FBP328241 FLL327682:FLL328241 FVH327682:FVH328241 GFD327682:GFD328241 GOZ327682:GOZ328241 GYV327682:GYV328241 HIR327682:HIR328241 HSN327682:HSN328241 ICJ327682:ICJ328241 IMF327682:IMF328241 IWB327682:IWB328241 JFX327682:JFX328241 JPT327682:JPT328241 JZP327682:JZP328241 KJL327682:KJL328241 KTH327682:KTH328241 LDD327682:LDD328241 LMZ327682:LMZ328241 LWV327682:LWV328241 MGR327682:MGR328241 MQN327682:MQN328241 NAJ327682:NAJ328241 NKF327682:NKF328241 NUB327682:NUB328241 ODX327682:ODX328241 ONT327682:ONT328241 OXP327682:OXP328241 PHL327682:PHL328241 PRH327682:PRH328241 QBD327682:QBD328241 QKZ327682:QKZ328241 QUV327682:QUV328241 RER327682:RER328241 RON327682:RON328241 RYJ327682:RYJ328241 SIF327682:SIF328241 SSB327682:SSB328241 TBX327682:TBX328241 TLT327682:TLT328241 TVP327682:TVP328241 UFL327682:UFL328241 UPH327682:UPH328241 UZD327682:UZD328241 VIZ327682:VIZ328241 VSV327682:VSV328241 WCR327682:WCR328241 WMN327682:WMN328241 WWJ327682:WWJ328241 AB393218:AB393777 JX393218:JX393777 TT393218:TT393777 ADP393218:ADP393777 ANL393218:ANL393777 AXH393218:AXH393777 BHD393218:BHD393777 BQZ393218:BQZ393777 CAV393218:CAV393777 CKR393218:CKR393777 CUN393218:CUN393777 DEJ393218:DEJ393777 DOF393218:DOF393777 DYB393218:DYB393777 EHX393218:EHX393777 ERT393218:ERT393777 FBP393218:FBP393777 FLL393218:FLL393777 FVH393218:FVH393777 GFD393218:GFD393777 GOZ393218:GOZ393777 GYV393218:GYV393777 HIR393218:HIR393777 HSN393218:HSN393777 ICJ393218:ICJ393777 IMF393218:IMF393777 IWB393218:IWB393777 JFX393218:JFX393777 JPT393218:JPT393777 JZP393218:JZP393777 KJL393218:KJL393777 KTH393218:KTH393777 LDD393218:LDD393777 LMZ393218:LMZ393777 LWV393218:LWV393777 MGR393218:MGR393777 MQN393218:MQN393777 NAJ393218:NAJ393777 NKF393218:NKF393777 NUB393218:NUB393777 ODX393218:ODX393777 ONT393218:ONT393777 OXP393218:OXP393777 PHL393218:PHL393777 PRH393218:PRH393777 QBD393218:QBD393777 QKZ393218:QKZ393777 QUV393218:QUV393777 RER393218:RER393777 RON393218:RON393777 RYJ393218:RYJ393777 SIF393218:SIF393777 SSB393218:SSB393777 TBX393218:TBX393777 TLT393218:TLT393777 TVP393218:TVP393777 UFL393218:UFL393777 UPH393218:UPH393777 UZD393218:UZD393777 VIZ393218:VIZ393777 VSV393218:VSV393777 WCR393218:WCR393777 WMN393218:WMN393777 WWJ393218:WWJ393777 AB458754:AB459313 JX458754:JX459313 TT458754:TT459313 ADP458754:ADP459313 ANL458754:ANL459313 AXH458754:AXH459313 BHD458754:BHD459313 BQZ458754:BQZ459313 CAV458754:CAV459313 CKR458754:CKR459313 CUN458754:CUN459313 DEJ458754:DEJ459313 DOF458754:DOF459313 DYB458754:DYB459313 EHX458754:EHX459313 ERT458754:ERT459313 FBP458754:FBP459313 FLL458754:FLL459313 FVH458754:FVH459313 GFD458754:GFD459313 GOZ458754:GOZ459313 GYV458754:GYV459313 HIR458754:HIR459313 HSN458754:HSN459313 ICJ458754:ICJ459313 IMF458754:IMF459313 IWB458754:IWB459313 JFX458754:JFX459313 JPT458754:JPT459313 JZP458754:JZP459313 KJL458754:KJL459313 KTH458754:KTH459313 LDD458754:LDD459313 LMZ458754:LMZ459313 LWV458754:LWV459313 MGR458754:MGR459313 MQN458754:MQN459313 NAJ458754:NAJ459313 NKF458754:NKF459313 NUB458754:NUB459313 ODX458754:ODX459313 ONT458754:ONT459313 OXP458754:OXP459313 PHL458754:PHL459313 PRH458754:PRH459313 QBD458754:QBD459313 QKZ458754:QKZ459313 QUV458754:QUV459313 RER458754:RER459313 RON458754:RON459313 RYJ458754:RYJ459313 SIF458754:SIF459313 SSB458754:SSB459313 TBX458754:TBX459313 TLT458754:TLT459313 TVP458754:TVP459313 UFL458754:UFL459313 UPH458754:UPH459313 UZD458754:UZD459313 VIZ458754:VIZ459313 VSV458754:VSV459313 WCR458754:WCR459313 WMN458754:WMN459313 WWJ458754:WWJ459313 AB524290:AB524849 JX524290:JX524849 TT524290:TT524849 ADP524290:ADP524849 ANL524290:ANL524849 AXH524290:AXH524849 BHD524290:BHD524849 BQZ524290:BQZ524849 CAV524290:CAV524849 CKR524290:CKR524849 CUN524290:CUN524849 DEJ524290:DEJ524849 DOF524290:DOF524849 DYB524290:DYB524849 EHX524290:EHX524849 ERT524290:ERT524849 FBP524290:FBP524849 FLL524290:FLL524849 FVH524290:FVH524849 GFD524290:GFD524849 GOZ524290:GOZ524849 GYV524290:GYV524849 HIR524290:HIR524849 HSN524290:HSN524849 ICJ524290:ICJ524849 IMF524290:IMF524849 IWB524290:IWB524849 JFX524290:JFX524849 JPT524290:JPT524849 JZP524290:JZP524849 KJL524290:KJL524849 KTH524290:KTH524849 LDD524290:LDD524849 LMZ524290:LMZ524849 LWV524290:LWV524849 MGR524290:MGR524849 MQN524290:MQN524849 NAJ524290:NAJ524849 NKF524290:NKF524849 NUB524290:NUB524849 ODX524290:ODX524849 ONT524290:ONT524849 OXP524290:OXP524849 PHL524290:PHL524849 PRH524290:PRH524849 QBD524290:QBD524849 QKZ524290:QKZ524849 QUV524290:QUV524849 RER524290:RER524849 RON524290:RON524849 RYJ524290:RYJ524849 SIF524290:SIF524849 SSB524290:SSB524849 TBX524290:TBX524849 TLT524290:TLT524849 TVP524290:TVP524849 UFL524290:UFL524849 UPH524290:UPH524849 UZD524290:UZD524849 VIZ524290:VIZ524849 VSV524290:VSV524849 WCR524290:WCR524849 WMN524290:WMN524849 WWJ524290:WWJ524849 AB589826:AB590385 JX589826:JX590385 TT589826:TT590385 ADP589826:ADP590385 ANL589826:ANL590385 AXH589826:AXH590385 BHD589826:BHD590385 BQZ589826:BQZ590385 CAV589826:CAV590385 CKR589826:CKR590385 CUN589826:CUN590385 DEJ589826:DEJ590385 DOF589826:DOF590385 DYB589826:DYB590385 EHX589826:EHX590385 ERT589826:ERT590385 FBP589826:FBP590385 FLL589826:FLL590385 FVH589826:FVH590385 GFD589826:GFD590385 GOZ589826:GOZ590385 GYV589826:GYV590385 HIR589826:HIR590385 HSN589826:HSN590385 ICJ589826:ICJ590385 IMF589826:IMF590385 IWB589826:IWB590385 JFX589826:JFX590385 JPT589826:JPT590385 JZP589826:JZP590385 KJL589826:KJL590385 KTH589826:KTH590385 LDD589826:LDD590385 LMZ589826:LMZ590385 LWV589826:LWV590385 MGR589826:MGR590385 MQN589826:MQN590385 NAJ589826:NAJ590385 NKF589826:NKF590385 NUB589826:NUB590385 ODX589826:ODX590385 ONT589826:ONT590385 OXP589826:OXP590385 PHL589826:PHL590385 PRH589826:PRH590385 QBD589826:QBD590385 QKZ589826:QKZ590385 QUV589826:QUV590385 RER589826:RER590385 RON589826:RON590385 RYJ589826:RYJ590385 SIF589826:SIF590385 SSB589826:SSB590385 TBX589826:TBX590385 TLT589826:TLT590385 TVP589826:TVP590385 UFL589826:UFL590385 UPH589826:UPH590385 UZD589826:UZD590385 VIZ589826:VIZ590385 VSV589826:VSV590385 WCR589826:WCR590385 WMN589826:WMN590385 WWJ589826:WWJ590385 AB655362:AB655921 JX655362:JX655921 TT655362:TT655921 ADP655362:ADP655921 ANL655362:ANL655921 AXH655362:AXH655921 BHD655362:BHD655921 BQZ655362:BQZ655921 CAV655362:CAV655921 CKR655362:CKR655921 CUN655362:CUN655921 DEJ655362:DEJ655921 DOF655362:DOF655921 DYB655362:DYB655921 EHX655362:EHX655921 ERT655362:ERT655921 FBP655362:FBP655921 FLL655362:FLL655921 FVH655362:FVH655921 GFD655362:GFD655921 GOZ655362:GOZ655921 GYV655362:GYV655921 HIR655362:HIR655921 HSN655362:HSN655921 ICJ655362:ICJ655921 IMF655362:IMF655921 IWB655362:IWB655921 JFX655362:JFX655921 JPT655362:JPT655921 JZP655362:JZP655921 KJL655362:KJL655921 KTH655362:KTH655921 LDD655362:LDD655921 LMZ655362:LMZ655921 LWV655362:LWV655921 MGR655362:MGR655921 MQN655362:MQN655921 NAJ655362:NAJ655921 NKF655362:NKF655921 NUB655362:NUB655921 ODX655362:ODX655921 ONT655362:ONT655921 OXP655362:OXP655921 PHL655362:PHL655921 PRH655362:PRH655921 QBD655362:QBD655921 QKZ655362:QKZ655921 QUV655362:QUV655921 RER655362:RER655921 RON655362:RON655921 RYJ655362:RYJ655921 SIF655362:SIF655921 SSB655362:SSB655921 TBX655362:TBX655921 TLT655362:TLT655921 TVP655362:TVP655921 UFL655362:UFL655921 UPH655362:UPH655921 UZD655362:UZD655921 VIZ655362:VIZ655921 VSV655362:VSV655921 WCR655362:WCR655921 WMN655362:WMN655921 WWJ655362:WWJ655921 AB720898:AB721457 JX720898:JX721457 TT720898:TT721457 ADP720898:ADP721457 ANL720898:ANL721457 AXH720898:AXH721457 BHD720898:BHD721457 BQZ720898:BQZ721457 CAV720898:CAV721457 CKR720898:CKR721457 CUN720898:CUN721457 DEJ720898:DEJ721457 DOF720898:DOF721457 DYB720898:DYB721457 EHX720898:EHX721457 ERT720898:ERT721457 FBP720898:FBP721457 FLL720898:FLL721457 FVH720898:FVH721457 GFD720898:GFD721457 GOZ720898:GOZ721457 GYV720898:GYV721457 HIR720898:HIR721457 HSN720898:HSN721457 ICJ720898:ICJ721457 IMF720898:IMF721457 IWB720898:IWB721457 JFX720898:JFX721457 JPT720898:JPT721457 JZP720898:JZP721457 KJL720898:KJL721457 KTH720898:KTH721457 LDD720898:LDD721457 LMZ720898:LMZ721457 LWV720898:LWV721457 MGR720898:MGR721457 MQN720898:MQN721457 NAJ720898:NAJ721457 NKF720898:NKF721457 NUB720898:NUB721457 ODX720898:ODX721457 ONT720898:ONT721457 OXP720898:OXP721457 PHL720898:PHL721457 PRH720898:PRH721457 QBD720898:QBD721457 QKZ720898:QKZ721457 QUV720898:QUV721457 RER720898:RER721457 RON720898:RON721457 RYJ720898:RYJ721457 SIF720898:SIF721457 SSB720898:SSB721457 TBX720898:TBX721457 TLT720898:TLT721457 TVP720898:TVP721457 UFL720898:UFL721457 UPH720898:UPH721457 UZD720898:UZD721457 VIZ720898:VIZ721457 VSV720898:VSV721457 WCR720898:WCR721457 WMN720898:WMN721457 WWJ720898:WWJ721457 AB786434:AB786993 JX786434:JX786993 TT786434:TT786993 ADP786434:ADP786993 ANL786434:ANL786993 AXH786434:AXH786993 BHD786434:BHD786993 BQZ786434:BQZ786993 CAV786434:CAV786993 CKR786434:CKR786993 CUN786434:CUN786993 DEJ786434:DEJ786993 DOF786434:DOF786993 DYB786434:DYB786993 EHX786434:EHX786993 ERT786434:ERT786993 FBP786434:FBP786993 FLL786434:FLL786993 FVH786434:FVH786993 GFD786434:GFD786993 GOZ786434:GOZ786993 GYV786434:GYV786993 HIR786434:HIR786993 HSN786434:HSN786993 ICJ786434:ICJ786993 IMF786434:IMF786993 IWB786434:IWB786993 JFX786434:JFX786993 JPT786434:JPT786993 JZP786434:JZP786993 KJL786434:KJL786993 KTH786434:KTH786993 LDD786434:LDD786993 LMZ786434:LMZ786993 LWV786434:LWV786993 MGR786434:MGR786993 MQN786434:MQN786993 NAJ786434:NAJ786993 NKF786434:NKF786993 NUB786434:NUB786993 ODX786434:ODX786993 ONT786434:ONT786993 OXP786434:OXP786993 PHL786434:PHL786993 PRH786434:PRH786993 QBD786434:QBD786993 QKZ786434:QKZ786993 QUV786434:QUV786993 RER786434:RER786993 RON786434:RON786993 RYJ786434:RYJ786993 SIF786434:SIF786993 SSB786434:SSB786993 TBX786434:TBX786993 TLT786434:TLT786993 TVP786434:TVP786993 UFL786434:UFL786993 UPH786434:UPH786993 UZD786434:UZD786993 VIZ786434:VIZ786993 VSV786434:VSV786993 WCR786434:WCR786993 WMN786434:WMN786993 WWJ786434:WWJ786993 AB851970:AB852529 JX851970:JX852529 TT851970:TT852529 ADP851970:ADP852529 ANL851970:ANL852529 AXH851970:AXH852529 BHD851970:BHD852529 BQZ851970:BQZ852529 CAV851970:CAV852529 CKR851970:CKR852529 CUN851970:CUN852529 DEJ851970:DEJ852529 DOF851970:DOF852529 DYB851970:DYB852529 EHX851970:EHX852529 ERT851970:ERT852529 FBP851970:FBP852529 FLL851970:FLL852529 FVH851970:FVH852529 GFD851970:GFD852529 GOZ851970:GOZ852529 GYV851970:GYV852529 HIR851970:HIR852529 HSN851970:HSN852529 ICJ851970:ICJ852529 IMF851970:IMF852529 IWB851970:IWB852529 JFX851970:JFX852529 JPT851970:JPT852529 JZP851970:JZP852529 KJL851970:KJL852529 KTH851970:KTH852529 LDD851970:LDD852529 LMZ851970:LMZ852529 LWV851970:LWV852529 MGR851970:MGR852529 MQN851970:MQN852529 NAJ851970:NAJ852529 NKF851970:NKF852529 NUB851970:NUB852529 ODX851970:ODX852529 ONT851970:ONT852529 OXP851970:OXP852529 PHL851970:PHL852529 PRH851970:PRH852529 QBD851970:QBD852529 QKZ851970:QKZ852529 QUV851970:QUV852529 RER851970:RER852529 RON851970:RON852529 RYJ851970:RYJ852529 SIF851970:SIF852529 SSB851970:SSB852529 TBX851970:TBX852529 TLT851970:TLT852529 TVP851970:TVP852529 UFL851970:UFL852529 UPH851970:UPH852529 UZD851970:UZD852529 VIZ851970:VIZ852529 VSV851970:VSV852529 WCR851970:WCR852529 WMN851970:WMN852529 WWJ851970:WWJ852529 AB917506:AB918065 JX917506:JX918065 TT917506:TT918065 ADP917506:ADP918065 ANL917506:ANL918065 AXH917506:AXH918065 BHD917506:BHD918065 BQZ917506:BQZ918065 CAV917506:CAV918065 CKR917506:CKR918065 CUN917506:CUN918065 DEJ917506:DEJ918065 DOF917506:DOF918065 DYB917506:DYB918065 EHX917506:EHX918065 ERT917506:ERT918065 FBP917506:FBP918065 FLL917506:FLL918065 FVH917506:FVH918065 GFD917506:GFD918065 GOZ917506:GOZ918065 GYV917506:GYV918065 HIR917506:HIR918065 HSN917506:HSN918065 ICJ917506:ICJ918065 IMF917506:IMF918065 IWB917506:IWB918065 JFX917506:JFX918065 JPT917506:JPT918065 JZP917506:JZP918065 KJL917506:KJL918065 KTH917506:KTH918065 LDD917506:LDD918065 LMZ917506:LMZ918065 LWV917506:LWV918065 MGR917506:MGR918065 MQN917506:MQN918065 NAJ917506:NAJ918065 NKF917506:NKF918065 NUB917506:NUB918065 ODX917506:ODX918065 ONT917506:ONT918065 OXP917506:OXP918065 PHL917506:PHL918065 PRH917506:PRH918065 QBD917506:QBD918065 QKZ917506:QKZ918065 QUV917506:QUV918065 RER917506:RER918065 RON917506:RON918065 RYJ917506:RYJ918065 SIF917506:SIF918065 SSB917506:SSB918065 TBX917506:TBX918065 TLT917506:TLT918065 TVP917506:TVP918065 UFL917506:UFL918065 UPH917506:UPH918065 UZD917506:UZD918065 VIZ917506:VIZ918065 VSV917506:VSV918065 WCR917506:WCR918065 WMN917506:WMN918065 WWJ917506:WWJ918065 AB983042:AB983601 JX983042:JX983601 TT983042:TT983601 ADP983042:ADP983601 ANL983042:ANL983601 AXH983042:AXH983601 BHD983042:BHD983601 BQZ983042:BQZ983601 CAV983042:CAV983601 CKR983042:CKR983601 CUN983042:CUN983601 DEJ983042:DEJ983601 DOF983042:DOF983601 DYB983042:DYB983601 EHX983042:EHX983601 ERT983042:ERT983601 FBP983042:FBP983601 FLL983042:FLL983601 FVH983042:FVH983601 GFD983042:GFD983601 GOZ983042:GOZ983601 GYV983042:GYV983601 HIR983042:HIR983601 HSN983042:HSN983601 ICJ983042:ICJ983601 IMF983042:IMF983601 IWB983042:IWB983601 JFX983042:JFX983601 JPT983042:JPT983601 JZP983042:JZP983601 KJL983042:KJL983601 KTH983042:KTH983601 LDD983042:LDD983601 LMZ983042:LMZ983601 LWV983042:LWV983601 MGR983042:MGR983601 MQN983042:MQN983601 NAJ983042:NAJ983601 NKF983042:NKF983601 NUB983042:NUB983601 ODX983042:ODX983601 ONT983042:ONT983601 OXP983042:OXP983601 PHL983042:PHL983601 PRH983042:PRH983601 QBD983042:QBD983601 QKZ983042:QKZ983601 QUV983042:QUV983601 RER983042:RER983601 RON983042:RON983601 RYJ983042:RYJ983601 SIF983042:SIF983601 SSB983042:SSB983601 TBX983042:TBX983601 TLT983042:TLT983601 TVP983042:TVP983601 UFL983042:UFL983601 UPH983042:UPH983601 UZD983042:UZD983601 VIZ983042:VIZ983601 VSV983042:VSV983601 WCR983042:WCR983601 WMN983042:WMN983601 WWJ983042:WWJ983601</xm:sqref>
        </x14:dataValidation>
        <x14:dataValidation type="list" allowBlank="1" showInputMessage="1" showErrorMessage="1">
          <x14:formula1>
            <xm:f>[3]基础信息!#REF!</xm:f>
          </x14:formula1>
          <xm:sqref>AP1:AP561 KL1:KL561 UH1:UH561 AED1:AED561 ANZ1:ANZ561 AXV1:AXV561 BHR1:BHR561 BRN1:BRN561 CBJ1:CBJ561 CLF1:CLF561 CVB1:CVB561 DEX1:DEX561 DOT1:DOT561 DYP1:DYP561 EIL1:EIL561 ESH1:ESH561 FCD1:FCD561 FLZ1:FLZ561 FVV1:FVV561 GFR1:GFR561 GPN1:GPN561 GZJ1:GZJ561 HJF1:HJF561 HTB1:HTB561 ICX1:ICX561 IMT1:IMT561 IWP1:IWP561 JGL1:JGL561 JQH1:JQH561 KAD1:KAD561 KJZ1:KJZ561 KTV1:KTV561 LDR1:LDR561 LNN1:LNN561 LXJ1:LXJ561 MHF1:MHF561 MRB1:MRB561 NAX1:NAX561 NKT1:NKT561 NUP1:NUP561 OEL1:OEL561 OOH1:OOH561 OYD1:OYD561 PHZ1:PHZ561 PRV1:PRV561 QBR1:QBR561 QLN1:QLN561 QVJ1:QVJ561 RFF1:RFF561 RPB1:RPB561 RYX1:RYX561 SIT1:SIT561 SSP1:SSP561 TCL1:TCL561 TMH1:TMH561 TWD1:TWD561 UFZ1:UFZ561 UPV1:UPV561 UZR1:UZR561 VJN1:VJN561 VTJ1:VTJ561 WDF1:WDF561 WNB1:WNB561 WWX1:WWX561 AP563:AP66097 KL563:KL66097 UH563:UH66097 AED563:AED66097 ANZ563:ANZ66097 AXV563:AXV66097 BHR563:BHR66097 BRN563:BRN66097 CBJ563:CBJ66097 CLF563:CLF66097 CVB563:CVB66097 DEX563:DEX66097 DOT563:DOT66097 DYP563:DYP66097 EIL563:EIL66097 ESH563:ESH66097 FCD563:FCD66097 FLZ563:FLZ66097 FVV563:FVV66097 GFR563:GFR66097 GPN563:GPN66097 GZJ563:GZJ66097 HJF563:HJF66097 HTB563:HTB66097 ICX563:ICX66097 IMT563:IMT66097 IWP563:IWP66097 JGL563:JGL66097 JQH563:JQH66097 KAD563:KAD66097 KJZ563:KJZ66097 KTV563:KTV66097 LDR563:LDR66097 LNN563:LNN66097 LXJ563:LXJ66097 MHF563:MHF66097 MRB563:MRB66097 NAX563:NAX66097 NKT563:NKT66097 NUP563:NUP66097 OEL563:OEL66097 OOH563:OOH66097 OYD563:OYD66097 PHZ563:PHZ66097 PRV563:PRV66097 QBR563:QBR66097 QLN563:QLN66097 QVJ563:QVJ66097 RFF563:RFF66097 RPB563:RPB66097 RYX563:RYX66097 SIT563:SIT66097 SSP563:SSP66097 TCL563:TCL66097 TMH563:TMH66097 TWD563:TWD66097 UFZ563:UFZ66097 UPV563:UPV66097 UZR563:UZR66097 VJN563:VJN66097 VTJ563:VTJ66097 WDF563:WDF66097 WNB563:WNB66097 WWX563:WWX66097 AP66099:AP131633 KL66099:KL131633 UH66099:UH131633 AED66099:AED131633 ANZ66099:ANZ131633 AXV66099:AXV131633 BHR66099:BHR131633 BRN66099:BRN131633 CBJ66099:CBJ131633 CLF66099:CLF131633 CVB66099:CVB131633 DEX66099:DEX131633 DOT66099:DOT131633 DYP66099:DYP131633 EIL66099:EIL131633 ESH66099:ESH131633 FCD66099:FCD131633 FLZ66099:FLZ131633 FVV66099:FVV131633 GFR66099:GFR131633 GPN66099:GPN131633 GZJ66099:GZJ131633 HJF66099:HJF131633 HTB66099:HTB131633 ICX66099:ICX131633 IMT66099:IMT131633 IWP66099:IWP131633 JGL66099:JGL131633 JQH66099:JQH131633 KAD66099:KAD131633 KJZ66099:KJZ131633 KTV66099:KTV131633 LDR66099:LDR131633 LNN66099:LNN131633 LXJ66099:LXJ131633 MHF66099:MHF131633 MRB66099:MRB131633 NAX66099:NAX131633 NKT66099:NKT131633 NUP66099:NUP131633 OEL66099:OEL131633 OOH66099:OOH131633 OYD66099:OYD131633 PHZ66099:PHZ131633 PRV66099:PRV131633 QBR66099:QBR131633 QLN66099:QLN131633 QVJ66099:QVJ131633 RFF66099:RFF131633 RPB66099:RPB131633 RYX66099:RYX131633 SIT66099:SIT131633 SSP66099:SSP131633 TCL66099:TCL131633 TMH66099:TMH131633 TWD66099:TWD131633 UFZ66099:UFZ131633 UPV66099:UPV131633 UZR66099:UZR131633 VJN66099:VJN131633 VTJ66099:VTJ131633 WDF66099:WDF131633 WNB66099:WNB131633 WWX66099:WWX131633 AP131635:AP197169 KL131635:KL197169 UH131635:UH197169 AED131635:AED197169 ANZ131635:ANZ197169 AXV131635:AXV197169 BHR131635:BHR197169 BRN131635:BRN197169 CBJ131635:CBJ197169 CLF131635:CLF197169 CVB131635:CVB197169 DEX131635:DEX197169 DOT131635:DOT197169 DYP131635:DYP197169 EIL131635:EIL197169 ESH131635:ESH197169 FCD131635:FCD197169 FLZ131635:FLZ197169 FVV131635:FVV197169 GFR131635:GFR197169 GPN131635:GPN197169 GZJ131635:GZJ197169 HJF131635:HJF197169 HTB131635:HTB197169 ICX131635:ICX197169 IMT131635:IMT197169 IWP131635:IWP197169 JGL131635:JGL197169 JQH131635:JQH197169 KAD131635:KAD197169 KJZ131635:KJZ197169 KTV131635:KTV197169 LDR131635:LDR197169 LNN131635:LNN197169 LXJ131635:LXJ197169 MHF131635:MHF197169 MRB131635:MRB197169 NAX131635:NAX197169 NKT131635:NKT197169 NUP131635:NUP197169 OEL131635:OEL197169 OOH131635:OOH197169 OYD131635:OYD197169 PHZ131635:PHZ197169 PRV131635:PRV197169 QBR131635:QBR197169 QLN131635:QLN197169 QVJ131635:QVJ197169 RFF131635:RFF197169 RPB131635:RPB197169 RYX131635:RYX197169 SIT131635:SIT197169 SSP131635:SSP197169 TCL131635:TCL197169 TMH131635:TMH197169 TWD131635:TWD197169 UFZ131635:UFZ197169 UPV131635:UPV197169 UZR131635:UZR197169 VJN131635:VJN197169 VTJ131635:VTJ197169 WDF131635:WDF197169 WNB131635:WNB197169 WWX131635:WWX197169 AP197171:AP262705 KL197171:KL262705 UH197171:UH262705 AED197171:AED262705 ANZ197171:ANZ262705 AXV197171:AXV262705 BHR197171:BHR262705 BRN197171:BRN262705 CBJ197171:CBJ262705 CLF197171:CLF262705 CVB197171:CVB262705 DEX197171:DEX262705 DOT197171:DOT262705 DYP197171:DYP262705 EIL197171:EIL262705 ESH197171:ESH262705 FCD197171:FCD262705 FLZ197171:FLZ262705 FVV197171:FVV262705 GFR197171:GFR262705 GPN197171:GPN262705 GZJ197171:GZJ262705 HJF197171:HJF262705 HTB197171:HTB262705 ICX197171:ICX262705 IMT197171:IMT262705 IWP197171:IWP262705 JGL197171:JGL262705 JQH197171:JQH262705 KAD197171:KAD262705 KJZ197171:KJZ262705 KTV197171:KTV262705 LDR197171:LDR262705 LNN197171:LNN262705 LXJ197171:LXJ262705 MHF197171:MHF262705 MRB197171:MRB262705 NAX197171:NAX262705 NKT197171:NKT262705 NUP197171:NUP262705 OEL197171:OEL262705 OOH197171:OOH262705 OYD197171:OYD262705 PHZ197171:PHZ262705 PRV197171:PRV262705 QBR197171:QBR262705 QLN197171:QLN262705 QVJ197171:QVJ262705 RFF197171:RFF262705 RPB197171:RPB262705 RYX197171:RYX262705 SIT197171:SIT262705 SSP197171:SSP262705 TCL197171:TCL262705 TMH197171:TMH262705 TWD197171:TWD262705 UFZ197171:UFZ262705 UPV197171:UPV262705 UZR197171:UZR262705 VJN197171:VJN262705 VTJ197171:VTJ262705 WDF197171:WDF262705 WNB197171:WNB262705 WWX197171:WWX262705 AP262707:AP328241 KL262707:KL328241 UH262707:UH328241 AED262707:AED328241 ANZ262707:ANZ328241 AXV262707:AXV328241 BHR262707:BHR328241 BRN262707:BRN328241 CBJ262707:CBJ328241 CLF262707:CLF328241 CVB262707:CVB328241 DEX262707:DEX328241 DOT262707:DOT328241 DYP262707:DYP328241 EIL262707:EIL328241 ESH262707:ESH328241 FCD262707:FCD328241 FLZ262707:FLZ328241 FVV262707:FVV328241 GFR262707:GFR328241 GPN262707:GPN328241 GZJ262707:GZJ328241 HJF262707:HJF328241 HTB262707:HTB328241 ICX262707:ICX328241 IMT262707:IMT328241 IWP262707:IWP328241 JGL262707:JGL328241 JQH262707:JQH328241 KAD262707:KAD328241 KJZ262707:KJZ328241 KTV262707:KTV328241 LDR262707:LDR328241 LNN262707:LNN328241 LXJ262707:LXJ328241 MHF262707:MHF328241 MRB262707:MRB328241 NAX262707:NAX328241 NKT262707:NKT328241 NUP262707:NUP328241 OEL262707:OEL328241 OOH262707:OOH328241 OYD262707:OYD328241 PHZ262707:PHZ328241 PRV262707:PRV328241 QBR262707:QBR328241 QLN262707:QLN328241 QVJ262707:QVJ328241 RFF262707:RFF328241 RPB262707:RPB328241 RYX262707:RYX328241 SIT262707:SIT328241 SSP262707:SSP328241 TCL262707:TCL328241 TMH262707:TMH328241 TWD262707:TWD328241 UFZ262707:UFZ328241 UPV262707:UPV328241 UZR262707:UZR328241 VJN262707:VJN328241 VTJ262707:VTJ328241 WDF262707:WDF328241 WNB262707:WNB328241 WWX262707:WWX328241 AP328243:AP393777 KL328243:KL393777 UH328243:UH393777 AED328243:AED393777 ANZ328243:ANZ393777 AXV328243:AXV393777 BHR328243:BHR393777 BRN328243:BRN393777 CBJ328243:CBJ393777 CLF328243:CLF393777 CVB328243:CVB393777 DEX328243:DEX393777 DOT328243:DOT393777 DYP328243:DYP393777 EIL328243:EIL393777 ESH328243:ESH393777 FCD328243:FCD393777 FLZ328243:FLZ393777 FVV328243:FVV393777 GFR328243:GFR393777 GPN328243:GPN393777 GZJ328243:GZJ393777 HJF328243:HJF393777 HTB328243:HTB393777 ICX328243:ICX393777 IMT328243:IMT393777 IWP328243:IWP393777 JGL328243:JGL393777 JQH328243:JQH393777 KAD328243:KAD393777 KJZ328243:KJZ393777 KTV328243:KTV393777 LDR328243:LDR393777 LNN328243:LNN393777 LXJ328243:LXJ393777 MHF328243:MHF393777 MRB328243:MRB393777 NAX328243:NAX393777 NKT328243:NKT393777 NUP328243:NUP393777 OEL328243:OEL393777 OOH328243:OOH393777 OYD328243:OYD393777 PHZ328243:PHZ393777 PRV328243:PRV393777 QBR328243:QBR393777 QLN328243:QLN393777 QVJ328243:QVJ393777 RFF328243:RFF393777 RPB328243:RPB393777 RYX328243:RYX393777 SIT328243:SIT393777 SSP328243:SSP393777 TCL328243:TCL393777 TMH328243:TMH393777 TWD328243:TWD393777 UFZ328243:UFZ393777 UPV328243:UPV393777 UZR328243:UZR393777 VJN328243:VJN393777 VTJ328243:VTJ393777 WDF328243:WDF393777 WNB328243:WNB393777 WWX328243:WWX393777 AP393779:AP459313 KL393779:KL459313 UH393779:UH459313 AED393779:AED459313 ANZ393779:ANZ459313 AXV393779:AXV459313 BHR393779:BHR459313 BRN393779:BRN459313 CBJ393779:CBJ459313 CLF393779:CLF459313 CVB393779:CVB459313 DEX393779:DEX459313 DOT393779:DOT459313 DYP393779:DYP459313 EIL393779:EIL459313 ESH393779:ESH459313 FCD393779:FCD459313 FLZ393779:FLZ459313 FVV393779:FVV459313 GFR393779:GFR459313 GPN393779:GPN459313 GZJ393779:GZJ459313 HJF393779:HJF459313 HTB393779:HTB459313 ICX393779:ICX459313 IMT393779:IMT459313 IWP393779:IWP459313 JGL393779:JGL459313 JQH393779:JQH459313 KAD393779:KAD459313 KJZ393779:KJZ459313 KTV393779:KTV459313 LDR393779:LDR459313 LNN393779:LNN459313 LXJ393779:LXJ459313 MHF393779:MHF459313 MRB393779:MRB459313 NAX393779:NAX459313 NKT393779:NKT459313 NUP393779:NUP459313 OEL393779:OEL459313 OOH393779:OOH459313 OYD393779:OYD459313 PHZ393779:PHZ459313 PRV393779:PRV459313 QBR393779:QBR459313 QLN393779:QLN459313 QVJ393779:QVJ459313 RFF393779:RFF459313 RPB393779:RPB459313 RYX393779:RYX459313 SIT393779:SIT459313 SSP393779:SSP459313 TCL393779:TCL459313 TMH393779:TMH459313 TWD393779:TWD459313 UFZ393779:UFZ459313 UPV393779:UPV459313 UZR393779:UZR459313 VJN393779:VJN459313 VTJ393779:VTJ459313 WDF393779:WDF459313 WNB393779:WNB459313 WWX393779:WWX459313 AP459315:AP524849 KL459315:KL524849 UH459315:UH524849 AED459315:AED524849 ANZ459315:ANZ524849 AXV459315:AXV524849 BHR459315:BHR524849 BRN459315:BRN524849 CBJ459315:CBJ524849 CLF459315:CLF524849 CVB459315:CVB524849 DEX459315:DEX524849 DOT459315:DOT524849 DYP459315:DYP524849 EIL459315:EIL524849 ESH459315:ESH524849 FCD459315:FCD524849 FLZ459315:FLZ524849 FVV459315:FVV524849 GFR459315:GFR524849 GPN459315:GPN524849 GZJ459315:GZJ524849 HJF459315:HJF524849 HTB459315:HTB524849 ICX459315:ICX524849 IMT459315:IMT524849 IWP459315:IWP524849 JGL459315:JGL524849 JQH459315:JQH524849 KAD459315:KAD524849 KJZ459315:KJZ524849 KTV459315:KTV524849 LDR459315:LDR524849 LNN459315:LNN524849 LXJ459315:LXJ524849 MHF459315:MHF524849 MRB459315:MRB524849 NAX459315:NAX524849 NKT459315:NKT524849 NUP459315:NUP524849 OEL459315:OEL524849 OOH459315:OOH524849 OYD459315:OYD524849 PHZ459315:PHZ524849 PRV459315:PRV524849 QBR459315:QBR524849 QLN459315:QLN524849 QVJ459315:QVJ524849 RFF459315:RFF524849 RPB459315:RPB524849 RYX459315:RYX524849 SIT459315:SIT524849 SSP459315:SSP524849 TCL459315:TCL524849 TMH459315:TMH524849 TWD459315:TWD524849 UFZ459315:UFZ524849 UPV459315:UPV524849 UZR459315:UZR524849 VJN459315:VJN524849 VTJ459315:VTJ524849 WDF459315:WDF524849 WNB459315:WNB524849 WWX459315:WWX524849 AP524851:AP590385 KL524851:KL590385 UH524851:UH590385 AED524851:AED590385 ANZ524851:ANZ590385 AXV524851:AXV590385 BHR524851:BHR590385 BRN524851:BRN590385 CBJ524851:CBJ590385 CLF524851:CLF590385 CVB524851:CVB590385 DEX524851:DEX590385 DOT524851:DOT590385 DYP524851:DYP590385 EIL524851:EIL590385 ESH524851:ESH590385 FCD524851:FCD590385 FLZ524851:FLZ590385 FVV524851:FVV590385 GFR524851:GFR590385 GPN524851:GPN590385 GZJ524851:GZJ590385 HJF524851:HJF590385 HTB524851:HTB590385 ICX524851:ICX590385 IMT524851:IMT590385 IWP524851:IWP590385 JGL524851:JGL590385 JQH524851:JQH590385 KAD524851:KAD590385 KJZ524851:KJZ590385 KTV524851:KTV590385 LDR524851:LDR590385 LNN524851:LNN590385 LXJ524851:LXJ590385 MHF524851:MHF590385 MRB524851:MRB590385 NAX524851:NAX590385 NKT524851:NKT590385 NUP524851:NUP590385 OEL524851:OEL590385 OOH524851:OOH590385 OYD524851:OYD590385 PHZ524851:PHZ590385 PRV524851:PRV590385 QBR524851:QBR590385 QLN524851:QLN590385 QVJ524851:QVJ590385 RFF524851:RFF590385 RPB524851:RPB590385 RYX524851:RYX590385 SIT524851:SIT590385 SSP524851:SSP590385 TCL524851:TCL590385 TMH524851:TMH590385 TWD524851:TWD590385 UFZ524851:UFZ590385 UPV524851:UPV590385 UZR524851:UZR590385 VJN524851:VJN590385 VTJ524851:VTJ590385 WDF524851:WDF590385 WNB524851:WNB590385 WWX524851:WWX590385 AP590387:AP655921 KL590387:KL655921 UH590387:UH655921 AED590387:AED655921 ANZ590387:ANZ655921 AXV590387:AXV655921 BHR590387:BHR655921 BRN590387:BRN655921 CBJ590387:CBJ655921 CLF590387:CLF655921 CVB590387:CVB655921 DEX590387:DEX655921 DOT590387:DOT655921 DYP590387:DYP655921 EIL590387:EIL655921 ESH590387:ESH655921 FCD590387:FCD655921 FLZ590387:FLZ655921 FVV590387:FVV655921 GFR590387:GFR655921 GPN590387:GPN655921 GZJ590387:GZJ655921 HJF590387:HJF655921 HTB590387:HTB655921 ICX590387:ICX655921 IMT590387:IMT655921 IWP590387:IWP655921 JGL590387:JGL655921 JQH590387:JQH655921 KAD590387:KAD655921 KJZ590387:KJZ655921 KTV590387:KTV655921 LDR590387:LDR655921 LNN590387:LNN655921 LXJ590387:LXJ655921 MHF590387:MHF655921 MRB590387:MRB655921 NAX590387:NAX655921 NKT590387:NKT655921 NUP590387:NUP655921 OEL590387:OEL655921 OOH590387:OOH655921 OYD590387:OYD655921 PHZ590387:PHZ655921 PRV590387:PRV655921 QBR590387:QBR655921 QLN590387:QLN655921 QVJ590387:QVJ655921 RFF590387:RFF655921 RPB590387:RPB655921 RYX590387:RYX655921 SIT590387:SIT655921 SSP590387:SSP655921 TCL590387:TCL655921 TMH590387:TMH655921 TWD590387:TWD655921 UFZ590387:UFZ655921 UPV590387:UPV655921 UZR590387:UZR655921 VJN590387:VJN655921 VTJ590387:VTJ655921 WDF590387:WDF655921 WNB590387:WNB655921 WWX590387:WWX655921 AP655923:AP721457 KL655923:KL721457 UH655923:UH721457 AED655923:AED721457 ANZ655923:ANZ721457 AXV655923:AXV721457 BHR655923:BHR721457 BRN655923:BRN721457 CBJ655923:CBJ721457 CLF655923:CLF721457 CVB655923:CVB721457 DEX655923:DEX721457 DOT655923:DOT721457 DYP655923:DYP721457 EIL655923:EIL721457 ESH655923:ESH721457 FCD655923:FCD721457 FLZ655923:FLZ721457 FVV655923:FVV721457 GFR655923:GFR721457 GPN655923:GPN721457 GZJ655923:GZJ721457 HJF655923:HJF721457 HTB655923:HTB721457 ICX655923:ICX721457 IMT655923:IMT721457 IWP655923:IWP721457 JGL655923:JGL721457 JQH655923:JQH721457 KAD655923:KAD721457 KJZ655923:KJZ721457 KTV655923:KTV721457 LDR655923:LDR721457 LNN655923:LNN721457 LXJ655923:LXJ721457 MHF655923:MHF721457 MRB655923:MRB721457 NAX655923:NAX721457 NKT655923:NKT721457 NUP655923:NUP721457 OEL655923:OEL721457 OOH655923:OOH721457 OYD655923:OYD721457 PHZ655923:PHZ721457 PRV655923:PRV721457 QBR655923:QBR721457 QLN655923:QLN721457 QVJ655923:QVJ721457 RFF655923:RFF721457 RPB655923:RPB721457 RYX655923:RYX721457 SIT655923:SIT721457 SSP655923:SSP721457 TCL655923:TCL721457 TMH655923:TMH721457 TWD655923:TWD721457 UFZ655923:UFZ721457 UPV655923:UPV721457 UZR655923:UZR721457 VJN655923:VJN721457 VTJ655923:VTJ721457 WDF655923:WDF721457 WNB655923:WNB721457 WWX655923:WWX721457 AP721459:AP786993 KL721459:KL786993 UH721459:UH786993 AED721459:AED786993 ANZ721459:ANZ786993 AXV721459:AXV786993 BHR721459:BHR786993 BRN721459:BRN786993 CBJ721459:CBJ786993 CLF721459:CLF786993 CVB721459:CVB786993 DEX721459:DEX786993 DOT721459:DOT786993 DYP721459:DYP786993 EIL721459:EIL786993 ESH721459:ESH786993 FCD721459:FCD786993 FLZ721459:FLZ786993 FVV721459:FVV786993 GFR721459:GFR786993 GPN721459:GPN786993 GZJ721459:GZJ786993 HJF721459:HJF786993 HTB721459:HTB786993 ICX721459:ICX786993 IMT721459:IMT786993 IWP721459:IWP786993 JGL721459:JGL786993 JQH721459:JQH786993 KAD721459:KAD786993 KJZ721459:KJZ786993 KTV721459:KTV786993 LDR721459:LDR786993 LNN721459:LNN786993 LXJ721459:LXJ786993 MHF721459:MHF786993 MRB721459:MRB786993 NAX721459:NAX786993 NKT721459:NKT786993 NUP721459:NUP786993 OEL721459:OEL786993 OOH721459:OOH786993 OYD721459:OYD786993 PHZ721459:PHZ786993 PRV721459:PRV786993 QBR721459:QBR786993 QLN721459:QLN786993 QVJ721459:QVJ786993 RFF721459:RFF786993 RPB721459:RPB786993 RYX721459:RYX786993 SIT721459:SIT786993 SSP721459:SSP786993 TCL721459:TCL786993 TMH721459:TMH786993 TWD721459:TWD786993 UFZ721459:UFZ786993 UPV721459:UPV786993 UZR721459:UZR786993 VJN721459:VJN786993 VTJ721459:VTJ786993 WDF721459:WDF786993 WNB721459:WNB786993 WWX721459:WWX786993 AP786995:AP852529 KL786995:KL852529 UH786995:UH852529 AED786995:AED852529 ANZ786995:ANZ852529 AXV786995:AXV852529 BHR786995:BHR852529 BRN786995:BRN852529 CBJ786995:CBJ852529 CLF786995:CLF852529 CVB786995:CVB852529 DEX786995:DEX852529 DOT786995:DOT852529 DYP786995:DYP852529 EIL786995:EIL852529 ESH786995:ESH852529 FCD786995:FCD852529 FLZ786995:FLZ852529 FVV786995:FVV852529 GFR786995:GFR852529 GPN786995:GPN852529 GZJ786995:GZJ852529 HJF786995:HJF852529 HTB786995:HTB852529 ICX786995:ICX852529 IMT786995:IMT852529 IWP786995:IWP852529 JGL786995:JGL852529 JQH786995:JQH852529 KAD786995:KAD852529 KJZ786995:KJZ852529 KTV786995:KTV852529 LDR786995:LDR852529 LNN786995:LNN852529 LXJ786995:LXJ852529 MHF786995:MHF852529 MRB786995:MRB852529 NAX786995:NAX852529 NKT786995:NKT852529 NUP786995:NUP852529 OEL786995:OEL852529 OOH786995:OOH852529 OYD786995:OYD852529 PHZ786995:PHZ852529 PRV786995:PRV852529 QBR786995:QBR852529 QLN786995:QLN852529 QVJ786995:QVJ852529 RFF786995:RFF852529 RPB786995:RPB852529 RYX786995:RYX852529 SIT786995:SIT852529 SSP786995:SSP852529 TCL786995:TCL852529 TMH786995:TMH852529 TWD786995:TWD852529 UFZ786995:UFZ852529 UPV786995:UPV852529 UZR786995:UZR852529 VJN786995:VJN852529 VTJ786995:VTJ852529 WDF786995:WDF852529 WNB786995:WNB852529 WWX786995:WWX852529 AP852531:AP918065 KL852531:KL918065 UH852531:UH918065 AED852531:AED918065 ANZ852531:ANZ918065 AXV852531:AXV918065 BHR852531:BHR918065 BRN852531:BRN918065 CBJ852531:CBJ918065 CLF852531:CLF918065 CVB852531:CVB918065 DEX852531:DEX918065 DOT852531:DOT918065 DYP852531:DYP918065 EIL852531:EIL918065 ESH852531:ESH918065 FCD852531:FCD918065 FLZ852531:FLZ918065 FVV852531:FVV918065 GFR852531:GFR918065 GPN852531:GPN918065 GZJ852531:GZJ918065 HJF852531:HJF918065 HTB852531:HTB918065 ICX852531:ICX918065 IMT852531:IMT918065 IWP852531:IWP918065 JGL852531:JGL918065 JQH852531:JQH918065 KAD852531:KAD918065 KJZ852531:KJZ918065 KTV852531:KTV918065 LDR852531:LDR918065 LNN852531:LNN918065 LXJ852531:LXJ918065 MHF852531:MHF918065 MRB852531:MRB918065 NAX852531:NAX918065 NKT852531:NKT918065 NUP852531:NUP918065 OEL852531:OEL918065 OOH852531:OOH918065 OYD852531:OYD918065 PHZ852531:PHZ918065 PRV852531:PRV918065 QBR852531:QBR918065 QLN852531:QLN918065 QVJ852531:QVJ918065 RFF852531:RFF918065 RPB852531:RPB918065 RYX852531:RYX918065 SIT852531:SIT918065 SSP852531:SSP918065 TCL852531:TCL918065 TMH852531:TMH918065 TWD852531:TWD918065 UFZ852531:UFZ918065 UPV852531:UPV918065 UZR852531:UZR918065 VJN852531:VJN918065 VTJ852531:VTJ918065 WDF852531:WDF918065 WNB852531:WNB918065 WWX852531:WWX918065 AP918067:AP983601 KL918067:KL983601 UH918067:UH983601 AED918067:AED983601 ANZ918067:ANZ983601 AXV918067:AXV983601 BHR918067:BHR983601 BRN918067:BRN983601 CBJ918067:CBJ983601 CLF918067:CLF983601 CVB918067:CVB983601 DEX918067:DEX983601 DOT918067:DOT983601 DYP918067:DYP983601 EIL918067:EIL983601 ESH918067:ESH983601 FCD918067:FCD983601 FLZ918067:FLZ983601 FVV918067:FVV983601 GFR918067:GFR983601 GPN918067:GPN983601 GZJ918067:GZJ983601 HJF918067:HJF983601 HTB918067:HTB983601 ICX918067:ICX983601 IMT918067:IMT983601 IWP918067:IWP983601 JGL918067:JGL983601 JQH918067:JQH983601 KAD918067:KAD983601 KJZ918067:KJZ983601 KTV918067:KTV983601 LDR918067:LDR983601 LNN918067:LNN983601 LXJ918067:LXJ983601 MHF918067:MHF983601 MRB918067:MRB983601 NAX918067:NAX983601 NKT918067:NKT983601 NUP918067:NUP983601 OEL918067:OEL983601 OOH918067:OOH983601 OYD918067:OYD983601 PHZ918067:PHZ983601 PRV918067:PRV983601 QBR918067:QBR983601 QLN918067:QLN983601 QVJ918067:QVJ983601 RFF918067:RFF983601 RPB918067:RPB983601 RYX918067:RYX983601 SIT918067:SIT983601 SSP918067:SSP983601 TCL918067:TCL983601 TMH918067:TMH983601 TWD918067:TWD983601 UFZ918067:UFZ983601 UPV918067:UPV983601 UZR918067:UZR983601 VJN918067:VJN983601 VTJ918067:VTJ983601 WDF918067:WDF983601 WNB918067:WNB983601 WWX918067:WWX983601 AP983603:AP1048576 KL983603:KL1048576 UH983603:UH1048576 AED983603:AED1048576 ANZ983603:ANZ1048576 AXV983603:AXV1048576 BHR983603:BHR1048576 BRN983603:BRN1048576 CBJ983603:CBJ1048576 CLF983603:CLF1048576 CVB983603:CVB1048576 DEX983603:DEX1048576 DOT983603:DOT1048576 DYP983603:DYP1048576 EIL983603:EIL1048576 ESH983603:ESH1048576 FCD983603:FCD1048576 FLZ983603:FLZ1048576 FVV983603:FVV1048576 GFR983603:GFR1048576 GPN983603:GPN1048576 GZJ983603:GZJ1048576 HJF983603:HJF1048576 HTB983603:HTB1048576 ICX983603:ICX1048576 IMT983603:IMT1048576 IWP983603:IWP1048576 JGL983603:JGL1048576 JQH983603:JQH1048576 KAD983603:KAD1048576 KJZ983603:KJZ1048576 KTV983603:KTV1048576 LDR983603:LDR1048576 LNN983603:LNN1048576 LXJ983603:LXJ1048576 MHF983603:MHF1048576 MRB983603:MRB1048576 NAX983603:NAX1048576 NKT983603:NKT1048576 NUP983603:NUP1048576 OEL983603:OEL1048576 OOH983603:OOH1048576 OYD983603:OYD1048576 PHZ983603:PHZ1048576 PRV983603:PRV1048576 QBR983603:QBR1048576 QLN983603:QLN1048576 QVJ983603:QVJ1048576 RFF983603:RFF1048576 RPB983603:RPB1048576 RYX983603:RYX1048576 SIT983603:SIT1048576 SSP983603:SSP1048576 TCL983603:TCL1048576 TMH983603:TMH1048576 TWD983603:TWD1048576 UFZ983603:UFZ1048576 UPV983603:UPV1048576 UZR983603:UZR1048576 VJN983603:VJN1048576 VTJ983603:VTJ1048576 WDF983603:WDF1048576 WNB983603:WNB1048576 WWX983603:WWX1048576</xm:sqref>
        </x14:dataValidation>
        <x14:dataValidation type="list" allowBlank="1" showInputMessage="1" showErrorMessage="1">
          <x14:formula1>
            <xm:f>[3]基础信息!#REF!</xm:f>
          </x14:formula1>
          <xm:sqref>AD2:AD561 JZ2:JZ561 TV2:TV561 ADR2:ADR561 ANN2:ANN561 AXJ2:AXJ561 BHF2:BHF561 BRB2:BRB561 CAX2:CAX561 CKT2:CKT561 CUP2:CUP561 DEL2:DEL561 DOH2:DOH561 DYD2:DYD561 EHZ2:EHZ561 ERV2:ERV561 FBR2:FBR561 FLN2:FLN561 FVJ2:FVJ561 GFF2:GFF561 GPB2:GPB561 GYX2:GYX561 HIT2:HIT561 HSP2:HSP561 ICL2:ICL561 IMH2:IMH561 IWD2:IWD561 JFZ2:JFZ561 JPV2:JPV561 JZR2:JZR561 KJN2:KJN561 KTJ2:KTJ561 LDF2:LDF561 LNB2:LNB561 LWX2:LWX561 MGT2:MGT561 MQP2:MQP561 NAL2:NAL561 NKH2:NKH561 NUD2:NUD561 ODZ2:ODZ561 ONV2:ONV561 OXR2:OXR561 PHN2:PHN561 PRJ2:PRJ561 QBF2:QBF561 QLB2:QLB561 QUX2:QUX561 RET2:RET561 ROP2:ROP561 RYL2:RYL561 SIH2:SIH561 SSD2:SSD561 TBZ2:TBZ561 TLV2:TLV561 TVR2:TVR561 UFN2:UFN561 UPJ2:UPJ561 UZF2:UZF561 VJB2:VJB561 VSX2:VSX561 WCT2:WCT561 WMP2:WMP561 WWL2:WWL561 AD65538:AD66097 JZ65538:JZ66097 TV65538:TV66097 ADR65538:ADR66097 ANN65538:ANN66097 AXJ65538:AXJ66097 BHF65538:BHF66097 BRB65538:BRB66097 CAX65538:CAX66097 CKT65538:CKT66097 CUP65538:CUP66097 DEL65538:DEL66097 DOH65538:DOH66097 DYD65538:DYD66097 EHZ65538:EHZ66097 ERV65538:ERV66097 FBR65538:FBR66097 FLN65538:FLN66097 FVJ65538:FVJ66097 GFF65538:GFF66097 GPB65538:GPB66097 GYX65538:GYX66097 HIT65538:HIT66097 HSP65538:HSP66097 ICL65538:ICL66097 IMH65538:IMH66097 IWD65538:IWD66097 JFZ65538:JFZ66097 JPV65538:JPV66097 JZR65538:JZR66097 KJN65538:KJN66097 KTJ65538:KTJ66097 LDF65538:LDF66097 LNB65538:LNB66097 LWX65538:LWX66097 MGT65538:MGT66097 MQP65538:MQP66097 NAL65538:NAL66097 NKH65538:NKH66097 NUD65538:NUD66097 ODZ65538:ODZ66097 ONV65538:ONV66097 OXR65538:OXR66097 PHN65538:PHN66097 PRJ65538:PRJ66097 QBF65538:QBF66097 QLB65538:QLB66097 QUX65538:QUX66097 RET65538:RET66097 ROP65538:ROP66097 RYL65538:RYL66097 SIH65538:SIH66097 SSD65538:SSD66097 TBZ65538:TBZ66097 TLV65538:TLV66097 TVR65538:TVR66097 UFN65538:UFN66097 UPJ65538:UPJ66097 UZF65538:UZF66097 VJB65538:VJB66097 VSX65538:VSX66097 WCT65538:WCT66097 WMP65538:WMP66097 WWL65538:WWL66097 AD131074:AD131633 JZ131074:JZ131633 TV131074:TV131633 ADR131074:ADR131633 ANN131074:ANN131633 AXJ131074:AXJ131633 BHF131074:BHF131633 BRB131074:BRB131633 CAX131074:CAX131633 CKT131074:CKT131633 CUP131074:CUP131633 DEL131074:DEL131633 DOH131074:DOH131633 DYD131074:DYD131633 EHZ131074:EHZ131633 ERV131074:ERV131633 FBR131074:FBR131633 FLN131074:FLN131633 FVJ131074:FVJ131633 GFF131074:GFF131633 GPB131074:GPB131633 GYX131074:GYX131633 HIT131074:HIT131633 HSP131074:HSP131633 ICL131074:ICL131633 IMH131074:IMH131633 IWD131074:IWD131633 JFZ131074:JFZ131633 JPV131074:JPV131633 JZR131074:JZR131633 KJN131074:KJN131633 KTJ131074:KTJ131633 LDF131074:LDF131633 LNB131074:LNB131633 LWX131074:LWX131633 MGT131074:MGT131633 MQP131074:MQP131633 NAL131074:NAL131633 NKH131074:NKH131633 NUD131074:NUD131633 ODZ131074:ODZ131633 ONV131074:ONV131633 OXR131074:OXR131633 PHN131074:PHN131633 PRJ131074:PRJ131633 QBF131074:QBF131633 QLB131074:QLB131633 QUX131074:QUX131633 RET131074:RET131633 ROP131074:ROP131633 RYL131074:RYL131633 SIH131074:SIH131633 SSD131074:SSD131633 TBZ131074:TBZ131633 TLV131074:TLV131633 TVR131074:TVR131633 UFN131074:UFN131633 UPJ131074:UPJ131633 UZF131074:UZF131633 VJB131074:VJB131633 VSX131074:VSX131633 WCT131074:WCT131633 WMP131074:WMP131633 WWL131074:WWL131633 AD196610:AD197169 JZ196610:JZ197169 TV196610:TV197169 ADR196610:ADR197169 ANN196610:ANN197169 AXJ196610:AXJ197169 BHF196610:BHF197169 BRB196610:BRB197169 CAX196610:CAX197169 CKT196610:CKT197169 CUP196610:CUP197169 DEL196610:DEL197169 DOH196610:DOH197169 DYD196610:DYD197169 EHZ196610:EHZ197169 ERV196610:ERV197169 FBR196610:FBR197169 FLN196610:FLN197169 FVJ196610:FVJ197169 GFF196610:GFF197169 GPB196610:GPB197169 GYX196610:GYX197169 HIT196610:HIT197169 HSP196610:HSP197169 ICL196610:ICL197169 IMH196610:IMH197169 IWD196610:IWD197169 JFZ196610:JFZ197169 JPV196610:JPV197169 JZR196610:JZR197169 KJN196610:KJN197169 KTJ196610:KTJ197169 LDF196610:LDF197169 LNB196610:LNB197169 LWX196610:LWX197169 MGT196610:MGT197169 MQP196610:MQP197169 NAL196610:NAL197169 NKH196610:NKH197169 NUD196610:NUD197169 ODZ196610:ODZ197169 ONV196610:ONV197169 OXR196610:OXR197169 PHN196610:PHN197169 PRJ196610:PRJ197169 QBF196610:QBF197169 QLB196610:QLB197169 QUX196610:QUX197169 RET196610:RET197169 ROP196610:ROP197169 RYL196610:RYL197169 SIH196610:SIH197169 SSD196610:SSD197169 TBZ196610:TBZ197169 TLV196610:TLV197169 TVR196610:TVR197169 UFN196610:UFN197169 UPJ196610:UPJ197169 UZF196610:UZF197169 VJB196610:VJB197169 VSX196610:VSX197169 WCT196610:WCT197169 WMP196610:WMP197169 WWL196610:WWL197169 AD262146:AD262705 JZ262146:JZ262705 TV262146:TV262705 ADR262146:ADR262705 ANN262146:ANN262705 AXJ262146:AXJ262705 BHF262146:BHF262705 BRB262146:BRB262705 CAX262146:CAX262705 CKT262146:CKT262705 CUP262146:CUP262705 DEL262146:DEL262705 DOH262146:DOH262705 DYD262146:DYD262705 EHZ262146:EHZ262705 ERV262146:ERV262705 FBR262146:FBR262705 FLN262146:FLN262705 FVJ262146:FVJ262705 GFF262146:GFF262705 GPB262146:GPB262705 GYX262146:GYX262705 HIT262146:HIT262705 HSP262146:HSP262705 ICL262146:ICL262705 IMH262146:IMH262705 IWD262146:IWD262705 JFZ262146:JFZ262705 JPV262146:JPV262705 JZR262146:JZR262705 KJN262146:KJN262705 KTJ262146:KTJ262705 LDF262146:LDF262705 LNB262146:LNB262705 LWX262146:LWX262705 MGT262146:MGT262705 MQP262146:MQP262705 NAL262146:NAL262705 NKH262146:NKH262705 NUD262146:NUD262705 ODZ262146:ODZ262705 ONV262146:ONV262705 OXR262146:OXR262705 PHN262146:PHN262705 PRJ262146:PRJ262705 QBF262146:QBF262705 QLB262146:QLB262705 QUX262146:QUX262705 RET262146:RET262705 ROP262146:ROP262705 RYL262146:RYL262705 SIH262146:SIH262705 SSD262146:SSD262705 TBZ262146:TBZ262705 TLV262146:TLV262705 TVR262146:TVR262705 UFN262146:UFN262705 UPJ262146:UPJ262705 UZF262146:UZF262705 VJB262146:VJB262705 VSX262146:VSX262705 WCT262146:WCT262705 WMP262146:WMP262705 WWL262146:WWL262705 AD327682:AD328241 JZ327682:JZ328241 TV327682:TV328241 ADR327682:ADR328241 ANN327682:ANN328241 AXJ327682:AXJ328241 BHF327682:BHF328241 BRB327682:BRB328241 CAX327682:CAX328241 CKT327682:CKT328241 CUP327682:CUP328241 DEL327682:DEL328241 DOH327682:DOH328241 DYD327682:DYD328241 EHZ327682:EHZ328241 ERV327682:ERV328241 FBR327682:FBR328241 FLN327682:FLN328241 FVJ327682:FVJ328241 GFF327682:GFF328241 GPB327682:GPB328241 GYX327682:GYX328241 HIT327682:HIT328241 HSP327682:HSP328241 ICL327682:ICL328241 IMH327682:IMH328241 IWD327682:IWD328241 JFZ327682:JFZ328241 JPV327682:JPV328241 JZR327682:JZR328241 KJN327682:KJN328241 KTJ327682:KTJ328241 LDF327682:LDF328241 LNB327682:LNB328241 LWX327682:LWX328241 MGT327682:MGT328241 MQP327682:MQP328241 NAL327682:NAL328241 NKH327682:NKH328241 NUD327682:NUD328241 ODZ327682:ODZ328241 ONV327682:ONV328241 OXR327682:OXR328241 PHN327682:PHN328241 PRJ327682:PRJ328241 QBF327682:QBF328241 QLB327682:QLB328241 QUX327682:QUX328241 RET327682:RET328241 ROP327682:ROP328241 RYL327682:RYL328241 SIH327682:SIH328241 SSD327682:SSD328241 TBZ327682:TBZ328241 TLV327682:TLV328241 TVR327682:TVR328241 UFN327682:UFN328241 UPJ327682:UPJ328241 UZF327682:UZF328241 VJB327682:VJB328241 VSX327682:VSX328241 WCT327682:WCT328241 WMP327682:WMP328241 WWL327682:WWL328241 AD393218:AD393777 JZ393218:JZ393777 TV393218:TV393777 ADR393218:ADR393777 ANN393218:ANN393777 AXJ393218:AXJ393777 BHF393218:BHF393777 BRB393218:BRB393777 CAX393218:CAX393777 CKT393218:CKT393777 CUP393218:CUP393777 DEL393218:DEL393777 DOH393218:DOH393777 DYD393218:DYD393777 EHZ393218:EHZ393777 ERV393218:ERV393777 FBR393218:FBR393777 FLN393218:FLN393777 FVJ393218:FVJ393777 GFF393218:GFF393777 GPB393218:GPB393777 GYX393218:GYX393777 HIT393218:HIT393777 HSP393218:HSP393777 ICL393218:ICL393777 IMH393218:IMH393777 IWD393218:IWD393777 JFZ393218:JFZ393777 JPV393218:JPV393777 JZR393218:JZR393777 KJN393218:KJN393777 KTJ393218:KTJ393777 LDF393218:LDF393777 LNB393218:LNB393777 LWX393218:LWX393777 MGT393218:MGT393777 MQP393218:MQP393777 NAL393218:NAL393777 NKH393218:NKH393777 NUD393218:NUD393777 ODZ393218:ODZ393777 ONV393218:ONV393777 OXR393218:OXR393777 PHN393218:PHN393777 PRJ393218:PRJ393777 QBF393218:QBF393777 QLB393218:QLB393777 QUX393218:QUX393777 RET393218:RET393777 ROP393218:ROP393777 RYL393218:RYL393777 SIH393218:SIH393777 SSD393218:SSD393777 TBZ393218:TBZ393777 TLV393218:TLV393777 TVR393218:TVR393777 UFN393218:UFN393777 UPJ393218:UPJ393777 UZF393218:UZF393777 VJB393218:VJB393777 VSX393218:VSX393777 WCT393218:WCT393777 WMP393218:WMP393777 WWL393218:WWL393777 AD458754:AD459313 JZ458754:JZ459313 TV458754:TV459313 ADR458754:ADR459313 ANN458754:ANN459313 AXJ458754:AXJ459313 BHF458754:BHF459313 BRB458754:BRB459313 CAX458754:CAX459313 CKT458754:CKT459313 CUP458754:CUP459313 DEL458754:DEL459313 DOH458754:DOH459313 DYD458754:DYD459313 EHZ458754:EHZ459313 ERV458754:ERV459313 FBR458754:FBR459313 FLN458754:FLN459313 FVJ458754:FVJ459313 GFF458754:GFF459313 GPB458754:GPB459313 GYX458754:GYX459313 HIT458754:HIT459313 HSP458754:HSP459313 ICL458754:ICL459313 IMH458754:IMH459313 IWD458754:IWD459313 JFZ458754:JFZ459313 JPV458754:JPV459313 JZR458754:JZR459313 KJN458754:KJN459313 KTJ458754:KTJ459313 LDF458754:LDF459313 LNB458754:LNB459313 LWX458754:LWX459313 MGT458754:MGT459313 MQP458754:MQP459313 NAL458754:NAL459313 NKH458754:NKH459313 NUD458754:NUD459313 ODZ458754:ODZ459313 ONV458754:ONV459313 OXR458754:OXR459313 PHN458754:PHN459313 PRJ458754:PRJ459313 QBF458754:QBF459313 QLB458754:QLB459313 QUX458754:QUX459313 RET458754:RET459313 ROP458754:ROP459313 RYL458754:RYL459313 SIH458754:SIH459313 SSD458754:SSD459313 TBZ458754:TBZ459313 TLV458754:TLV459313 TVR458754:TVR459313 UFN458754:UFN459313 UPJ458754:UPJ459313 UZF458754:UZF459313 VJB458754:VJB459313 VSX458754:VSX459313 WCT458754:WCT459313 WMP458754:WMP459313 WWL458754:WWL459313 AD524290:AD524849 JZ524290:JZ524849 TV524290:TV524849 ADR524290:ADR524849 ANN524290:ANN524849 AXJ524290:AXJ524849 BHF524290:BHF524849 BRB524290:BRB524849 CAX524290:CAX524849 CKT524290:CKT524849 CUP524290:CUP524849 DEL524290:DEL524849 DOH524290:DOH524849 DYD524290:DYD524849 EHZ524290:EHZ524849 ERV524290:ERV524849 FBR524290:FBR524849 FLN524290:FLN524849 FVJ524290:FVJ524849 GFF524290:GFF524849 GPB524290:GPB524849 GYX524290:GYX524849 HIT524290:HIT524849 HSP524290:HSP524849 ICL524290:ICL524849 IMH524290:IMH524849 IWD524290:IWD524849 JFZ524290:JFZ524849 JPV524290:JPV524849 JZR524290:JZR524849 KJN524290:KJN524849 KTJ524290:KTJ524849 LDF524290:LDF524849 LNB524290:LNB524849 LWX524290:LWX524849 MGT524290:MGT524849 MQP524290:MQP524849 NAL524290:NAL524849 NKH524290:NKH524849 NUD524290:NUD524849 ODZ524290:ODZ524849 ONV524290:ONV524849 OXR524290:OXR524849 PHN524290:PHN524849 PRJ524290:PRJ524849 QBF524290:QBF524849 QLB524290:QLB524849 QUX524290:QUX524849 RET524290:RET524849 ROP524290:ROP524849 RYL524290:RYL524849 SIH524290:SIH524849 SSD524290:SSD524849 TBZ524290:TBZ524849 TLV524290:TLV524849 TVR524290:TVR524849 UFN524290:UFN524849 UPJ524290:UPJ524849 UZF524290:UZF524849 VJB524290:VJB524849 VSX524290:VSX524849 WCT524290:WCT524849 WMP524290:WMP524849 WWL524290:WWL524849 AD589826:AD590385 JZ589826:JZ590385 TV589826:TV590385 ADR589826:ADR590385 ANN589826:ANN590385 AXJ589826:AXJ590385 BHF589826:BHF590385 BRB589826:BRB590385 CAX589826:CAX590385 CKT589826:CKT590385 CUP589826:CUP590385 DEL589826:DEL590385 DOH589826:DOH590385 DYD589826:DYD590385 EHZ589826:EHZ590385 ERV589826:ERV590385 FBR589826:FBR590385 FLN589826:FLN590385 FVJ589826:FVJ590385 GFF589826:GFF590385 GPB589826:GPB590385 GYX589826:GYX590385 HIT589826:HIT590385 HSP589826:HSP590385 ICL589826:ICL590385 IMH589826:IMH590385 IWD589826:IWD590385 JFZ589826:JFZ590385 JPV589826:JPV590385 JZR589826:JZR590385 KJN589826:KJN590385 KTJ589826:KTJ590385 LDF589826:LDF590385 LNB589826:LNB590385 LWX589826:LWX590385 MGT589826:MGT590385 MQP589826:MQP590385 NAL589826:NAL590385 NKH589826:NKH590385 NUD589826:NUD590385 ODZ589826:ODZ590385 ONV589826:ONV590385 OXR589826:OXR590385 PHN589826:PHN590385 PRJ589826:PRJ590385 QBF589826:QBF590385 QLB589826:QLB590385 QUX589826:QUX590385 RET589826:RET590385 ROP589826:ROP590385 RYL589826:RYL590385 SIH589826:SIH590385 SSD589826:SSD590385 TBZ589826:TBZ590385 TLV589826:TLV590385 TVR589826:TVR590385 UFN589826:UFN590385 UPJ589826:UPJ590385 UZF589826:UZF590385 VJB589826:VJB590385 VSX589826:VSX590385 WCT589826:WCT590385 WMP589826:WMP590385 WWL589826:WWL590385 AD655362:AD655921 JZ655362:JZ655921 TV655362:TV655921 ADR655362:ADR655921 ANN655362:ANN655921 AXJ655362:AXJ655921 BHF655362:BHF655921 BRB655362:BRB655921 CAX655362:CAX655921 CKT655362:CKT655921 CUP655362:CUP655921 DEL655362:DEL655921 DOH655362:DOH655921 DYD655362:DYD655921 EHZ655362:EHZ655921 ERV655362:ERV655921 FBR655362:FBR655921 FLN655362:FLN655921 FVJ655362:FVJ655921 GFF655362:GFF655921 GPB655362:GPB655921 GYX655362:GYX655921 HIT655362:HIT655921 HSP655362:HSP655921 ICL655362:ICL655921 IMH655362:IMH655921 IWD655362:IWD655921 JFZ655362:JFZ655921 JPV655362:JPV655921 JZR655362:JZR655921 KJN655362:KJN655921 KTJ655362:KTJ655921 LDF655362:LDF655921 LNB655362:LNB655921 LWX655362:LWX655921 MGT655362:MGT655921 MQP655362:MQP655921 NAL655362:NAL655921 NKH655362:NKH655921 NUD655362:NUD655921 ODZ655362:ODZ655921 ONV655362:ONV655921 OXR655362:OXR655921 PHN655362:PHN655921 PRJ655362:PRJ655921 QBF655362:QBF655921 QLB655362:QLB655921 QUX655362:QUX655921 RET655362:RET655921 ROP655362:ROP655921 RYL655362:RYL655921 SIH655362:SIH655921 SSD655362:SSD655921 TBZ655362:TBZ655921 TLV655362:TLV655921 TVR655362:TVR655921 UFN655362:UFN655921 UPJ655362:UPJ655921 UZF655362:UZF655921 VJB655362:VJB655921 VSX655362:VSX655921 WCT655362:WCT655921 WMP655362:WMP655921 WWL655362:WWL655921 AD720898:AD721457 JZ720898:JZ721457 TV720898:TV721457 ADR720898:ADR721457 ANN720898:ANN721457 AXJ720898:AXJ721457 BHF720898:BHF721457 BRB720898:BRB721457 CAX720898:CAX721457 CKT720898:CKT721457 CUP720898:CUP721457 DEL720898:DEL721457 DOH720898:DOH721457 DYD720898:DYD721457 EHZ720898:EHZ721457 ERV720898:ERV721457 FBR720898:FBR721457 FLN720898:FLN721457 FVJ720898:FVJ721457 GFF720898:GFF721457 GPB720898:GPB721457 GYX720898:GYX721457 HIT720898:HIT721457 HSP720898:HSP721457 ICL720898:ICL721457 IMH720898:IMH721457 IWD720898:IWD721457 JFZ720898:JFZ721457 JPV720898:JPV721457 JZR720898:JZR721457 KJN720898:KJN721457 KTJ720898:KTJ721457 LDF720898:LDF721457 LNB720898:LNB721457 LWX720898:LWX721457 MGT720898:MGT721457 MQP720898:MQP721457 NAL720898:NAL721457 NKH720898:NKH721457 NUD720898:NUD721457 ODZ720898:ODZ721457 ONV720898:ONV721457 OXR720898:OXR721457 PHN720898:PHN721457 PRJ720898:PRJ721457 QBF720898:QBF721457 QLB720898:QLB721457 QUX720898:QUX721457 RET720898:RET721457 ROP720898:ROP721457 RYL720898:RYL721457 SIH720898:SIH721457 SSD720898:SSD721457 TBZ720898:TBZ721457 TLV720898:TLV721457 TVR720898:TVR721457 UFN720898:UFN721457 UPJ720898:UPJ721457 UZF720898:UZF721457 VJB720898:VJB721457 VSX720898:VSX721457 WCT720898:WCT721457 WMP720898:WMP721457 WWL720898:WWL721457 AD786434:AD786993 JZ786434:JZ786993 TV786434:TV786993 ADR786434:ADR786993 ANN786434:ANN786993 AXJ786434:AXJ786993 BHF786434:BHF786993 BRB786434:BRB786993 CAX786434:CAX786993 CKT786434:CKT786993 CUP786434:CUP786993 DEL786434:DEL786993 DOH786434:DOH786993 DYD786434:DYD786993 EHZ786434:EHZ786993 ERV786434:ERV786993 FBR786434:FBR786993 FLN786434:FLN786993 FVJ786434:FVJ786993 GFF786434:GFF786993 GPB786434:GPB786993 GYX786434:GYX786993 HIT786434:HIT786993 HSP786434:HSP786993 ICL786434:ICL786993 IMH786434:IMH786993 IWD786434:IWD786993 JFZ786434:JFZ786993 JPV786434:JPV786993 JZR786434:JZR786993 KJN786434:KJN786993 KTJ786434:KTJ786993 LDF786434:LDF786993 LNB786434:LNB786993 LWX786434:LWX786993 MGT786434:MGT786993 MQP786434:MQP786993 NAL786434:NAL786993 NKH786434:NKH786993 NUD786434:NUD786993 ODZ786434:ODZ786993 ONV786434:ONV786993 OXR786434:OXR786993 PHN786434:PHN786993 PRJ786434:PRJ786993 QBF786434:QBF786993 QLB786434:QLB786993 QUX786434:QUX786993 RET786434:RET786993 ROP786434:ROP786993 RYL786434:RYL786993 SIH786434:SIH786993 SSD786434:SSD786993 TBZ786434:TBZ786993 TLV786434:TLV786993 TVR786434:TVR786993 UFN786434:UFN786993 UPJ786434:UPJ786993 UZF786434:UZF786993 VJB786434:VJB786993 VSX786434:VSX786993 WCT786434:WCT786993 WMP786434:WMP786993 WWL786434:WWL786993 AD851970:AD852529 JZ851970:JZ852529 TV851970:TV852529 ADR851970:ADR852529 ANN851970:ANN852529 AXJ851970:AXJ852529 BHF851970:BHF852529 BRB851970:BRB852529 CAX851970:CAX852529 CKT851970:CKT852529 CUP851970:CUP852529 DEL851970:DEL852529 DOH851970:DOH852529 DYD851970:DYD852529 EHZ851970:EHZ852529 ERV851970:ERV852529 FBR851970:FBR852529 FLN851970:FLN852529 FVJ851970:FVJ852529 GFF851970:GFF852529 GPB851970:GPB852529 GYX851970:GYX852529 HIT851970:HIT852529 HSP851970:HSP852529 ICL851970:ICL852529 IMH851970:IMH852529 IWD851970:IWD852529 JFZ851970:JFZ852529 JPV851970:JPV852529 JZR851970:JZR852529 KJN851970:KJN852529 KTJ851970:KTJ852529 LDF851970:LDF852529 LNB851970:LNB852529 LWX851970:LWX852529 MGT851970:MGT852529 MQP851970:MQP852529 NAL851970:NAL852529 NKH851970:NKH852529 NUD851970:NUD852529 ODZ851970:ODZ852529 ONV851970:ONV852529 OXR851970:OXR852529 PHN851970:PHN852529 PRJ851970:PRJ852529 QBF851970:QBF852529 QLB851970:QLB852529 QUX851970:QUX852529 RET851970:RET852529 ROP851970:ROP852529 RYL851970:RYL852529 SIH851970:SIH852529 SSD851970:SSD852529 TBZ851970:TBZ852529 TLV851970:TLV852529 TVR851970:TVR852529 UFN851970:UFN852529 UPJ851970:UPJ852529 UZF851970:UZF852529 VJB851970:VJB852529 VSX851970:VSX852529 WCT851970:WCT852529 WMP851970:WMP852529 WWL851970:WWL852529 AD917506:AD918065 JZ917506:JZ918065 TV917506:TV918065 ADR917506:ADR918065 ANN917506:ANN918065 AXJ917506:AXJ918065 BHF917506:BHF918065 BRB917506:BRB918065 CAX917506:CAX918065 CKT917506:CKT918065 CUP917506:CUP918065 DEL917506:DEL918065 DOH917506:DOH918065 DYD917506:DYD918065 EHZ917506:EHZ918065 ERV917506:ERV918065 FBR917506:FBR918065 FLN917506:FLN918065 FVJ917506:FVJ918065 GFF917506:GFF918065 GPB917506:GPB918065 GYX917506:GYX918065 HIT917506:HIT918065 HSP917506:HSP918065 ICL917506:ICL918065 IMH917506:IMH918065 IWD917506:IWD918065 JFZ917506:JFZ918065 JPV917506:JPV918065 JZR917506:JZR918065 KJN917506:KJN918065 KTJ917506:KTJ918065 LDF917506:LDF918065 LNB917506:LNB918065 LWX917506:LWX918065 MGT917506:MGT918065 MQP917506:MQP918065 NAL917506:NAL918065 NKH917506:NKH918065 NUD917506:NUD918065 ODZ917506:ODZ918065 ONV917506:ONV918065 OXR917506:OXR918065 PHN917506:PHN918065 PRJ917506:PRJ918065 QBF917506:QBF918065 QLB917506:QLB918065 QUX917506:QUX918065 RET917506:RET918065 ROP917506:ROP918065 RYL917506:RYL918065 SIH917506:SIH918065 SSD917506:SSD918065 TBZ917506:TBZ918065 TLV917506:TLV918065 TVR917506:TVR918065 UFN917506:UFN918065 UPJ917506:UPJ918065 UZF917506:UZF918065 VJB917506:VJB918065 VSX917506:VSX918065 WCT917506:WCT918065 WMP917506:WMP918065 WWL917506:WWL918065 AD983042:AD983601 JZ983042:JZ983601 TV983042:TV983601 ADR983042:ADR983601 ANN983042:ANN983601 AXJ983042:AXJ983601 BHF983042:BHF983601 BRB983042:BRB983601 CAX983042:CAX983601 CKT983042:CKT983601 CUP983042:CUP983601 DEL983042:DEL983601 DOH983042:DOH983601 DYD983042:DYD983601 EHZ983042:EHZ983601 ERV983042:ERV983601 FBR983042:FBR983601 FLN983042:FLN983601 FVJ983042:FVJ983601 GFF983042:GFF983601 GPB983042:GPB983601 GYX983042:GYX983601 HIT983042:HIT983601 HSP983042:HSP983601 ICL983042:ICL983601 IMH983042:IMH983601 IWD983042:IWD983601 JFZ983042:JFZ983601 JPV983042:JPV983601 JZR983042:JZR983601 KJN983042:KJN983601 KTJ983042:KTJ983601 LDF983042:LDF983601 LNB983042:LNB983601 LWX983042:LWX983601 MGT983042:MGT983601 MQP983042:MQP983601 NAL983042:NAL983601 NKH983042:NKH983601 NUD983042:NUD983601 ODZ983042:ODZ983601 ONV983042:ONV983601 OXR983042:OXR983601 PHN983042:PHN983601 PRJ983042:PRJ983601 QBF983042:QBF983601 QLB983042:QLB983601 QUX983042:QUX983601 RET983042:RET983601 ROP983042:ROP983601 RYL983042:RYL983601 SIH983042:SIH983601 SSD983042:SSD983601 TBZ983042:TBZ983601 TLV983042:TLV983601 TVR983042:TVR983601 UFN983042:UFN983601 UPJ983042:UPJ983601 UZF983042:UZF983601 VJB983042:VJB983601 VSX983042:VSX983601 WCT983042:WCT983601 WMP983042:WMP983601 WWL983042:WWL983601</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10"/>
  <sheetViews>
    <sheetView topLeftCell="A391" workbookViewId="0">
      <selection activeCell="L417" sqref="L417"/>
    </sheetView>
  </sheetViews>
  <sheetFormatPr defaultRowHeight="13.5"/>
  <cols>
    <col min="1" max="6" width="9" style="3215"/>
    <col min="7" max="7" width="11.875" style="3215" customWidth="1"/>
    <col min="8" max="11" width="9" style="3215"/>
    <col min="12" max="12" width="13.875" style="3215" bestFit="1" customWidth="1"/>
    <col min="13" max="262" width="9" style="3215"/>
    <col min="263" max="263" width="11.875" style="3215" customWidth="1"/>
    <col min="264" max="267" width="9" style="3215"/>
    <col min="268" max="268" width="13.875" style="3215" bestFit="1" customWidth="1"/>
    <col min="269" max="518" width="9" style="3215"/>
    <col min="519" max="519" width="11.875" style="3215" customWidth="1"/>
    <col min="520" max="523" width="9" style="3215"/>
    <col min="524" max="524" width="13.875" style="3215" bestFit="1" customWidth="1"/>
    <col min="525" max="774" width="9" style="3215"/>
    <col min="775" max="775" width="11.875" style="3215" customWidth="1"/>
    <col min="776" max="779" width="9" style="3215"/>
    <col min="780" max="780" width="13.875" style="3215" bestFit="1" customWidth="1"/>
    <col min="781" max="1030" width="9" style="3215"/>
    <col min="1031" max="1031" width="11.875" style="3215" customWidth="1"/>
    <col min="1032" max="1035" width="9" style="3215"/>
    <col min="1036" max="1036" width="13.875" style="3215" bestFit="1" customWidth="1"/>
    <col min="1037" max="1286" width="9" style="3215"/>
    <col min="1287" max="1287" width="11.875" style="3215" customWidth="1"/>
    <col min="1288" max="1291" width="9" style="3215"/>
    <col min="1292" max="1292" width="13.875" style="3215" bestFit="1" customWidth="1"/>
    <col min="1293" max="1542" width="9" style="3215"/>
    <col min="1543" max="1543" width="11.875" style="3215" customWidth="1"/>
    <col min="1544" max="1547" width="9" style="3215"/>
    <col min="1548" max="1548" width="13.875" style="3215" bestFit="1" customWidth="1"/>
    <col min="1549" max="1798" width="9" style="3215"/>
    <col min="1799" max="1799" width="11.875" style="3215" customWidth="1"/>
    <col min="1800" max="1803" width="9" style="3215"/>
    <col min="1804" max="1804" width="13.875" style="3215" bestFit="1" customWidth="1"/>
    <col min="1805" max="2054" width="9" style="3215"/>
    <col min="2055" max="2055" width="11.875" style="3215" customWidth="1"/>
    <col min="2056" max="2059" width="9" style="3215"/>
    <col min="2060" max="2060" width="13.875" style="3215" bestFit="1" customWidth="1"/>
    <col min="2061" max="2310" width="9" style="3215"/>
    <col min="2311" max="2311" width="11.875" style="3215" customWidth="1"/>
    <col min="2312" max="2315" width="9" style="3215"/>
    <col min="2316" max="2316" width="13.875" style="3215" bestFit="1" customWidth="1"/>
    <col min="2317" max="2566" width="9" style="3215"/>
    <col min="2567" max="2567" width="11.875" style="3215" customWidth="1"/>
    <col min="2568" max="2571" width="9" style="3215"/>
    <col min="2572" max="2572" width="13.875" style="3215" bestFit="1" customWidth="1"/>
    <col min="2573" max="2822" width="9" style="3215"/>
    <col min="2823" max="2823" width="11.875" style="3215" customWidth="1"/>
    <col min="2824" max="2827" width="9" style="3215"/>
    <col min="2828" max="2828" width="13.875" style="3215" bestFit="1" customWidth="1"/>
    <col min="2829" max="3078" width="9" style="3215"/>
    <col min="3079" max="3079" width="11.875" style="3215" customWidth="1"/>
    <col min="3080" max="3083" width="9" style="3215"/>
    <col min="3084" max="3084" width="13.875" style="3215" bestFit="1" customWidth="1"/>
    <col min="3085" max="3334" width="9" style="3215"/>
    <col min="3335" max="3335" width="11.875" style="3215" customWidth="1"/>
    <col min="3336" max="3339" width="9" style="3215"/>
    <col min="3340" max="3340" width="13.875" style="3215" bestFit="1" customWidth="1"/>
    <col min="3341" max="3590" width="9" style="3215"/>
    <col min="3591" max="3591" width="11.875" style="3215" customWidth="1"/>
    <col min="3592" max="3595" width="9" style="3215"/>
    <col min="3596" max="3596" width="13.875" style="3215" bestFit="1" customWidth="1"/>
    <col min="3597" max="3846" width="9" style="3215"/>
    <col min="3847" max="3847" width="11.875" style="3215" customWidth="1"/>
    <col min="3848" max="3851" width="9" style="3215"/>
    <col min="3852" max="3852" width="13.875" style="3215" bestFit="1" customWidth="1"/>
    <col min="3853" max="4102" width="9" style="3215"/>
    <col min="4103" max="4103" width="11.875" style="3215" customWidth="1"/>
    <col min="4104" max="4107" width="9" style="3215"/>
    <col min="4108" max="4108" width="13.875" style="3215" bestFit="1" customWidth="1"/>
    <col min="4109" max="4358" width="9" style="3215"/>
    <col min="4359" max="4359" width="11.875" style="3215" customWidth="1"/>
    <col min="4360" max="4363" width="9" style="3215"/>
    <col min="4364" max="4364" width="13.875" style="3215" bestFit="1" customWidth="1"/>
    <col min="4365" max="4614" width="9" style="3215"/>
    <col min="4615" max="4615" width="11.875" style="3215" customWidth="1"/>
    <col min="4616" max="4619" width="9" style="3215"/>
    <col min="4620" max="4620" width="13.875" style="3215" bestFit="1" customWidth="1"/>
    <col min="4621" max="4870" width="9" style="3215"/>
    <col min="4871" max="4871" width="11.875" style="3215" customWidth="1"/>
    <col min="4872" max="4875" width="9" style="3215"/>
    <col min="4876" max="4876" width="13.875" style="3215" bestFit="1" customWidth="1"/>
    <col min="4877" max="5126" width="9" style="3215"/>
    <col min="5127" max="5127" width="11.875" style="3215" customWidth="1"/>
    <col min="5128" max="5131" width="9" style="3215"/>
    <col min="5132" max="5132" width="13.875" style="3215" bestFit="1" customWidth="1"/>
    <col min="5133" max="5382" width="9" style="3215"/>
    <col min="5383" max="5383" width="11.875" style="3215" customWidth="1"/>
    <col min="5384" max="5387" width="9" style="3215"/>
    <col min="5388" max="5388" width="13.875" style="3215" bestFit="1" customWidth="1"/>
    <col min="5389" max="5638" width="9" style="3215"/>
    <col min="5639" max="5639" width="11.875" style="3215" customWidth="1"/>
    <col min="5640" max="5643" width="9" style="3215"/>
    <col min="5644" max="5644" width="13.875" style="3215" bestFit="1" customWidth="1"/>
    <col min="5645" max="5894" width="9" style="3215"/>
    <col min="5895" max="5895" width="11.875" style="3215" customWidth="1"/>
    <col min="5896" max="5899" width="9" style="3215"/>
    <col min="5900" max="5900" width="13.875" style="3215" bestFit="1" customWidth="1"/>
    <col min="5901" max="6150" width="9" style="3215"/>
    <col min="6151" max="6151" width="11.875" style="3215" customWidth="1"/>
    <col min="6152" max="6155" width="9" style="3215"/>
    <col min="6156" max="6156" width="13.875" style="3215" bestFit="1" customWidth="1"/>
    <col min="6157" max="6406" width="9" style="3215"/>
    <col min="6407" max="6407" width="11.875" style="3215" customWidth="1"/>
    <col min="6408" max="6411" width="9" style="3215"/>
    <col min="6412" max="6412" width="13.875" style="3215" bestFit="1" customWidth="1"/>
    <col min="6413" max="6662" width="9" style="3215"/>
    <col min="6663" max="6663" width="11.875" style="3215" customWidth="1"/>
    <col min="6664" max="6667" width="9" style="3215"/>
    <col min="6668" max="6668" width="13.875" style="3215" bestFit="1" customWidth="1"/>
    <col min="6669" max="6918" width="9" style="3215"/>
    <col min="6919" max="6919" width="11.875" style="3215" customWidth="1"/>
    <col min="6920" max="6923" width="9" style="3215"/>
    <col min="6924" max="6924" width="13.875" style="3215" bestFit="1" customWidth="1"/>
    <col min="6925" max="7174" width="9" style="3215"/>
    <col min="7175" max="7175" width="11.875" style="3215" customWidth="1"/>
    <col min="7176" max="7179" width="9" style="3215"/>
    <col min="7180" max="7180" width="13.875" style="3215" bestFit="1" customWidth="1"/>
    <col min="7181" max="7430" width="9" style="3215"/>
    <col min="7431" max="7431" width="11.875" style="3215" customWidth="1"/>
    <col min="7432" max="7435" width="9" style="3215"/>
    <col min="7436" max="7436" width="13.875" style="3215" bestFit="1" customWidth="1"/>
    <col min="7437" max="7686" width="9" style="3215"/>
    <col min="7687" max="7687" width="11.875" style="3215" customWidth="1"/>
    <col min="7688" max="7691" width="9" style="3215"/>
    <col min="7692" max="7692" width="13.875" style="3215" bestFit="1" customWidth="1"/>
    <col min="7693" max="7942" width="9" style="3215"/>
    <col min="7943" max="7943" width="11.875" style="3215" customWidth="1"/>
    <col min="7944" max="7947" width="9" style="3215"/>
    <col min="7948" max="7948" width="13.875" style="3215" bestFit="1" customWidth="1"/>
    <col min="7949" max="8198" width="9" style="3215"/>
    <col min="8199" max="8199" width="11.875" style="3215" customWidth="1"/>
    <col min="8200" max="8203" width="9" style="3215"/>
    <col min="8204" max="8204" width="13.875" style="3215" bestFit="1" customWidth="1"/>
    <col min="8205" max="8454" width="9" style="3215"/>
    <col min="8455" max="8455" width="11.875" style="3215" customWidth="1"/>
    <col min="8456" max="8459" width="9" style="3215"/>
    <col min="8460" max="8460" width="13.875" style="3215" bestFit="1" customWidth="1"/>
    <col min="8461" max="8710" width="9" style="3215"/>
    <col min="8711" max="8711" width="11.875" style="3215" customWidth="1"/>
    <col min="8712" max="8715" width="9" style="3215"/>
    <col min="8716" max="8716" width="13.875" style="3215" bestFit="1" customWidth="1"/>
    <col min="8717" max="8966" width="9" style="3215"/>
    <col min="8967" max="8967" width="11.875" style="3215" customWidth="1"/>
    <col min="8968" max="8971" width="9" style="3215"/>
    <col min="8972" max="8972" width="13.875" style="3215" bestFit="1" customWidth="1"/>
    <col min="8973" max="9222" width="9" style="3215"/>
    <col min="9223" max="9223" width="11.875" style="3215" customWidth="1"/>
    <col min="9224" max="9227" width="9" style="3215"/>
    <col min="9228" max="9228" width="13.875" style="3215" bestFit="1" customWidth="1"/>
    <col min="9229" max="9478" width="9" style="3215"/>
    <col min="9479" max="9479" width="11.875" style="3215" customWidth="1"/>
    <col min="9480" max="9483" width="9" style="3215"/>
    <col min="9484" max="9484" width="13.875" style="3215" bestFit="1" customWidth="1"/>
    <col min="9485" max="9734" width="9" style="3215"/>
    <col min="9735" max="9735" width="11.875" style="3215" customWidth="1"/>
    <col min="9736" max="9739" width="9" style="3215"/>
    <col min="9740" max="9740" width="13.875" style="3215" bestFit="1" customWidth="1"/>
    <col min="9741" max="9990" width="9" style="3215"/>
    <col min="9991" max="9991" width="11.875" style="3215" customWidth="1"/>
    <col min="9992" max="9995" width="9" style="3215"/>
    <col min="9996" max="9996" width="13.875" style="3215" bestFit="1" customWidth="1"/>
    <col min="9997" max="10246" width="9" style="3215"/>
    <col min="10247" max="10247" width="11.875" style="3215" customWidth="1"/>
    <col min="10248" max="10251" width="9" style="3215"/>
    <col min="10252" max="10252" width="13.875" style="3215" bestFit="1" customWidth="1"/>
    <col min="10253" max="10502" width="9" style="3215"/>
    <col min="10503" max="10503" width="11.875" style="3215" customWidth="1"/>
    <col min="10504" max="10507" width="9" style="3215"/>
    <col min="10508" max="10508" width="13.875" style="3215" bestFit="1" customWidth="1"/>
    <col min="10509" max="10758" width="9" style="3215"/>
    <col min="10759" max="10759" width="11.875" style="3215" customWidth="1"/>
    <col min="10760" max="10763" width="9" style="3215"/>
    <col min="10764" max="10764" width="13.875" style="3215" bestFit="1" customWidth="1"/>
    <col min="10765" max="11014" width="9" style="3215"/>
    <col min="11015" max="11015" width="11.875" style="3215" customWidth="1"/>
    <col min="11016" max="11019" width="9" style="3215"/>
    <col min="11020" max="11020" width="13.875" style="3215" bestFit="1" customWidth="1"/>
    <col min="11021" max="11270" width="9" style="3215"/>
    <col min="11271" max="11271" width="11.875" style="3215" customWidth="1"/>
    <col min="11272" max="11275" width="9" style="3215"/>
    <col min="11276" max="11276" width="13.875" style="3215" bestFit="1" customWidth="1"/>
    <col min="11277" max="11526" width="9" style="3215"/>
    <col min="11527" max="11527" width="11.875" style="3215" customWidth="1"/>
    <col min="11528" max="11531" width="9" style="3215"/>
    <col min="11532" max="11532" width="13.875" style="3215" bestFit="1" customWidth="1"/>
    <col min="11533" max="11782" width="9" style="3215"/>
    <col min="11783" max="11783" width="11.875" style="3215" customWidth="1"/>
    <col min="11784" max="11787" width="9" style="3215"/>
    <col min="11788" max="11788" width="13.875" style="3215" bestFit="1" customWidth="1"/>
    <col min="11789" max="12038" width="9" style="3215"/>
    <col min="12039" max="12039" width="11.875" style="3215" customWidth="1"/>
    <col min="12040" max="12043" width="9" style="3215"/>
    <col min="12044" max="12044" width="13.875" style="3215" bestFit="1" customWidth="1"/>
    <col min="12045" max="12294" width="9" style="3215"/>
    <col min="12295" max="12295" width="11.875" style="3215" customWidth="1"/>
    <col min="12296" max="12299" width="9" style="3215"/>
    <col min="12300" max="12300" width="13.875" style="3215" bestFit="1" customWidth="1"/>
    <col min="12301" max="12550" width="9" style="3215"/>
    <col min="12551" max="12551" width="11.875" style="3215" customWidth="1"/>
    <col min="12552" max="12555" width="9" style="3215"/>
    <col min="12556" max="12556" width="13.875" style="3215" bestFit="1" customWidth="1"/>
    <col min="12557" max="12806" width="9" style="3215"/>
    <col min="12807" max="12807" width="11.875" style="3215" customWidth="1"/>
    <col min="12808" max="12811" width="9" style="3215"/>
    <col min="12812" max="12812" width="13.875" style="3215" bestFit="1" customWidth="1"/>
    <col min="12813" max="13062" width="9" style="3215"/>
    <col min="13063" max="13063" width="11.875" style="3215" customWidth="1"/>
    <col min="13064" max="13067" width="9" style="3215"/>
    <col min="13068" max="13068" width="13.875" style="3215" bestFit="1" customWidth="1"/>
    <col min="13069" max="13318" width="9" style="3215"/>
    <col min="13319" max="13319" width="11.875" style="3215" customWidth="1"/>
    <col min="13320" max="13323" width="9" style="3215"/>
    <col min="13324" max="13324" width="13.875" style="3215" bestFit="1" customWidth="1"/>
    <col min="13325" max="13574" width="9" style="3215"/>
    <col min="13575" max="13575" width="11.875" style="3215" customWidth="1"/>
    <col min="13576" max="13579" width="9" style="3215"/>
    <col min="13580" max="13580" width="13.875" style="3215" bestFit="1" customWidth="1"/>
    <col min="13581" max="13830" width="9" style="3215"/>
    <col min="13831" max="13831" width="11.875" style="3215" customWidth="1"/>
    <col min="13832" max="13835" width="9" style="3215"/>
    <col min="13836" max="13836" width="13.875" style="3215" bestFit="1" customWidth="1"/>
    <col min="13837" max="14086" width="9" style="3215"/>
    <col min="14087" max="14087" width="11.875" style="3215" customWidth="1"/>
    <col min="14088" max="14091" width="9" style="3215"/>
    <col min="14092" max="14092" width="13.875" style="3215" bestFit="1" customWidth="1"/>
    <col min="14093" max="14342" width="9" style="3215"/>
    <col min="14343" max="14343" width="11.875" style="3215" customWidth="1"/>
    <col min="14344" max="14347" width="9" style="3215"/>
    <col min="14348" max="14348" width="13.875" style="3215" bestFit="1" customWidth="1"/>
    <col min="14349" max="14598" width="9" style="3215"/>
    <col min="14599" max="14599" width="11.875" style="3215" customWidth="1"/>
    <col min="14600" max="14603" width="9" style="3215"/>
    <col min="14604" max="14604" width="13.875" style="3215" bestFit="1" customWidth="1"/>
    <col min="14605" max="14854" width="9" style="3215"/>
    <col min="14855" max="14855" width="11.875" style="3215" customWidth="1"/>
    <col min="14856" max="14859" width="9" style="3215"/>
    <col min="14860" max="14860" width="13.875" style="3215" bestFit="1" customWidth="1"/>
    <col min="14861" max="15110" width="9" style="3215"/>
    <col min="15111" max="15111" width="11.875" style="3215" customWidth="1"/>
    <col min="15112" max="15115" width="9" style="3215"/>
    <col min="15116" max="15116" width="13.875" style="3215" bestFit="1" customWidth="1"/>
    <col min="15117" max="15366" width="9" style="3215"/>
    <col min="15367" max="15367" width="11.875" style="3215" customWidth="1"/>
    <col min="15368" max="15371" width="9" style="3215"/>
    <col min="15372" max="15372" width="13.875" style="3215" bestFit="1" customWidth="1"/>
    <col min="15373" max="15622" width="9" style="3215"/>
    <col min="15623" max="15623" width="11.875" style="3215" customWidth="1"/>
    <col min="15624" max="15627" width="9" style="3215"/>
    <col min="15628" max="15628" width="13.875" style="3215" bestFit="1" customWidth="1"/>
    <col min="15629" max="15878" width="9" style="3215"/>
    <col min="15879" max="15879" width="11.875" style="3215" customWidth="1"/>
    <col min="15880" max="15883" width="9" style="3215"/>
    <col min="15884" max="15884" width="13.875" style="3215" bestFit="1" customWidth="1"/>
    <col min="15885" max="16134" width="9" style="3215"/>
    <col min="16135" max="16135" width="11.875" style="3215" customWidth="1"/>
    <col min="16136" max="16139" width="9" style="3215"/>
    <col min="16140" max="16140" width="13.875" style="3215" bestFit="1" customWidth="1"/>
    <col min="16141" max="16384" width="9" style="3215"/>
  </cols>
  <sheetData>
    <row r="1" spans="1:14">
      <c r="A1" s="3657" t="s">
        <v>3317</v>
      </c>
      <c r="B1" s="3657"/>
      <c r="C1" s="3658"/>
      <c r="D1" s="3659"/>
      <c r="E1" s="3660" t="s">
        <v>3318</v>
      </c>
      <c r="F1" s="3661"/>
      <c r="G1" s="3662"/>
      <c r="H1" s="3662"/>
      <c r="I1" s="3661"/>
      <c r="J1" s="3663" t="s">
        <v>3319</v>
      </c>
      <c r="K1" s="3664"/>
      <c r="L1" s="3665"/>
      <c r="M1" s="3665"/>
      <c r="N1" s="3665"/>
    </row>
    <row r="2" spans="1:14">
      <c r="A2" s="3216" t="s">
        <v>2366</v>
      </c>
      <c r="B2" s="3216" t="s">
        <v>3320</v>
      </c>
      <c r="C2" s="3217" t="s">
        <v>3321</v>
      </c>
      <c r="D2" s="3218" t="s">
        <v>3322</v>
      </c>
      <c r="E2" s="3219" t="s">
        <v>3323</v>
      </c>
      <c r="F2" s="3220" t="s">
        <v>3324</v>
      </c>
      <c r="G2" s="3221" t="s">
        <v>3325</v>
      </c>
      <c r="H2" s="3221" t="s">
        <v>3321</v>
      </c>
      <c r="I2" s="3220" t="s">
        <v>3326</v>
      </c>
      <c r="J2" s="3222" t="s">
        <v>3327</v>
      </c>
      <c r="K2" s="3223" t="s">
        <v>3328</v>
      </c>
      <c r="L2" s="3224" t="s">
        <v>3329</v>
      </c>
      <c r="M2" s="3224" t="s">
        <v>3330</v>
      </c>
      <c r="N2" s="3225" t="s">
        <v>3331</v>
      </c>
    </row>
    <row r="3" spans="1:14">
      <c r="A3" s="3226">
        <v>1</v>
      </c>
      <c r="B3" s="3226" t="s">
        <v>3332</v>
      </c>
      <c r="C3" s="3227" t="s">
        <v>3333</v>
      </c>
      <c r="D3" s="3228" t="s">
        <v>3334</v>
      </c>
      <c r="E3" s="3229">
        <v>43735</v>
      </c>
      <c r="F3" s="3230">
        <v>20000</v>
      </c>
      <c r="G3" s="3231">
        <v>130.79</v>
      </c>
      <c r="H3" s="3231" t="s">
        <v>3335</v>
      </c>
      <c r="I3" s="3232">
        <v>1948301</v>
      </c>
      <c r="J3" s="3233">
        <v>43736</v>
      </c>
      <c r="K3" s="3234">
        <v>9</v>
      </c>
      <c r="L3" s="3232">
        <v>1913301</v>
      </c>
      <c r="M3" s="3235">
        <v>14628.801896169432</v>
      </c>
      <c r="N3" s="3236">
        <v>1193301</v>
      </c>
    </row>
    <row r="4" spans="1:14">
      <c r="A4" s="3226">
        <v>2</v>
      </c>
      <c r="B4" s="3226" t="s">
        <v>3336</v>
      </c>
      <c r="C4" s="3227" t="s">
        <v>3333</v>
      </c>
      <c r="D4" s="3237" t="s">
        <v>3337</v>
      </c>
      <c r="E4" s="3229">
        <v>43735</v>
      </c>
      <c r="F4" s="3230">
        <v>20000</v>
      </c>
      <c r="G4" s="3231">
        <v>130.71</v>
      </c>
      <c r="H4" s="3231" t="s">
        <v>3335</v>
      </c>
      <c r="I4" s="3230">
        <v>1994285</v>
      </c>
      <c r="J4" s="3229">
        <v>43738</v>
      </c>
      <c r="K4" s="3234">
        <v>9</v>
      </c>
      <c r="L4" s="3230">
        <v>1959285</v>
      </c>
      <c r="M4" s="3235">
        <v>14989.557034656873</v>
      </c>
      <c r="N4" s="3236">
        <v>1039285</v>
      </c>
    </row>
    <row r="5" spans="1:14">
      <c r="A5" s="3226">
        <v>3</v>
      </c>
      <c r="B5" s="3226" t="s">
        <v>3338</v>
      </c>
      <c r="C5" s="3227" t="s">
        <v>3333</v>
      </c>
      <c r="D5" s="3228" t="s">
        <v>3339</v>
      </c>
      <c r="E5" s="3229">
        <v>43735</v>
      </c>
      <c r="F5" s="3230">
        <v>20000</v>
      </c>
      <c r="G5" s="3231">
        <v>130.71</v>
      </c>
      <c r="H5" s="3231" t="s">
        <v>3335</v>
      </c>
      <c r="I5" s="3230">
        <v>1987548</v>
      </c>
      <c r="J5" s="3229">
        <v>43738</v>
      </c>
      <c r="K5" s="3234">
        <v>9</v>
      </c>
      <c r="L5" s="3230">
        <v>1893972</v>
      </c>
      <c r="M5" s="3235">
        <v>14489.87835666743</v>
      </c>
      <c r="N5" s="3236">
        <v>553972</v>
      </c>
    </row>
    <row r="6" spans="1:14">
      <c r="A6" s="3226">
        <v>4</v>
      </c>
      <c r="B6" s="3226" t="s">
        <v>3340</v>
      </c>
      <c r="C6" s="3227" t="s">
        <v>3333</v>
      </c>
      <c r="D6" s="3228" t="s">
        <v>3341</v>
      </c>
      <c r="E6" s="3229">
        <v>43735</v>
      </c>
      <c r="F6" s="3230">
        <v>20000</v>
      </c>
      <c r="G6" s="3231">
        <v>130.71</v>
      </c>
      <c r="H6" s="3231" t="s">
        <v>3335</v>
      </c>
      <c r="I6" s="3232">
        <v>1980810</v>
      </c>
      <c r="J6" s="3233">
        <v>43737</v>
      </c>
      <c r="K6" s="3234">
        <v>9</v>
      </c>
      <c r="L6" s="3232">
        <v>1945810</v>
      </c>
      <c r="M6" s="3235">
        <v>14886.466222936269</v>
      </c>
      <c r="N6" s="3236">
        <v>565810</v>
      </c>
    </row>
    <row r="7" spans="1:14">
      <c r="A7" s="3226">
        <v>5</v>
      </c>
      <c r="B7" s="3226" t="s">
        <v>3342</v>
      </c>
      <c r="C7" s="3227" t="s">
        <v>3333</v>
      </c>
      <c r="D7" s="3228" t="s">
        <v>3343</v>
      </c>
      <c r="E7" s="3229">
        <v>43735</v>
      </c>
      <c r="F7" s="3230">
        <v>20000</v>
      </c>
      <c r="G7" s="3231">
        <v>130.71</v>
      </c>
      <c r="H7" s="3231" t="s">
        <v>3335</v>
      </c>
      <c r="I7" s="3230">
        <v>1974072</v>
      </c>
      <c r="J7" s="3229">
        <v>43737</v>
      </c>
      <c r="K7" s="3234">
        <v>9</v>
      </c>
      <c r="L7" s="3230">
        <v>1880900</v>
      </c>
      <c r="M7" s="3235">
        <v>14389.870706143371</v>
      </c>
      <c r="N7" s="3236">
        <v>1000900</v>
      </c>
    </row>
    <row r="8" spans="1:14">
      <c r="A8" s="3226">
        <v>6</v>
      </c>
      <c r="B8" s="3226" t="s">
        <v>3344</v>
      </c>
      <c r="C8" s="3227" t="s">
        <v>3333</v>
      </c>
      <c r="D8" s="3228" t="s">
        <v>3345</v>
      </c>
      <c r="E8" s="3229">
        <v>43735</v>
      </c>
      <c r="F8" s="3230">
        <v>20000</v>
      </c>
      <c r="G8" s="3231">
        <v>130.71</v>
      </c>
      <c r="H8" s="3231" t="s">
        <v>3335</v>
      </c>
      <c r="I8" s="3230">
        <v>1967335</v>
      </c>
      <c r="J8" s="3229">
        <v>43738</v>
      </c>
      <c r="K8" s="3234">
        <v>9</v>
      </c>
      <c r="L8" s="3230">
        <v>1922335</v>
      </c>
      <c r="M8" s="3235">
        <v>14706.870170606686</v>
      </c>
      <c r="N8" s="3236">
        <v>1902335</v>
      </c>
    </row>
    <row r="9" spans="1:14">
      <c r="A9" s="3226">
        <v>7</v>
      </c>
      <c r="B9" s="3226" t="s">
        <v>3346</v>
      </c>
      <c r="C9" s="3227" t="s">
        <v>3333</v>
      </c>
      <c r="D9" s="3228" t="s">
        <v>3347</v>
      </c>
      <c r="E9" s="3229">
        <v>43735</v>
      </c>
      <c r="F9" s="3230">
        <v>20000</v>
      </c>
      <c r="G9" s="3231">
        <v>130.71</v>
      </c>
      <c r="H9" s="3231" t="s">
        <v>3335</v>
      </c>
      <c r="I9" s="3238">
        <v>1960597</v>
      </c>
      <c r="J9" s="3239">
        <v>43738</v>
      </c>
      <c r="K9" s="3234">
        <v>9</v>
      </c>
      <c r="L9" s="3238">
        <v>1925597</v>
      </c>
      <c r="M9" s="3235">
        <v>14731.826180093336</v>
      </c>
      <c r="N9" s="3236">
        <v>1005597</v>
      </c>
    </row>
    <row r="10" spans="1:14">
      <c r="A10" s="3226">
        <v>8</v>
      </c>
      <c r="B10" s="3226" t="s">
        <v>3348</v>
      </c>
      <c r="C10" s="3227" t="s">
        <v>3333</v>
      </c>
      <c r="D10" s="3228" t="s">
        <v>3349</v>
      </c>
      <c r="E10" s="3229">
        <v>43735</v>
      </c>
      <c r="F10" s="3230">
        <v>20000</v>
      </c>
      <c r="G10" s="3231">
        <v>130.71</v>
      </c>
      <c r="H10" s="3231" t="s">
        <v>3335</v>
      </c>
      <c r="I10" s="3230">
        <v>1920171</v>
      </c>
      <c r="J10" s="3229">
        <v>43737</v>
      </c>
      <c r="K10" s="3234">
        <v>9</v>
      </c>
      <c r="L10" s="3230">
        <v>1900171</v>
      </c>
      <c r="M10" s="3235">
        <v>14537.303955320938</v>
      </c>
      <c r="N10" s="3238">
        <v>550171</v>
      </c>
    </row>
    <row r="11" spans="1:14">
      <c r="A11" s="3226">
        <v>9</v>
      </c>
      <c r="B11" s="3226" t="s">
        <v>3350</v>
      </c>
      <c r="C11" s="3227" t="s">
        <v>3333</v>
      </c>
      <c r="D11" s="3228" t="s">
        <v>3351</v>
      </c>
      <c r="E11" s="3229">
        <v>43735</v>
      </c>
      <c r="F11" s="3230">
        <v>20000</v>
      </c>
      <c r="G11" s="3231">
        <v>130.71</v>
      </c>
      <c r="H11" s="3231" t="s">
        <v>3335</v>
      </c>
      <c r="I11" s="3230">
        <v>1873008</v>
      </c>
      <c r="J11" s="3229">
        <v>43738</v>
      </c>
      <c r="K11" s="3234">
        <v>9</v>
      </c>
      <c r="L11" s="3230">
        <v>1838008</v>
      </c>
      <c r="M11" s="3235">
        <v>14061.724428123325</v>
      </c>
      <c r="N11" s="3236">
        <v>818008</v>
      </c>
    </row>
    <row r="12" spans="1:14">
      <c r="A12" s="3226">
        <v>10</v>
      </c>
      <c r="B12" s="3226" t="s">
        <v>3352</v>
      </c>
      <c r="C12" s="3227" t="s">
        <v>3333</v>
      </c>
      <c r="D12" s="3228" t="s">
        <v>3353</v>
      </c>
      <c r="E12" s="3239">
        <v>43748</v>
      </c>
      <c r="F12" s="3238">
        <v>20000</v>
      </c>
      <c r="G12" s="3231">
        <v>129.54</v>
      </c>
      <c r="H12" s="3231" t="s">
        <v>3335</v>
      </c>
      <c r="I12" s="3238">
        <v>1841045</v>
      </c>
      <c r="J12" s="3239">
        <v>43749</v>
      </c>
      <c r="K12" s="3234">
        <v>10</v>
      </c>
      <c r="L12" s="3238">
        <v>1821045</v>
      </c>
      <c r="M12" s="3235">
        <v>14057.781380268643</v>
      </c>
      <c r="N12" s="3236">
        <v>801045</v>
      </c>
    </row>
    <row r="13" spans="1:14">
      <c r="A13" s="3226">
        <v>11</v>
      </c>
      <c r="B13" s="3226" t="s">
        <v>3354</v>
      </c>
      <c r="C13" s="3227" t="s">
        <v>3333</v>
      </c>
      <c r="D13" s="3228" t="s">
        <v>3355</v>
      </c>
      <c r="E13" s="3229">
        <v>43735</v>
      </c>
      <c r="F13" s="3230">
        <v>20000</v>
      </c>
      <c r="G13" s="3231">
        <v>129.5</v>
      </c>
      <c r="H13" s="3231" t="s">
        <v>3335</v>
      </c>
      <c r="I13" s="3232">
        <v>1915081</v>
      </c>
      <c r="J13" s="3233">
        <v>43737</v>
      </c>
      <c r="K13" s="3234">
        <v>9</v>
      </c>
      <c r="L13" s="3232">
        <v>1870081</v>
      </c>
      <c r="M13" s="3235">
        <v>14440.779922779922</v>
      </c>
      <c r="N13" s="3236">
        <v>1850081</v>
      </c>
    </row>
    <row r="14" spans="1:14">
      <c r="A14" s="3226">
        <v>12</v>
      </c>
      <c r="B14" s="3226" t="s">
        <v>3356</v>
      </c>
      <c r="C14" s="3227" t="s">
        <v>3333</v>
      </c>
      <c r="D14" s="3228" t="s">
        <v>3357</v>
      </c>
      <c r="E14" s="3229">
        <v>43735</v>
      </c>
      <c r="F14" s="3230">
        <v>20000</v>
      </c>
      <c r="G14" s="3231">
        <v>129.58000000000001</v>
      </c>
      <c r="H14" s="3231" t="s">
        <v>3335</v>
      </c>
      <c r="I14" s="3238">
        <v>1908401</v>
      </c>
      <c r="J14" s="3239">
        <v>43736</v>
      </c>
      <c r="K14" s="3234">
        <v>9</v>
      </c>
      <c r="L14" s="3238">
        <v>1863401</v>
      </c>
      <c r="M14" s="3235">
        <v>14380.313319956782</v>
      </c>
      <c r="N14" s="3236">
        <v>1843401</v>
      </c>
    </row>
    <row r="15" spans="1:14">
      <c r="A15" s="3226">
        <v>13</v>
      </c>
      <c r="B15" s="3226" t="s">
        <v>3358</v>
      </c>
      <c r="C15" s="3227" t="s">
        <v>3333</v>
      </c>
      <c r="D15" s="3228" t="s">
        <v>3359</v>
      </c>
      <c r="E15" s="3229">
        <v>43738</v>
      </c>
      <c r="F15" s="3230">
        <v>20000</v>
      </c>
      <c r="G15" s="3231">
        <v>129.58000000000001</v>
      </c>
      <c r="H15" s="3231" t="s">
        <v>3335</v>
      </c>
      <c r="I15" s="3230">
        <v>1901722</v>
      </c>
      <c r="J15" s="3229">
        <v>43766</v>
      </c>
      <c r="K15" s="3234">
        <v>10</v>
      </c>
      <c r="L15" s="3230">
        <v>1810720</v>
      </c>
      <c r="M15" s="3235">
        <v>13973.761382929462</v>
      </c>
      <c r="N15" s="3236">
        <v>530720</v>
      </c>
    </row>
    <row r="16" spans="1:14" ht="25.5">
      <c r="A16" s="3226">
        <v>14</v>
      </c>
      <c r="B16" s="3226" t="s">
        <v>3360</v>
      </c>
      <c r="C16" s="3227" t="s">
        <v>3333</v>
      </c>
      <c r="D16" s="3228" t="s">
        <v>3361</v>
      </c>
      <c r="E16" s="3229">
        <v>43735</v>
      </c>
      <c r="F16" s="3230">
        <v>20000</v>
      </c>
      <c r="G16" s="3231">
        <v>129.58000000000001</v>
      </c>
      <c r="H16" s="3231" t="s">
        <v>3335</v>
      </c>
      <c r="I16" s="3230">
        <v>1895042</v>
      </c>
      <c r="J16" s="3229">
        <v>43736</v>
      </c>
      <c r="K16" s="3234">
        <v>9</v>
      </c>
      <c r="L16" s="3230">
        <v>1860042</v>
      </c>
      <c r="M16" s="3235">
        <v>14354.391109739156</v>
      </c>
      <c r="N16" s="3236">
        <v>1100042</v>
      </c>
    </row>
    <row r="17" spans="1:14" ht="25.5">
      <c r="A17" s="3226">
        <v>15</v>
      </c>
      <c r="B17" s="3226" t="s">
        <v>3362</v>
      </c>
      <c r="C17" s="3227" t="s">
        <v>3333</v>
      </c>
      <c r="D17" s="3228" t="s">
        <v>3363</v>
      </c>
      <c r="E17" s="3229">
        <v>43735</v>
      </c>
      <c r="F17" s="3230">
        <v>20000</v>
      </c>
      <c r="G17" s="3231">
        <v>129.58000000000001</v>
      </c>
      <c r="H17" s="3231" t="s">
        <v>3335</v>
      </c>
      <c r="I17" s="3230">
        <v>1888363</v>
      </c>
      <c r="J17" s="3229">
        <v>43737</v>
      </c>
      <c r="K17" s="3234">
        <v>9</v>
      </c>
      <c r="L17" s="3230">
        <v>1853363</v>
      </c>
      <c r="M17" s="3235">
        <v>14302.847661676184</v>
      </c>
      <c r="N17" s="3236">
        <v>1033363</v>
      </c>
    </row>
    <row r="18" spans="1:14">
      <c r="A18" s="3226">
        <v>16</v>
      </c>
      <c r="B18" s="3226" t="s">
        <v>3364</v>
      </c>
      <c r="C18" s="3227" t="s">
        <v>3333</v>
      </c>
      <c r="D18" s="3228" t="s">
        <v>3365</v>
      </c>
      <c r="E18" s="3229">
        <v>43735</v>
      </c>
      <c r="F18" s="3230">
        <v>20000</v>
      </c>
      <c r="G18" s="3231">
        <v>129.58000000000001</v>
      </c>
      <c r="H18" s="3231" t="s">
        <v>3335</v>
      </c>
      <c r="I18" s="3230">
        <v>1881684</v>
      </c>
      <c r="J18" s="3229">
        <v>43737</v>
      </c>
      <c r="K18" s="3234">
        <v>9</v>
      </c>
      <c r="L18" s="3230">
        <v>1861684</v>
      </c>
      <c r="M18" s="3235">
        <v>14367.062818336162</v>
      </c>
      <c r="N18" s="3236">
        <v>1041684</v>
      </c>
    </row>
    <row r="19" spans="1:14">
      <c r="A19" s="3226">
        <v>17</v>
      </c>
      <c r="B19" s="3226" t="s">
        <v>3366</v>
      </c>
      <c r="C19" s="3227" t="s">
        <v>3333</v>
      </c>
      <c r="D19" s="3228" t="s">
        <v>3367</v>
      </c>
      <c r="E19" s="3229">
        <v>43735</v>
      </c>
      <c r="F19" s="3230">
        <v>20000</v>
      </c>
      <c r="G19" s="3231">
        <v>129.58000000000001</v>
      </c>
      <c r="H19" s="3231" t="s">
        <v>3335</v>
      </c>
      <c r="I19" s="3230">
        <v>1848287</v>
      </c>
      <c r="J19" s="3229">
        <v>43738</v>
      </c>
      <c r="K19" s="3234">
        <v>9</v>
      </c>
      <c r="L19" s="3230">
        <v>1813287</v>
      </c>
      <c r="M19" s="3235">
        <v>13993.571538817718</v>
      </c>
      <c r="N19" s="3236">
        <v>533287</v>
      </c>
    </row>
    <row r="20" spans="1:14">
      <c r="A20" s="3226">
        <v>18</v>
      </c>
      <c r="B20" s="3226" t="s">
        <v>3368</v>
      </c>
      <c r="C20" s="3227" t="s">
        <v>3333</v>
      </c>
      <c r="D20" s="3228" t="s">
        <v>3369</v>
      </c>
      <c r="E20" s="3229">
        <v>43735</v>
      </c>
      <c r="F20" s="3230">
        <v>20000</v>
      </c>
      <c r="G20" s="3231">
        <v>129.58000000000001</v>
      </c>
      <c r="H20" s="3231" t="s">
        <v>3335</v>
      </c>
      <c r="I20" s="3232">
        <v>1808210</v>
      </c>
      <c r="J20" s="3233">
        <v>43736</v>
      </c>
      <c r="K20" s="3234">
        <v>9</v>
      </c>
      <c r="L20" s="3232">
        <v>1773210</v>
      </c>
      <c r="M20" s="3235">
        <v>13684.287698718937</v>
      </c>
      <c r="N20" s="3236">
        <v>553210</v>
      </c>
    </row>
    <row r="21" spans="1:14" ht="25.5">
      <c r="A21" s="3226">
        <v>19</v>
      </c>
      <c r="B21" s="3226" t="s">
        <v>3370</v>
      </c>
      <c r="C21" s="3227" t="s">
        <v>3333</v>
      </c>
      <c r="D21" s="3228" t="s">
        <v>3371</v>
      </c>
      <c r="E21" s="3229">
        <v>43735</v>
      </c>
      <c r="F21" s="3230">
        <v>20000</v>
      </c>
      <c r="G21" s="3231">
        <v>129.58000000000001</v>
      </c>
      <c r="H21" s="3231" t="s">
        <v>3335</v>
      </c>
      <c r="I21" s="3230">
        <v>1753705</v>
      </c>
      <c r="J21" s="3229">
        <v>43738</v>
      </c>
      <c r="K21" s="3234">
        <v>9</v>
      </c>
      <c r="L21" s="3230">
        <v>1718705</v>
      </c>
      <c r="M21" s="3235">
        <v>13263.659515357307</v>
      </c>
      <c r="N21" s="3236">
        <v>498705</v>
      </c>
    </row>
    <row r="22" spans="1:14" ht="25.5">
      <c r="A22" s="3226">
        <v>20</v>
      </c>
      <c r="B22" s="3226" t="s">
        <v>3372</v>
      </c>
      <c r="C22" s="3227" t="s">
        <v>3333</v>
      </c>
      <c r="D22" s="3228" t="s">
        <v>3373</v>
      </c>
      <c r="E22" s="3229">
        <v>43736</v>
      </c>
      <c r="F22" s="3230">
        <v>20000</v>
      </c>
      <c r="G22" s="3231">
        <v>127.06</v>
      </c>
      <c r="H22" s="3231" t="s">
        <v>3335</v>
      </c>
      <c r="I22" s="3230">
        <v>1616259</v>
      </c>
      <c r="J22" s="3229">
        <v>43738</v>
      </c>
      <c r="K22" s="3234">
        <v>9</v>
      </c>
      <c r="L22" s="3230">
        <v>1581259</v>
      </c>
      <c r="M22" s="3235">
        <v>12444.978750196757</v>
      </c>
      <c r="N22" s="3236">
        <v>461259</v>
      </c>
    </row>
    <row r="23" spans="1:14">
      <c r="A23" s="3226">
        <v>22</v>
      </c>
      <c r="B23" s="3226" t="s">
        <v>3374</v>
      </c>
      <c r="C23" s="3227" t="s">
        <v>3333</v>
      </c>
      <c r="D23" s="3228" t="s">
        <v>3375</v>
      </c>
      <c r="E23" s="3229">
        <v>43735</v>
      </c>
      <c r="F23" s="3230">
        <v>20000</v>
      </c>
      <c r="G23" s="3231">
        <v>129.58000000000001</v>
      </c>
      <c r="H23" s="3231" t="s">
        <v>3335</v>
      </c>
      <c r="I23" s="3230">
        <v>1919684</v>
      </c>
      <c r="J23" s="3229">
        <v>43738</v>
      </c>
      <c r="K23" s="3234">
        <v>9</v>
      </c>
      <c r="L23" s="3230">
        <v>1884684</v>
      </c>
      <c r="M23" s="3235">
        <v>14544.55934557802</v>
      </c>
      <c r="N23" s="3236">
        <v>1064684</v>
      </c>
    </row>
    <row r="24" spans="1:14" ht="25.5">
      <c r="A24" s="3226">
        <v>23</v>
      </c>
      <c r="B24" s="3226" t="s">
        <v>3376</v>
      </c>
      <c r="C24" s="3227" t="s">
        <v>3333</v>
      </c>
      <c r="D24" s="3228" t="s">
        <v>3377</v>
      </c>
      <c r="E24" s="3229">
        <v>43735</v>
      </c>
      <c r="F24" s="3230">
        <v>20000</v>
      </c>
      <c r="G24" s="3231">
        <v>129.58000000000001</v>
      </c>
      <c r="H24" s="3231" t="s">
        <v>3335</v>
      </c>
      <c r="I24" s="3230">
        <v>1913004</v>
      </c>
      <c r="J24" s="3229">
        <v>43738</v>
      </c>
      <c r="K24" s="3234">
        <v>9</v>
      </c>
      <c r="L24" s="3230">
        <v>1878004</v>
      </c>
      <c r="M24" s="3235">
        <v>14493.008180274732</v>
      </c>
      <c r="N24" s="3236">
        <v>758004</v>
      </c>
    </row>
    <row r="25" spans="1:14">
      <c r="A25" s="3226">
        <v>24</v>
      </c>
      <c r="B25" s="3226" t="s">
        <v>3378</v>
      </c>
      <c r="C25" s="3227" t="s">
        <v>3333</v>
      </c>
      <c r="D25" s="3228" t="s">
        <v>3379</v>
      </c>
      <c r="E25" s="3229">
        <v>43735</v>
      </c>
      <c r="F25" s="3230">
        <v>20000</v>
      </c>
      <c r="G25" s="3231">
        <v>129.58000000000001</v>
      </c>
      <c r="H25" s="3231" t="s">
        <v>3335</v>
      </c>
      <c r="I25" s="3238">
        <v>1906325</v>
      </c>
      <c r="J25" s="3239">
        <v>43737</v>
      </c>
      <c r="K25" s="3234">
        <v>9</v>
      </c>
      <c r="L25" s="3238">
        <v>1861325</v>
      </c>
      <c r="M25" s="3235">
        <v>14364.292329063126</v>
      </c>
      <c r="N25" s="3236">
        <v>1841325</v>
      </c>
    </row>
    <row r="26" spans="1:14">
      <c r="A26" s="3226">
        <v>25</v>
      </c>
      <c r="B26" s="3226" t="s">
        <v>3380</v>
      </c>
      <c r="C26" s="3227" t="s">
        <v>3333</v>
      </c>
      <c r="D26" s="3228" t="s">
        <v>3381</v>
      </c>
      <c r="E26" s="3229">
        <v>43735</v>
      </c>
      <c r="F26" s="3230">
        <v>20000</v>
      </c>
      <c r="G26" s="3231">
        <v>129.58000000000001</v>
      </c>
      <c r="H26" s="3231" t="s">
        <v>3335</v>
      </c>
      <c r="I26" s="3230">
        <v>1899645</v>
      </c>
      <c r="J26" s="3229">
        <v>43738</v>
      </c>
      <c r="K26" s="3234">
        <v>9</v>
      </c>
      <c r="L26" s="3230">
        <v>1799006</v>
      </c>
      <c r="M26" s="3235">
        <v>13883.361629881154</v>
      </c>
      <c r="N26" s="3236">
        <v>1779006</v>
      </c>
    </row>
    <row r="27" spans="1:14">
      <c r="A27" s="3226">
        <v>26</v>
      </c>
      <c r="B27" s="3226" t="s">
        <v>3382</v>
      </c>
      <c r="C27" s="3227" t="s">
        <v>3333</v>
      </c>
      <c r="D27" s="3228" t="s">
        <v>3383</v>
      </c>
      <c r="E27" s="3229">
        <v>43735</v>
      </c>
      <c r="F27" s="3230">
        <v>20000</v>
      </c>
      <c r="G27" s="3231">
        <v>129.58000000000001</v>
      </c>
      <c r="H27" s="3231" t="s">
        <v>3335</v>
      </c>
      <c r="I27" s="3238">
        <v>1892966</v>
      </c>
      <c r="J27" s="3239">
        <v>43736</v>
      </c>
      <c r="K27" s="3234">
        <v>9</v>
      </c>
      <c r="L27" s="3238">
        <v>1857966</v>
      </c>
      <c r="M27" s="3235">
        <v>14338.3701188455</v>
      </c>
      <c r="N27" s="3236">
        <v>537966</v>
      </c>
    </row>
    <row r="28" spans="1:14">
      <c r="A28" s="3226">
        <v>27</v>
      </c>
      <c r="B28" s="3226" t="s">
        <v>3384</v>
      </c>
      <c r="C28" s="3227" t="s">
        <v>3333</v>
      </c>
      <c r="D28" s="3228" t="s">
        <v>3385</v>
      </c>
      <c r="E28" s="3229">
        <v>43735</v>
      </c>
      <c r="F28" s="3230">
        <v>20000</v>
      </c>
      <c r="G28" s="3231">
        <v>129.58000000000001</v>
      </c>
      <c r="H28" s="3231" t="s">
        <v>3335</v>
      </c>
      <c r="I28" s="3230">
        <v>1886287</v>
      </c>
      <c r="J28" s="3229">
        <v>43737</v>
      </c>
      <c r="K28" s="3234">
        <v>9</v>
      </c>
      <c r="L28" s="3230">
        <v>1851287</v>
      </c>
      <c r="M28" s="3235">
        <v>14286.826670782526</v>
      </c>
      <c r="N28" s="3236">
        <v>541287</v>
      </c>
    </row>
    <row r="29" spans="1:14">
      <c r="A29" s="3226">
        <v>28</v>
      </c>
      <c r="B29" s="3226" t="s">
        <v>3386</v>
      </c>
      <c r="C29" s="3227" t="s">
        <v>3333</v>
      </c>
      <c r="D29" s="3228" t="s">
        <v>3387</v>
      </c>
      <c r="E29" s="3229">
        <v>43735</v>
      </c>
      <c r="F29" s="3230">
        <v>20000</v>
      </c>
      <c r="G29" s="3240">
        <v>129.58000000000001</v>
      </c>
      <c r="H29" s="3231" t="s">
        <v>3335</v>
      </c>
      <c r="I29" s="3241">
        <v>1852890</v>
      </c>
      <c r="J29" s="3242">
        <v>43736</v>
      </c>
      <c r="K29" s="3234">
        <v>9</v>
      </c>
      <c r="L29" s="3241">
        <v>1807890</v>
      </c>
      <c r="M29" s="3235">
        <v>13951.9215928384</v>
      </c>
      <c r="N29" s="3243">
        <v>1787890</v>
      </c>
    </row>
    <row r="30" spans="1:14">
      <c r="A30" s="3226">
        <v>29</v>
      </c>
      <c r="B30" s="3226" t="s">
        <v>3388</v>
      </c>
      <c r="C30" s="3227" t="s">
        <v>3333</v>
      </c>
      <c r="D30" s="3228" t="s">
        <v>3389</v>
      </c>
      <c r="E30" s="3229">
        <v>43735</v>
      </c>
      <c r="F30" s="3230">
        <v>20000</v>
      </c>
      <c r="G30" s="3231">
        <v>129.58000000000001</v>
      </c>
      <c r="H30" s="3231" t="s">
        <v>3335</v>
      </c>
      <c r="I30" s="3230">
        <v>1812814</v>
      </c>
      <c r="J30" s="3229">
        <v>43737</v>
      </c>
      <c r="K30" s="3234">
        <v>9</v>
      </c>
      <c r="L30" s="3230">
        <v>1777814</v>
      </c>
      <c r="M30" s="3235">
        <v>13719.817873128568</v>
      </c>
      <c r="N30" s="3236">
        <v>517814</v>
      </c>
    </row>
    <row r="31" spans="1:14" ht="25.5">
      <c r="A31" s="3226">
        <v>30</v>
      </c>
      <c r="B31" s="3226" t="s">
        <v>3390</v>
      </c>
      <c r="C31" s="3227" t="s">
        <v>3333</v>
      </c>
      <c r="D31" s="3228" t="s">
        <v>3391</v>
      </c>
      <c r="E31" s="3239">
        <v>43736</v>
      </c>
      <c r="F31" s="3238">
        <v>0</v>
      </c>
      <c r="G31" s="3231">
        <v>129.58000000000001</v>
      </c>
      <c r="H31" s="3231" t="s">
        <v>3335</v>
      </c>
      <c r="I31" s="3238">
        <v>1759378</v>
      </c>
      <c r="J31" s="3239">
        <v>43736</v>
      </c>
      <c r="K31" s="3234">
        <v>9</v>
      </c>
      <c r="L31" s="3238">
        <v>1714378</v>
      </c>
      <c r="M31" s="3235">
        <v>13230.267016514894</v>
      </c>
      <c r="N31" s="3236">
        <v>1714378</v>
      </c>
    </row>
    <row r="32" spans="1:14" ht="25.5">
      <c r="A32" s="3226">
        <v>31</v>
      </c>
      <c r="B32" s="3226" t="s">
        <v>3392</v>
      </c>
      <c r="C32" s="3227" t="s">
        <v>3333</v>
      </c>
      <c r="D32" s="3228" t="s">
        <v>3393</v>
      </c>
      <c r="E32" s="3229">
        <v>43735</v>
      </c>
      <c r="F32" s="3230">
        <v>20000</v>
      </c>
      <c r="G32" s="3231">
        <v>127.06</v>
      </c>
      <c r="H32" s="3231" t="s">
        <v>3335</v>
      </c>
      <c r="I32" s="3230">
        <v>1620772</v>
      </c>
      <c r="J32" s="3229">
        <v>43738</v>
      </c>
      <c r="K32" s="3234">
        <v>9</v>
      </c>
      <c r="L32" s="3230">
        <v>1585772</v>
      </c>
      <c r="M32" s="3235">
        <v>12480.497402801826</v>
      </c>
      <c r="N32" s="3236">
        <v>465772</v>
      </c>
    </row>
    <row r="33" spans="1:14">
      <c r="A33" s="3226">
        <v>32</v>
      </c>
      <c r="B33" s="3226" t="s">
        <v>3394</v>
      </c>
      <c r="C33" s="3227" t="s">
        <v>3333</v>
      </c>
      <c r="D33" s="3228" t="s">
        <v>3395</v>
      </c>
      <c r="E33" s="3229">
        <v>43744</v>
      </c>
      <c r="F33" s="3230">
        <v>20000</v>
      </c>
      <c r="G33" s="3231">
        <v>129.58000000000001</v>
      </c>
      <c r="H33" s="3231" t="s">
        <v>3335</v>
      </c>
      <c r="I33" s="3230">
        <v>1850814</v>
      </c>
      <c r="J33" s="3229">
        <v>43749</v>
      </c>
      <c r="K33" s="3234">
        <v>10</v>
      </c>
      <c r="L33" s="3230">
        <v>1815814</v>
      </c>
      <c r="M33" s="3235">
        <v>14013.073005093378</v>
      </c>
      <c r="N33" s="3236">
        <v>525814</v>
      </c>
    </row>
    <row r="34" spans="1:14">
      <c r="A34" s="3226">
        <v>33</v>
      </c>
      <c r="B34" s="3226" t="s">
        <v>3396</v>
      </c>
      <c r="C34" s="3227" t="s">
        <v>3333</v>
      </c>
      <c r="D34" s="3228" t="s">
        <v>3397</v>
      </c>
      <c r="E34" s="3229">
        <v>43735</v>
      </c>
      <c r="F34" s="3230">
        <v>20000</v>
      </c>
      <c r="G34" s="3231">
        <v>129.58000000000001</v>
      </c>
      <c r="H34" s="3231" t="s">
        <v>3335</v>
      </c>
      <c r="I34" s="3230">
        <v>1924287</v>
      </c>
      <c r="J34" s="3229">
        <v>43737</v>
      </c>
      <c r="K34" s="3234">
        <v>9</v>
      </c>
      <c r="L34" s="3230">
        <v>1889287</v>
      </c>
      <c r="M34" s="3235">
        <v>14580.081802747336</v>
      </c>
      <c r="N34" s="3236">
        <v>549287</v>
      </c>
    </row>
    <row r="35" spans="1:14">
      <c r="A35" s="3226">
        <v>34</v>
      </c>
      <c r="B35" s="3226" t="s">
        <v>3398</v>
      </c>
      <c r="C35" s="3227" t="s">
        <v>3333</v>
      </c>
      <c r="D35" s="3228" t="s">
        <v>3399</v>
      </c>
      <c r="E35" s="3229">
        <v>43735</v>
      </c>
      <c r="F35" s="3230">
        <v>20000</v>
      </c>
      <c r="G35" s="3231">
        <v>129.58000000000001</v>
      </c>
      <c r="H35" s="3231" t="s">
        <v>3335</v>
      </c>
      <c r="I35" s="3230">
        <v>1917607</v>
      </c>
      <c r="J35" s="3229">
        <v>43738</v>
      </c>
      <c r="K35" s="3234">
        <v>9</v>
      </c>
      <c r="L35" s="3230">
        <v>1882607</v>
      </c>
      <c r="M35" s="3235">
        <v>14528.530637444048</v>
      </c>
      <c r="N35" s="3236">
        <v>562607</v>
      </c>
    </row>
    <row r="36" spans="1:14">
      <c r="A36" s="3226">
        <v>35</v>
      </c>
      <c r="B36" s="3226" t="s">
        <v>3400</v>
      </c>
      <c r="C36" s="3227" t="s">
        <v>3333</v>
      </c>
      <c r="D36" s="3228" t="s">
        <v>3401</v>
      </c>
      <c r="E36" s="3229">
        <v>43735</v>
      </c>
      <c r="F36" s="3230">
        <v>20000</v>
      </c>
      <c r="G36" s="3231">
        <v>129.58000000000001</v>
      </c>
      <c r="H36" s="3231" t="s">
        <v>3335</v>
      </c>
      <c r="I36" s="3230">
        <v>1910928</v>
      </c>
      <c r="J36" s="3229">
        <v>43737</v>
      </c>
      <c r="K36" s="3234">
        <v>9</v>
      </c>
      <c r="L36" s="3230">
        <v>1875928</v>
      </c>
      <c r="M36" s="3235">
        <v>14476.987189381076</v>
      </c>
      <c r="N36" s="3236">
        <v>1175928</v>
      </c>
    </row>
    <row r="37" spans="1:14">
      <c r="A37" s="3226">
        <v>36</v>
      </c>
      <c r="B37" s="3226" t="s">
        <v>3402</v>
      </c>
      <c r="C37" s="3227" t="s">
        <v>3333</v>
      </c>
      <c r="D37" s="3228" t="s">
        <v>3403</v>
      </c>
      <c r="E37" s="3229">
        <v>43735</v>
      </c>
      <c r="F37" s="3230">
        <v>20000</v>
      </c>
      <c r="G37" s="3231">
        <v>129.58000000000001</v>
      </c>
      <c r="H37" s="3231" t="s">
        <v>3335</v>
      </c>
      <c r="I37" s="3238">
        <v>1904249</v>
      </c>
      <c r="J37" s="3239">
        <v>43737</v>
      </c>
      <c r="K37" s="3234">
        <v>9</v>
      </c>
      <c r="L37" s="3238">
        <v>1869249</v>
      </c>
      <c r="M37" s="3235">
        <v>14425.443741318104</v>
      </c>
      <c r="N37" s="3236">
        <v>549249</v>
      </c>
    </row>
    <row r="38" spans="1:14" ht="25.5">
      <c r="A38" s="3226">
        <v>37</v>
      </c>
      <c r="B38" s="3226" t="s">
        <v>3404</v>
      </c>
      <c r="C38" s="3227" t="s">
        <v>3333</v>
      </c>
      <c r="D38" s="3228" t="s">
        <v>3405</v>
      </c>
      <c r="E38" s="3229">
        <v>43735</v>
      </c>
      <c r="F38" s="3230">
        <v>20000</v>
      </c>
      <c r="G38" s="3231">
        <v>129.58000000000001</v>
      </c>
      <c r="H38" s="3231" t="s">
        <v>3335</v>
      </c>
      <c r="I38" s="3238">
        <v>1897569</v>
      </c>
      <c r="J38" s="3239">
        <v>43738</v>
      </c>
      <c r="K38" s="3234">
        <v>9</v>
      </c>
      <c r="L38" s="3238">
        <v>1862569</v>
      </c>
      <c r="M38" s="3235">
        <v>14373.892576014816</v>
      </c>
      <c r="N38" s="3236">
        <v>542569</v>
      </c>
    </row>
    <row r="39" spans="1:14">
      <c r="A39" s="3226">
        <v>38</v>
      </c>
      <c r="B39" s="3226" t="s">
        <v>3406</v>
      </c>
      <c r="C39" s="3227" t="s">
        <v>3333</v>
      </c>
      <c r="D39" s="3228" t="s">
        <v>3407</v>
      </c>
      <c r="E39" s="3229">
        <v>43735</v>
      </c>
      <c r="F39" s="3230">
        <v>20000</v>
      </c>
      <c r="G39" s="3231">
        <v>129.58000000000001</v>
      </c>
      <c r="H39" s="3231" t="s">
        <v>3335</v>
      </c>
      <c r="I39" s="3238">
        <v>1890890</v>
      </c>
      <c r="J39" s="3239">
        <v>43738</v>
      </c>
      <c r="K39" s="3234">
        <v>9</v>
      </c>
      <c r="L39" s="3238">
        <v>1870890</v>
      </c>
      <c r="M39" s="3235">
        <v>14438.107732674795</v>
      </c>
      <c r="N39" s="3236">
        <v>1850890</v>
      </c>
    </row>
    <row r="40" spans="1:14">
      <c r="A40" s="3226">
        <v>39</v>
      </c>
      <c r="B40" s="3226" t="s">
        <v>3408</v>
      </c>
      <c r="C40" s="3227" t="s">
        <v>3333</v>
      </c>
      <c r="D40" s="3228" t="s">
        <v>3409</v>
      </c>
      <c r="E40" s="3229">
        <v>43735</v>
      </c>
      <c r="F40" s="3230">
        <v>20000</v>
      </c>
      <c r="G40" s="3231">
        <v>129.58000000000001</v>
      </c>
      <c r="H40" s="3231" t="s">
        <v>3335</v>
      </c>
      <c r="I40" s="3230">
        <v>1857493</v>
      </c>
      <c r="J40" s="3229">
        <v>43737</v>
      </c>
      <c r="K40" s="3234">
        <v>9</v>
      </c>
      <c r="L40" s="3230">
        <v>1822493</v>
      </c>
      <c r="M40" s="3235">
        <v>14064.61645315635</v>
      </c>
      <c r="N40" s="3236">
        <v>532493</v>
      </c>
    </row>
    <row r="41" spans="1:14" ht="25.5">
      <c r="A41" s="3226">
        <v>40</v>
      </c>
      <c r="B41" s="3226" t="s">
        <v>3410</v>
      </c>
      <c r="C41" s="3227" t="s">
        <v>3333</v>
      </c>
      <c r="D41" s="3228" t="s">
        <v>3411</v>
      </c>
      <c r="E41" s="3229">
        <v>43735</v>
      </c>
      <c r="F41" s="3230">
        <v>20000</v>
      </c>
      <c r="G41" s="3231">
        <v>129.58000000000001</v>
      </c>
      <c r="H41" s="3231" t="s">
        <v>3335</v>
      </c>
      <c r="I41" s="3238">
        <v>1817417</v>
      </c>
      <c r="J41" s="3239">
        <v>43738</v>
      </c>
      <c r="K41" s="3234">
        <v>9</v>
      </c>
      <c r="L41" s="3238">
        <v>1797417</v>
      </c>
      <c r="M41" s="3235">
        <v>13871.098935020835</v>
      </c>
      <c r="N41" s="3236">
        <v>527417</v>
      </c>
    </row>
    <row r="42" spans="1:14" ht="25.5">
      <c r="A42" s="3226">
        <v>41</v>
      </c>
      <c r="B42" s="3226" t="s">
        <v>3412</v>
      </c>
      <c r="C42" s="3227" t="s">
        <v>3333</v>
      </c>
      <c r="D42" s="3228" t="s">
        <v>3413</v>
      </c>
      <c r="E42" s="3229">
        <v>43735</v>
      </c>
      <c r="F42" s="3230">
        <v>20000</v>
      </c>
      <c r="G42" s="3231">
        <v>129.58000000000001</v>
      </c>
      <c r="H42" s="3231" t="s">
        <v>3335</v>
      </c>
      <c r="I42" s="3230">
        <v>1763982</v>
      </c>
      <c r="J42" s="3229">
        <v>43736</v>
      </c>
      <c r="K42" s="3234">
        <v>9</v>
      </c>
      <c r="L42" s="3230">
        <v>1743982</v>
      </c>
      <c r="M42" s="3235">
        <v>13458.728198796109</v>
      </c>
      <c r="N42" s="3236">
        <v>653982</v>
      </c>
    </row>
    <row r="43" spans="1:14">
      <c r="A43" s="3226">
        <v>42</v>
      </c>
      <c r="B43" s="3226" t="s">
        <v>3414</v>
      </c>
      <c r="C43" s="3227" t="s">
        <v>3333</v>
      </c>
      <c r="D43" s="3228" t="s">
        <v>3415</v>
      </c>
      <c r="E43" s="3229">
        <v>43735</v>
      </c>
      <c r="F43" s="3230">
        <v>20000</v>
      </c>
      <c r="G43" s="3231">
        <v>127.06</v>
      </c>
      <c r="H43" s="3231" t="s">
        <v>3335</v>
      </c>
      <c r="I43" s="3230">
        <v>1625286</v>
      </c>
      <c r="J43" s="3229">
        <v>43738</v>
      </c>
      <c r="K43" s="3234">
        <v>9</v>
      </c>
      <c r="L43" s="3230">
        <v>1590286</v>
      </c>
      <c r="M43" s="3235">
        <v>12516.023925704392</v>
      </c>
      <c r="N43" s="3236">
        <v>460286</v>
      </c>
    </row>
    <row r="44" spans="1:14">
      <c r="A44" s="3226">
        <v>43</v>
      </c>
      <c r="B44" s="3226" t="s">
        <v>3416</v>
      </c>
      <c r="C44" s="3227" t="s">
        <v>3333</v>
      </c>
      <c r="D44" s="3228" t="s">
        <v>3417</v>
      </c>
      <c r="E44" s="3229">
        <v>43735</v>
      </c>
      <c r="F44" s="3230">
        <v>20000</v>
      </c>
      <c r="G44" s="3231">
        <v>129.54</v>
      </c>
      <c r="H44" s="3231" t="s">
        <v>3335</v>
      </c>
      <c r="I44" s="3230">
        <v>1854850</v>
      </c>
      <c r="J44" s="3229">
        <v>43737</v>
      </c>
      <c r="K44" s="3234">
        <v>9</v>
      </c>
      <c r="L44" s="3230">
        <v>1819850</v>
      </c>
      <c r="M44" s="3235">
        <v>14048.556430446195</v>
      </c>
      <c r="N44" s="3236">
        <v>539850</v>
      </c>
    </row>
    <row r="45" spans="1:14">
      <c r="A45" s="3226">
        <v>44</v>
      </c>
      <c r="B45" s="3226" t="s">
        <v>3418</v>
      </c>
      <c r="C45" s="3227" t="s">
        <v>3333</v>
      </c>
      <c r="D45" s="3228" t="s">
        <v>3419</v>
      </c>
      <c r="E45" s="3229">
        <v>43735</v>
      </c>
      <c r="F45" s="3230">
        <v>20000</v>
      </c>
      <c r="G45" s="3231">
        <v>129.58000000000001</v>
      </c>
      <c r="H45" s="3231" t="s">
        <v>3335</v>
      </c>
      <c r="I45" s="3238">
        <v>1928890</v>
      </c>
      <c r="J45" s="3239">
        <v>43737</v>
      </c>
      <c r="K45" s="3234">
        <v>9</v>
      </c>
      <c r="L45" s="3238">
        <v>1883890</v>
      </c>
      <c r="M45" s="3235">
        <v>14538.431856768018</v>
      </c>
      <c r="N45" s="3236">
        <v>1863890</v>
      </c>
    </row>
    <row r="46" spans="1:14">
      <c r="A46" s="3226">
        <v>45</v>
      </c>
      <c r="B46" s="3226" t="s">
        <v>3420</v>
      </c>
      <c r="C46" s="3227" t="s">
        <v>3333</v>
      </c>
      <c r="D46" s="3228" t="s">
        <v>3421</v>
      </c>
      <c r="E46" s="3229">
        <v>43735</v>
      </c>
      <c r="F46" s="3230">
        <v>20000</v>
      </c>
      <c r="G46" s="3231">
        <v>129.58000000000001</v>
      </c>
      <c r="H46" s="3231" t="s">
        <v>3335</v>
      </c>
      <c r="I46" s="3230">
        <v>1922211</v>
      </c>
      <c r="J46" s="3229">
        <v>43738</v>
      </c>
      <c r="K46" s="3234">
        <v>9</v>
      </c>
      <c r="L46" s="3230">
        <v>1902211</v>
      </c>
      <c r="M46" s="3235">
        <v>14679.819416576631</v>
      </c>
      <c r="N46" s="3236">
        <v>1282211</v>
      </c>
    </row>
    <row r="47" spans="1:14" ht="25.5">
      <c r="A47" s="3226">
        <v>46</v>
      </c>
      <c r="B47" s="3226" t="s">
        <v>3422</v>
      </c>
      <c r="C47" s="3227" t="s">
        <v>3333</v>
      </c>
      <c r="D47" s="3228" t="s">
        <v>3423</v>
      </c>
      <c r="E47" s="3229">
        <v>43735</v>
      </c>
      <c r="F47" s="3230">
        <v>20000</v>
      </c>
      <c r="G47" s="3231">
        <v>129.58000000000001</v>
      </c>
      <c r="H47" s="3231" t="s">
        <v>3335</v>
      </c>
      <c r="I47" s="3238">
        <v>1915531</v>
      </c>
      <c r="J47" s="3239">
        <v>43737</v>
      </c>
      <c r="K47" s="3234">
        <v>9</v>
      </c>
      <c r="L47" s="3238">
        <v>1880531</v>
      </c>
      <c r="M47" s="3235">
        <v>14512.509646550392</v>
      </c>
      <c r="N47" s="3236">
        <v>860531</v>
      </c>
    </row>
    <row r="48" spans="1:14">
      <c r="A48" s="3226">
        <v>47</v>
      </c>
      <c r="B48" s="3226" t="s">
        <v>3424</v>
      </c>
      <c r="C48" s="3227" t="s">
        <v>3333</v>
      </c>
      <c r="D48" s="3228" t="s">
        <v>3425</v>
      </c>
      <c r="E48" s="3229">
        <v>43735</v>
      </c>
      <c r="F48" s="3230">
        <v>20000</v>
      </c>
      <c r="G48" s="3231">
        <v>129.58000000000001</v>
      </c>
      <c r="H48" s="3231" t="s">
        <v>3335</v>
      </c>
      <c r="I48" s="3230">
        <v>1908852</v>
      </c>
      <c r="J48" s="3229">
        <v>43737</v>
      </c>
      <c r="K48" s="3234">
        <v>9</v>
      </c>
      <c r="L48" s="3230">
        <v>1817636</v>
      </c>
      <c r="M48" s="3235">
        <v>14027.133816947058</v>
      </c>
      <c r="N48" s="3236">
        <v>997636</v>
      </c>
    </row>
    <row r="49" spans="1:14">
      <c r="A49" s="3226">
        <v>48</v>
      </c>
      <c r="B49" s="3226" t="s">
        <v>3426</v>
      </c>
      <c r="C49" s="3227" t="s">
        <v>3333</v>
      </c>
      <c r="D49" s="3228" t="s">
        <v>3427</v>
      </c>
      <c r="E49" s="3229">
        <v>43735</v>
      </c>
      <c r="F49" s="3230">
        <v>20000</v>
      </c>
      <c r="G49" s="3231">
        <v>129.58000000000001</v>
      </c>
      <c r="H49" s="3231" t="s">
        <v>3335</v>
      </c>
      <c r="I49" s="3238">
        <v>1902172</v>
      </c>
      <c r="J49" s="3239">
        <v>43736</v>
      </c>
      <c r="K49" s="3234">
        <v>9</v>
      </c>
      <c r="L49" s="3238">
        <v>1857172</v>
      </c>
      <c r="M49" s="3235">
        <v>14332.242630035498</v>
      </c>
      <c r="N49" s="3236">
        <v>1837172</v>
      </c>
    </row>
    <row r="50" spans="1:14" ht="25.5">
      <c r="A50" s="3226">
        <v>49</v>
      </c>
      <c r="B50" s="3226" t="s">
        <v>3428</v>
      </c>
      <c r="C50" s="3227" t="s">
        <v>3333</v>
      </c>
      <c r="D50" s="3228" t="s">
        <v>3429</v>
      </c>
      <c r="E50" s="3229">
        <v>43735</v>
      </c>
      <c r="F50" s="3230">
        <v>20000</v>
      </c>
      <c r="G50" s="3231">
        <v>129.58000000000001</v>
      </c>
      <c r="H50" s="3231" t="s">
        <v>3335</v>
      </c>
      <c r="I50" s="3230">
        <v>1895493</v>
      </c>
      <c r="J50" s="3229">
        <v>43736</v>
      </c>
      <c r="K50" s="3234">
        <v>9</v>
      </c>
      <c r="L50" s="3230">
        <v>1875493</v>
      </c>
      <c r="M50" s="3235">
        <v>14473.630189844111</v>
      </c>
      <c r="N50" s="3236">
        <v>1155493</v>
      </c>
    </row>
    <row r="51" spans="1:14">
      <c r="A51" s="3226">
        <v>51</v>
      </c>
      <c r="B51" s="3226" t="s">
        <v>3430</v>
      </c>
      <c r="C51" s="3227" t="s">
        <v>3333</v>
      </c>
      <c r="D51" s="3228" t="s">
        <v>3431</v>
      </c>
      <c r="E51" s="3229">
        <v>43735</v>
      </c>
      <c r="F51" s="3230">
        <v>20000</v>
      </c>
      <c r="G51" s="3231">
        <v>129.58000000000001</v>
      </c>
      <c r="H51" s="3231" t="s">
        <v>3335</v>
      </c>
      <c r="I51" s="3230">
        <v>1822020</v>
      </c>
      <c r="J51" s="3229">
        <v>43738</v>
      </c>
      <c r="K51" s="3234">
        <v>9</v>
      </c>
      <c r="L51" s="3230">
        <v>1777020</v>
      </c>
      <c r="M51" s="3235">
        <v>13713.690384318566</v>
      </c>
      <c r="N51" s="3236">
        <v>1757020</v>
      </c>
    </row>
    <row r="52" spans="1:14" ht="25.5">
      <c r="A52" s="3226">
        <v>52</v>
      </c>
      <c r="B52" s="3226" t="s">
        <v>3432</v>
      </c>
      <c r="C52" s="3227" t="s">
        <v>3333</v>
      </c>
      <c r="D52" s="3228" t="s">
        <v>3433</v>
      </c>
      <c r="E52" s="3229">
        <v>43735</v>
      </c>
      <c r="F52" s="3230">
        <v>20000</v>
      </c>
      <c r="G52" s="3231">
        <v>129.58000000000001</v>
      </c>
      <c r="H52" s="3231" t="s">
        <v>3335</v>
      </c>
      <c r="I52" s="3230">
        <v>1768585</v>
      </c>
      <c r="J52" s="3229">
        <v>43736</v>
      </c>
      <c r="K52" s="3234">
        <v>9</v>
      </c>
      <c r="L52" s="3230">
        <v>1733585</v>
      </c>
      <c r="M52" s="3235">
        <v>13378.492051242474</v>
      </c>
      <c r="N52" s="3236">
        <v>513585</v>
      </c>
    </row>
    <row r="53" spans="1:14">
      <c r="A53" s="3226">
        <v>53</v>
      </c>
      <c r="B53" s="3226" t="s">
        <v>3434</v>
      </c>
      <c r="C53" s="3227" t="s">
        <v>3333</v>
      </c>
      <c r="D53" s="3228" t="s">
        <v>3435</v>
      </c>
      <c r="E53" s="3229">
        <v>43735</v>
      </c>
      <c r="F53" s="3230">
        <v>20000</v>
      </c>
      <c r="G53" s="3231">
        <v>127.06</v>
      </c>
      <c r="H53" s="3231" t="s">
        <v>3335</v>
      </c>
      <c r="I53" s="3238">
        <v>1629800</v>
      </c>
      <c r="J53" s="3239">
        <v>43751</v>
      </c>
      <c r="K53" s="3234">
        <v>10</v>
      </c>
      <c r="L53" s="3238">
        <v>1584800</v>
      </c>
      <c r="M53" s="3235">
        <v>12472.847473634503</v>
      </c>
      <c r="N53" s="3244">
        <v>1564800</v>
      </c>
    </row>
    <row r="54" spans="1:14">
      <c r="A54" s="3226">
        <v>54</v>
      </c>
      <c r="B54" s="3226" t="s">
        <v>3436</v>
      </c>
      <c r="C54" s="3227" t="s">
        <v>3333</v>
      </c>
      <c r="D54" s="3228" t="s">
        <v>3437</v>
      </c>
      <c r="E54" s="3229">
        <v>43735</v>
      </c>
      <c r="F54" s="3230">
        <v>20000</v>
      </c>
      <c r="G54" s="3231">
        <v>148.91</v>
      </c>
      <c r="H54" s="3231" t="s">
        <v>3438</v>
      </c>
      <c r="I54" s="3230">
        <v>2057709</v>
      </c>
      <c r="J54" s="3229">
        <v>43736</v>
      </c>
      <c r="K54" s="3234">
        <v>9</v>
      </c>
      <c r="L54" s="3230">
        <v>2037709</v>
      </c>
      <c r="M54" s="3235">
        <v>13684.164931838024</v>
      </c>
      <c r="N54" s="3236">
        <v>927709</v>
      </c>
    </row>
    <row r="55" spans="1:14">
      <c r="A55" s="3226">
        <v>55</v>
      </c>
      <c r="B55" s="3226" t="s">
        <v>3439</v>
      </c>
      <c r="C55" s="3227" t="s">
        <v>3333</v>
      </c>
      <c r="D55" s="3228" t="s">
        <v>3440</v>
      </c>
      <c r="E55" s="3229">
        <v>43735</v>
      </c>
      <c r="F55" s="3230">
        <v>20000</v>
      </c>
      <c r="G55" s="3231">
        <v>148.86000000000001</v>
      </c>
      <c r="H55" s="3231" t="s">
        <v>3438</v>
      </c>
      <c r="I55" s="3230">
        <v>2141430</v>
      </c>
      <c r="J55" s="3229">
        <v>43736</v>
      </c>
      <c r="K55" s="3234">
        <v>9</v>
      </c>
      <c r="L55" s="3230">
        <v>2106430</v>
      </c>
      <c r="M55" s="3235">
        <v>14150.409781002283</v>
      </c>
      <c r="N55" s="3236">
        <v>616430</v>
      </c>
    </row>
    <row r="56" spans="1:14">
      <c r="A56" s="3226">
        <v>56</v>
      </c>
      <c r="B56" s="3226" t="s">
        <v>3441</v>
      </c>
      <c r="C56" s="3227" t="s">
        <v>3333</v>
      </c>
      <c r="D56" s="3228" t="s">
        <v>3442</v>
      </c>
      <c r="E56" s="3229">
        <v>43735</v>
      </c>
      <c r="F56" s="3230">
        <v>20000</v>
      </c>
      <c r="G56" s="3231">
        <v>148.86000000000001</v>
      </c>
      <c r="H56" s="3231" t="s">
        <v>3438</v>
      </c>
      <c r="I56" s="3241">
        <v>2133757</v>
      </c>
      <c r="J56" s="3242">
        <v>43738</v>
      </c>
      <c r="K56" s="3234">
        <v>9</v>
      </c>
      <c r="L56" s="3241">
        <v>2035794</v>
      </c>
      <c r="M56" s="3235">
        <v>13675.896815800079</v>
      </c>
      <c r="N56" s="3243">
        <v>1515794</v>
      </c>
    </row>
    <row r="57" spans="1:14">
      <c r="A57" s="3226">
        <v>57</v>
      </c>
      <c r="B57" s="3226" t="s">
        <v>3443</v>
      </c>
      <c r="C57" s="3227" t="s">
        <v>3333</v>
      </c>
      <c r="D57" s="3228" t="s">
        <v>3444</v>
      </c>
      <c r="E57" s="3229">
        <v>43735</v>
      </c>
      <c r="F57" s="3230">
        <v>20000</v>
      </c>
      <c r="G57" s="3231">
        <v>148.86000000000001</v>
      </c>
      <c r="H57" s="3231" t="s">
        <v>3438</v>
      </c>
      <c r="I57" s="3230">
        <v>2126084</v>
      </c>
      <c r="J57" s="3229">
        <v>43736</v>
      </c>
      <c r="K57" s="3234">
        <v>9</v>
      </c>
      <c r="L57" s="3230">
        <v>2091084</v>
      </c>
      <c r="M57" s="3235">
        <v>14047.31962918178</v>
      </c>
      <c r="N57" s="3244">
        <v>671084</v>
      </c>
    </row>
    <row r="58" spans="1:14">
      <c r="A58" s="3226">
        <v>58</v>
      </c>
      <c r="B58" s="3226" t="s">
        <v>3445</v>
      </c>
      <c r="C58" s="3227" t="s">
        <v>3333</v>
      </c>
      <c r="D58" s="3228" t="s">
        <v>3446</v>
      </c>
      <c r="E58" s="3229">
        <v>43735</v>
      </c>
      <c r="F58" s="3230">
        <v>20000</v>
      </c>
      <c r="G58" s="3231">
        <v>148.86000000000001</v>
      </c>
      <c r="H58" s="3231" t="s">
        <v>3438</v>
      </c>
      <c r="I58" s="3230">
        <v>2118411</v>
      </c>
      <c r="J58" s="3229">
        <v>43738</v>
      </c>
      <c r="K58" s="3234">
        <v>9</v>
      </c>
      <c r="L58" s="3230">
        <v>2098411</v>
      </c>
      <c r="M58" s="3235">
        <v>14096.540373505306</v>
      </c>
      <c r="N58" s="3236">
        <v>1478411</v>
      </c>
    </row>
    <row r="59" spans="1:14">
      <c r="A59" s="3226">
        <v>59</v>
      </c>
      <c r="B59" s="3226" t="s">
        <v>3447</v>
      </c>
      <c r="C59" s="3227" t="s">
        <v>3333</v>
      </c>
      <c r="D59" s="3228" t="s">
        <v>3448</v>
      </c>
      <c r="E59" s="3229">
        <v>43735</v>
      </c>
      <c r="F59" s="3230">
        <v>20000</v>
      </c>
      <c r="G59" s="3231">
        <v>148.86000000000001</v>
      </c>
      <c r="H59" s="3231" t="s">
        <v>3438</v>
      </c>
      <c r="I59" s="3230">
        <v>2110737</v>
      </c>
      <c r="J59" s="3229">
        <v>43736</v>
      </c>
      <c r="K59" s="3234">
        <v>9</v>
      </c>
      <c r="L59" s="3230">
        <v>2075737</v>
      </c>
      <c r="M59" s="3235">
        <v>13944.222759639928</v>
      </c>
      <c r="N59" s="3236">
        <v>1085737</v>
      </c>
    </row>
    <row r="60" spans="1:14">
      <c r="A60" s="3226">
        <v>60</v>
      </c>
      <c r="B60" s="3226" t="s">
        <v>3449</v>
      </c>
      <c r="C60" s="3227" t="s">
        <v>3333</v>
      </c>
      <c r="D60" s="3228" t="s">
        <v>3450</v>
      </c>
      <c r="E60" s="3229">
        <v>43735</v>
      </c>
      <c r="F60" s="3230">
        <v>20000</v>
      </c>
      <c r="G60" s="3231">
        <v>148.86000000000001</v>
      </c>
      <c r="H60" s="3231" t="s">
        <v>3438</v>
      </c>
      <c r="I60" s="3230">
        <v>2103064</v>
      </c>
      <c r="J60" s="3229">
        <v>43737</v>
      </c>
      <c r="K60" s="3234">
        <v>9</v>
      </c>
      <c r="L60" s="3230">
        <v>2068064</v>
      </c>
      <c r="M60" s="3235">
        <v>13892.677683729678</v>
      </c>
      <c r="N60" s="3236">
        <v>1048064</v>
      </c>
    </row>
    <row r="61" spans="1:14">
      <c r="A61" s="3226">
        <v>62</v>
      </c>
      <c r="B61" s="3226" t="s">
        <v>3451</v>
      </c>
      <c r="C61" s="3227" t="s">
        <v>3333</v>
      </c>
      <c r="D61" s="3228" t="s">
        <v>3452</v>
      </c>
      <c r="E61" s="3229">
        <v>43735</v>
      </c>
      <c r="F61" s="3230">
        <v>20000</v>
      </c>
      <c r="G61" s="3231">
        <v>148.86000000000001</v>
      </c>
      <c r="H61" s="3231" t="s">
        <v>3438</v>
      </c>
      <c r="I61" s="3230">
        <v>2018659</v>
      </c>
      <c r="J61" s="3229">
        <v>43738</v>
      </c>
      <c r="K61" s="3234">
        <v>9</v>
      </c>
      <c r="L61" s="3230">
        <v>1983659</v>
      </c>
      <c r="M61" s="3235">
        <v>13325.668413274216</v>
      </c>
      <c r="N61" s="3236">
        <v>575659</v>
      </c>
    </row>
    <row r="62" spans="1:14">
      <c r="A62" s="3226">
        <v>63</v>
      </c>
      <c r="B62" s="3226" t="s">
        <v>3453</v>
      </c>
      <c r="C62" s="3227" t="s">
        <v>3333</v>
      </c>
      <c r="D62" s="3228" t="s">
        <v>3454</v>
      </c>
      <c r="E62" s="3229">
        <v>43769</v>
      </c>
      <c r="F62" s="3230">
        <v>0</v>
      </c>
      <c r="G62" s="3231">
        <v>148.86000000000001</v>
      </c>
      <c r="H62" s="3231" t="s">
        <v>3438</v>
      </c>
      <c r="I62" s="3230">
        <v>1957274</v>
      </c>
      <c r="J62" s="3229">
        <v>43769</v>
      </c>
      <c r="K62" s="3234">
        <v>10</v>
      </c>
      <c r="L62" s="3230">
        <v>1922274</v>
      </c>
      <c r="M62" s="3235">
        <v>12913.301088270857</v>
      </c>
      <c r="N62" s="3236">
        <v>582274</v>
      </c>
    </row>
    <row r="63" spans="1:14">
      <c r="A63" s="3226">
        <v>64</v>
      </c>
      <c r="B63" s="3226" t="s">
        <v>3455</v>
      </c>
      <c r="C63" s="3227" t="s">
        <v>3333</v>
      </c>
      <c r="D63" s="3228" t="s">
        <v>3456</v>
      </c>
      <c r="E63" s="3229">
        <v>43738</v>
      </c>
      <c r="F63" s="3230">
        <v>20000</v>
      </c>
      <c r="G63" s="3231">
        <v>146.55000000000001</v>
      </c>
      <c r="H63" s="3231" t="s">
        <v>3438</v>
      </c>
      <c r="I63" s="3230">
        <v>1806355</v>
      </c>
      <c r="J63" s="3229">
        <v>43738</v>
      </c>
      <c r="K63" s="3234">
        <v>9</v>
      </c>
      <c r="L63" s="3230">
        <v>1771355</v>
      </c>
      <c r="M63" s="3235">
        <v>12087.0351415899</v>
      </c>
      <c r="N63" s="3236">
        <v>521355</v>
      </c>
    </row>
    <row r="64" spans="1:14">
      <c r="A64" s="3226">
        <v>65</v>
      </c>
      <c r="B64" s="3226" t="s">
        <v>3457</v>
      </c>
      <c r="C64" s="3227" t="s">
        <v>3333</v>
      </c>
      <c r="D64" s="3228" t="s">
        <v>3458</v>
      </c>
      <c r="E64" s="3229">
        <v>43742</v>
      </c>
      <c r="F64" s="3230">
        <v>20000</v>
      </c>
      <c r="G64" s="3231">
        <v>132.68</v>
      </c>
      <c r="H64" s="3231" t="s">
        <v>3335</v>
      </c>
      <c r="I64" s="3230">
        <v>1834573</v>
      </c>
      <c r="J64" s="3229">
        <v>43744</v>
      </c>
      <c r="K64" s="3234">
        <v>10</v>
      </c>
      <c r="L64" s="3230">
        <v>1799573</v>
      </c>
      <c r="M64" s="3235">
        <v>13563.257461561652</v>
      </c>
      <c r="N64" s="3236">
        <v>529573</v>
      </c>
    </row>
    <row r="65" spans="1:14">
      <c r="A65" s="3226">
        <v>66</v>
      </c>
      <c r="B65" s="3226" t="s">
        <v>3459</v>
      </c>
      <c r="C65" s="3227" t="s">
        <v>3333</v>
      </c>
      <c r="D65" s="3228" t="s">
        <v>3460</v>
      </c>
      <c r="E65" s="3229">
        <v>43735</v>
      </c>
      <c r="F65" s="3230">
        <v>20000</v>
      </c>
      <c r="G65" s="3231">
        <v>132.6</v>
      </c>
      <c r="H65" s="3231" t="s">
        <v>3335</v>
      </c>
      <c r="I65" s="3238">
        <v>1908665</v>
      </c>
      <c r="J65" s="3239">
        <v>43737</v>
      </c>
      <c r="K65" s="3234">
        <v>9</v>
      </c>
      <c r="L65" s="3238">
        <v>1873665</v>
      </c>
      <c r="M65" s="3235">
        <v>14130.203619909504</v>
      </c>
      <c r="N65" s="3236">
        <v>1053665</v>
      </c>
    </row>
    <row r="66" spans="1:14">
      <c r="A66" s="3226">
        <v>67</v>
      </c>
      <c r="B66" s="3226" t="s">
        <v>3461</v>
      </c>
      <c r="C66" s="3227" t="s">
        <v>3333</v>
      </c>
      <c r="D66" s="3228" t="s">
        <v>3462</v>
      </c>
      <c r="E66" s="3229">
        <v>43735</v>
      </c>
      <c r="F66" s="3230">
        <v>20000</v>
      </c>
      <c r="G66" s="3231">
        <v>132.6</v>
      </c>
      <c r="H66" s="3231" t="s">
        <v>3335</v>
      </c>
      <c r="I66" s="3230">
        <v>1901830</v>
      </c>
      <c r="J66" s="3229">
        <v>43738</v>
      </c>
      <c r="K66" s="3234">
        <v>9</v>
      </c>
      <c r="L66" s="3230">
        <v>1810825</v>
      </c>
      <c r="M66" s="3235">
        <v>13656.297134238312</v>
      </c>
      <c r="N66" s="3244">
        <v>530825</v>
      </c>
    </row>
    <row r="67" spans="1:14">
      <c r="A67" s="3226">
        <v>68</v>
      </c>
      <c r="B67" s="3226" t="s">
        <v>3463</v>
      </c>
      <c r="C67" s="3227" t="s">
        <v>3333</v>
      </c>
      <c r="D67" s="3228" t="s">
        <v>3464</v>
      </c>
      <c r="E67" s="3229">
        <v>43735</v>
      </c>
      <c r="F67" s="3230">
        <v>20000</v>
      </c>
      <c r="G67" s="3231">
        <v>132.6</v>
      </c>
      <c r="H67" s="3231" t="s">
        <v>3335</v>
      </c>
      <c r="I67" s="3238">
        <v>1894995</v>
      </c>
      <c r="J67" s="3239">
        <v>43738</v>
      </c>
      <c r="K67" s="3234">
        <v>9</v>
      </c>
      <c r="L67" s="3238">
        <v>1849995</v>
      </c>
      <c r="M67" s="3235">
        <v>13951.696832579186</v>
      </c>
      <c r="N67" s="3238">
        <v>1829995</v>
      </c>
    </row>
    <row r="68" spans="1:14">
      <c r="A68" s="3226">
        <v>69</v>
      </c>
      <c r="B68" s="3226" t="s">
        <v>3465</v>
      </c>
      <c r="C68" s="3227" t="s">
        <v>3333</v>
      </c>
      <c r="D68" s="3228" t="s">
        <v>3466</v>
      </c>
      <c r="E68" s="3229">
        <v>43735</v>
      </c>
      <c r="F68" s="3230">
        <v>20000</v>
      </c>
      <c r="G68" s="3231">
        <v>132.6</v>
      </c>
      <c r="H68" s="3231" t="s">
        <v>3335</v>
      </c>
      <c r="I68" s="3230">
        <v>1888160</v>
      </c>
      <c r="J68" s="3229">
        <v>43738</v>
      </c>
      <c r="K68" s="3234">
        <v>9</v>
      </c>
      <c r="L68" s="3230">
        <v>1853160</v>
      </c>
      <c r="M68" s="3235">
        <v>13975.565610859729</v>
      </c>
      <c r="N68" s="3236">
        <v>543160</v>
      </c>
    </row>
    <row r="69" spans="1:14" ht="25.5">
      <c r="A69" s="3226">
        <v>70</v>
      </c>
      <c r="B69" s="3226" t="s">
        <v>3467</v>
      </c>
      <c r="C69" s="3227" t="s">
        <v>3333</v>
      </c>
      <c r="D69" s="3228" t="s">
        <v>3468</v>
      </c>
      <c r="E69" s="3229">
        <v>43735</v>
      </c>
      <c r="F69" s="3230">
        <v>20000</v>
      </c>
      <c r="G69" s="3231">
        <v>132.6</v>
      </c>
      <c r="H69" s="3231" t="s">
        <v>3335</v>
      </c>
      <c r="I69" s="3230">
        <v>1881325</v>
      </c>
      <c r="J69" s="3229">
        <v>43738</v>
      </c>
      <c r="K69" s="3234">
        <v>9</v>
      </c>
      <c r="L69" s="3230">
        <v>1846325</v>
      </c>
      <c r="M69" s="3235">
        <v>13924.019607843138</v>
      </c>
      <c r="N69" s="3236">
        <v>1026325</v>
      </c>
    </row>
    <row r="70" spans="1:14">
      <c r="A70" s="3226">
        <v>71</v>
      </c>
      <c r="B70" s="3226" t="s">
        <v>3469</v>
      </c>
      <c r="C70" s="3227" t="s">
        <v>3333</v>
      </c>
      <c r="D70" s="3228" t="s">
        <v>3470</v>
      </c>
      <c r="E70" s="3229">
        <v>43735</v>
      </c>
      <c r="F70" s="3230">
        <v>20000</v>
      </c>
      <c r="G70" s="3231">
        <v>132.6</v>
      </c>
      <c r="H70" s="3231" t="s">
        <v>3335</v>
      </c>
      <c r="I70" s="3230">
        <v>1874490</v>
      </c>
      <c r="J70" s="3229">
        <v>43752</v>
      </c>
      <c r="K70" s="3234">
        <v>10</v>
      </c>
      <c r="L70" s="3230">
        <v>1839490</v>
      </c>
      <c r="M70" s="3235">
        <v>13872.473604826546</v>
      </c>
      <c r="N70" s="3236">
        <v>539490</v>
      </c>
    </row>
    <row r="71" spans="1:14">
      <c r="A71" s="3226">
        <v>72</v>
      </c>
      <c r="B71" s="3226" t="s">
        <v>3471</v>
      </c>
      <c r="C71" s="3227" t="s">
        <v>3333</v>
      </c>
      <c r="D71" s="3228" t="s">
        <v>3472</v>
      </c>
      <c r="E71" s="3229">
        <v>43735</v>
      </c>
      <c r="F71" s="3230">
        <v>20000</v>
      </c>
      <c r="G71" s="3231">
        <v>132.6</v>
      </c>
      <c r="H71" s="3231" t="s">
        <v>3335</v>
      </c>
      <c r="I71" s="3238">
        <v>1833480</v>
      </c>
      <c r="J71" s="3239">
        <v>43737</v>
      </c>
      <c r="K71" s="3234">
        <v>9</v>
      </c>
      <c r="L71" s="3238">
        <v>1798480</v>
      </c>
      <c r="M71" s="3235">
        <v>13563.197586726999</v>
      </c>
      <c r="N71" s="3236">
        <v>778480</v>
      </c>
    </row>
    <row r="72" spans="1:14">
      <c r="A72" s="3226">
        <v>73</v>
      </c>
      <c r="B72" s="3226" t="s">
        <v>3473</v>
      </c>
      <c r="C72" s="3227" t="s">
        <v>3333</v>
      </c>
      <c r="D72" s="3228" t="s">
        <v>3474</v>
      </c>
      <c r="E72" s="3229">
        <v>43735</v>
      </c>
      <c r="F72" s="3230">
        <v>20000</v>
      </c>
      <c r="G72" s="3231">
        <v>132.6</v>
      </c>
      <c r="H72" s="3231" t="s">
        <v>3335</v>
      </c>
      <c r="I72" s="3241">
        <v>1785634</v>
      </c>
      <c r="J72" s="3242">
        <v>43737</v>
      </c>
      <c r="K72" s="3234">
        <v>9</v>
      </c>
      <c r="L72" s="3241">
        <v>1750634</v>
      </c>
      <c r="M72" s="3235">
        <v>13202.368024132731</v>
      </c>
      <c r="N72" s="3243">
        <v>650634</v>
      </c>
    </row>
    <row r="73" spans="1:14">
      <c r="A73" s="3226">
        <v>74</v>
      </c>
      <c r="B73" s="3240" t="s">
        <v>3475</v>
      </c>
      <c r="C73" s="3227" t="s">
        <v>3333</v>
      </c>
      <c r="D73" s="3228" t="s">
        <v>3476</v>
      </c>
      <c r="E73" s="3229">
        <v>43735</v>
      </c>
      <c r="F73" s="3230">
        <v>20000</v>
      </c>
      <c r="G73" s="3240">
        <v>131.41</v>
      </c>
      <c r="H73" s="3231" t="s">
        <v>3335</v>
      </c>
      <c r="I73" s="3241">
        <v>1757898</v>
      </c>
      <c r="J73" s="3242">
        <v>43736</v>
      </c>
      <c r="K73" s="3234">
        <v>9</v>
      </c>
      <c r="L73" s="3241">
        <v>1722898</v>
      </c>
      <c r="M73" s="3235">
        <v>13110.859143139793</v>
      </c>
      <c r="N73" s="3241">
        <v>502898</v>
      </c>
    </row>
    <row r="74" spans="1:14">
      <c r="A74" s="3226">
        <v>75</v>
      </c>
      <c r="B74" s="3226" t="s">
        <v>3477</v>
      </c>
      <c r="C74" s="3227" t="s">
        <v>3333</v>
      </c>
      <c r="D74" s="3228" t="s">
        <v>3478</v>
      </c>
      <c r="E74" s="3229">
        <v>43735</v>
      </c>
      <c r="F74" s="3230">
        <v>20000</v>
      </c>
      <c r="G74" s="3231">
        <v>131.44999999999999</v>
      </c>
      <c r="H74" s="3231" t="s">
        <v>3335</v>
      </c>
      <c r="I74" s="3230">
        <v>1832960</v>
      </c>
      <c r="J74" s="3229">
        <v>43736</v>
      </c>
      <c r="K74" s="3234">
        <v>9</v>
      </c>
      <c r="L74" s="3230">
        <v>1797960</v>
      </c>
      <c r="M74" s="3235">
        <v>13677.90034233549</v>
      </c>
      <c r="N74" s="3236">
        <v>777960</v>
      </c>
    </row>
    <row r="75" spans="1:14">
      <c r="A75" s="3226">
        <v>76</v>
      </c>
      <c r="B75" s="3240" t="s">
        <v>3479</v>
      </c>
      <c r="C75" s="3227" t="s">
        <v>3333</v>
      </c>
      <c r="D75" s="3228" t="s">
        <v>3480</v>
      </c>
      <c r="E75" s="3229">
        <v>43735</v>
      </c>
      <c r="F75" s="3230">
        <v>20000</v>
      </c>
      <c r="G75" s="3231">
        <v>131.44999999999999</v>
      </c>
      <c r="H75" s="3231" t="s">
        <v>3335</v>
      </c>
      <c r="I75" s="3238">
        <v>1826184</v>
      </c>
      <c r="J75" s="3239">
        <v>43736</v>
      </c>
      <c r="K75" s="3234">
        <v>9</v>
      </c>
      <c r="L75" s="3238">
        <v>1791184</v>
      </c>
      <c r="M75" s="3235">
        <v>13626.352225180679</v>
      </c>
      <c r="N75" s="3236">
        <v>521184</v>
      </c>
    </row>
    <row r="76" spans="1:14">
      <c r="A76" s="3226">
        <v>77</v>
      </c>
      <c r="B76" s="3226" t="s">
        <v>3481</v>
      </c>
      <c r="C76" s="3227" t="s">
        <v>3333</v>
      </c>
      <c r="D76" s="3228" t="s">
        <v>3464</v>
      </c>
      <c r="E76" s="3229">
        <v>43735</v>
      </c>
      <c r="F76" s="3230">
        <v>20000</v>
      </c>
      <c r="G76" s="3231">
        <v>131.44999999999999</v>
      </c>
      <c r="H76" s="3231" t="s">
        <v>3335</v>
      </c>
      <c r="I76" s="3230">
        <v>1819408</v>
      </c>
      <c r="J76" s="3229">
        <v>43738</v>
      </c>
      <c r="K76" s="3234">
        <v>9</v>
      </c>
      <c r="L76" s="3230">
        <v>1784408</v>
      </c>
      <c r="M76" s="3235">
        <v>13574.804108025866</v>
      </c>
      <c r="N76" s="3236">
        <v>1164408</v>
      </c>
    </row>
    <row r="77" spans="1:14">
      <c r="A77" s="3226">
        <v>78</v>
      </c>
      <c r="B77" s="3240" t="s">
        <v>3482</v>
      </c>
      <c r="C77" s="3227" t="s">
        <v>3333</v>
      </c>
      <c r="D77" s="3228" t="s">
        <v>3483</v>
      </c>
      <c r="E77" s="3229">
        <v>43735</v>
      </c>
      <c r="F77" s="3230">
        <v>20000</v>
      </c>
      <c r="G77" s="3231">
        <v>131.44999999999999</v>
      </c>
      <c r="H77" s="3231" t="s">
        <v>3335</v>
      </c>
      <c r="I77" s="3230">
        <v>1812633</v>
      </c>
      <c r="J77" s="3229">
        <v>43738</v>
      </c>
      <c r="K77" s="3234">
        <v>9</v>
      </c>
      <c r="L77" s="3230">
        <v>1777633</v>
      </c>
      <c r="M77" s="3235">
        <v>13523.263598326361</v>
      </c>
      <c r="N77" s="3236">
        <v>857633</v>
      </c>
    </row>
    <row r="78" spans="1:14">
      <c r="A78" s="3226">
        <v>79</v>
      </c>
      <c r="B78" s="3226" t="s">
        <v>3484</v>
      </c>
      <c r="C78" s="3227" t="s">
        <v>3333</v>
      </c>
      <c r="D78" s="3228" t="s">
        <v>3485</v>
      </c>
      <c r="E78" s="3229">
        <v>43735</v>
      </c>
      <c r="F78" s="3230">
        <v>20000</v>
      </c>
      <c r="G78" s="3231">
        <v>131.44999999999999</v>
      </c>
      <c r="H78" s="3231" t="s">
        <v>3335</v>
      </c>
      <c r="I78" s="3230">
        <v>1805857</v>
      </c>
      <c r="J78" s="3229">
        <v>43736</v>
      </c>
      <c r="K78" s="3234">
        <v>9</v>
      </c>
      <c r="L78" s="3230">
        <v>1770857</v>
      </c>
      <c r="M78" s="3235">
        <v>13471.71548117155</v>
      </c>
      <c r="N78" s="3236">
        <v>520857</v>
      </c>
    </row>
    <row r="79" spans="1:14">
      <c r="A79" s="3226">
        <v>80</v>
      </c>
      <c r="B79" s="3240" t="s">
        <v>3486</v>
      </c>
      <c r="C79" s="3227" t="s">
        <v>3333</v>
      </c>
      <c r="D79" s="3228" t="s">
        <v>3487</v>
      </c>
      <c r="E79" s="3229">
        <v>43735</v>
      </c>
      <c r="F79" s="3230">
        <v>20000</v>
      </c>
      <c r="G79" s="3231">
        <v>131.44999999999999</v>
      </c>
      <c r="H79" s="3231" t="s">
        <v>3335</v>
      </c>
      <c r="I79" s="3232">
        <v>1799081</v>
      </c>
      <c r="J79" s="3233">
        <v>43736</v>
      </c>
      <c r="K79" s="3234">
        <v>9</v>
      </c>
      <c r="L79" s="3232">
        <v>1779081</v>
      </c>
      <c r="M79" s="3235">
        <v>13534.279193609738</v>
      </c>
      <c r="N79" s="3236">
        <v>1159081</v>
      </c>
    </row>
    <row r="80" spans="1:14">
      <c r="A80" s="3226">
        <v>81</v>
      </c>
      <c r="B80" s="3226" t="s">
        <v>3488</v>
      </c>
      <c r="C80" s="3227" t="s">
        <v>3333</v>
      </c>
      <c r="D80" s="3228" t="s">
        <v>3489</v>
      </c>
      <c r="E80" s="3229">
        <v>43735</v>
      </c>
      <c r="F80" s="3230">
        <v>20000</v>
      </c>
      <c r="G80" s="3231">
        <v>131.44999999999999</v>
      </c>
      <c r="H80" s="3231" t="s">
        <v>3335</v>
      </c>
      <c r="I80" s="3230">
        <v>1765202</v>
      </c>
      <c r="J80" s="3229">
        <v>43737</v>
      </c>
      <c r="K80" s="3234">
        <v>9</v>
      </c>
      <c r="L80" s="3230">
        <v>1730202</v>
      </c>
      <c r="M80" s="3235">
        <v>13162.434385697985</v>
      </c>
      <c r="N80" s="3236">
        <v>700202</v>
      </c>
    </row>
    <row r="81" spans="1:14" ht="25.5">
      <c r="A81" s="3240">
        <v>82</v>
      </c>
      <c r="B81" s="3240" t="s">
        <v>3490</v>
      </c>
      <c r="C81" s="3227" t="s">
        <v>3333</v>
      </c>
      <c r="D81" s="3245" t="s">
        <v>3491</v>
      </c>
      <c r="E81" s="3242">
        <v>43735</v>
      </c>
      <c r="F81" s="3241">
        <v>20000</v>
      </c>
      <c r="G81" s="3240">
        <v>131.44999999999999</v>
      </c>
      <c r="H81" s="3240" t="s">
        <v>3335</v>
      </c>
      <c r="I81" s="3241">
        <v>1724547</v>
      </c>
      <c r="J81" s="3242">
        <v>43760</v>
      </c>
      <c r="K81" s="3246">
        <v>10</v>
      </c>
      <c r="L81" s="3241">
        <v>1689547</v>
      </c>
      <c r="M81" s="3247">
        <v>12853.153290224422</v>
      </c>
      <c r="N81" s="3243">
        <v>656547</v>
      </c>
    </row>
    <row r="82" spans="1:14">
      <c r="A82" s="3226">
        <v>83</v>
      </c>
      <c r="B82" s="3226" t="s">
        <v>3492</v>
      </c>
      <c r="C82" s="3227" t="s">
        <v>3333</v>
      </c>
      <c r="D82" s="3228" t="s">
        <v>3493</v>
      </c>
      <c r="E82" s="3229">
        <v>43735</v>
      </c>
      <c r="F82" s="3230">
        <v>20000</v>
      </c>
      <c r="G82" s="3231">
        <v>131.37</v>
      </c>
      <c r="H82" s="3231" t="s">
        <v>3335</v>
      </c>
      <c r="I82" s="3230">
        <v>1662566</v>
      </c>
      <c r="J82" s="3229">
        <v>43738</v>
      </c>
      <c r="K82" s="3234">
        <v>9</v>
      </c>
      <c r="L82" s="3230">
        <v>1627566</v>
      </c>
      <c r="M82" s="3235">
        <v>12389.175610870061</v>
      </c>
      <c r="N82" s="3236">
        <v>477566</v>
      </c>
    </row>
    <row r="83" spans="1:14">
      <c r="A83" s="3226">
        <v>84</v>
      </c>
      <c r="B83" s="3240" t="s">
        <v>3494</v>
      </c>
      <c r="C83" s="3227" t="s">
        <v>3333</v>
      </c>
      <c r="D83" s="3228" t="s">
        <v>3495</v>
      </c>
      <c r="E83" s="3229">
        <v>43735</v>
      </c>
      <c r="F83" s="3230">
        <v>20000</v>
      </c>
      <c r="G83" s="3231">
        <v>131.44999999999999</v>
      </c>
      <c r="H83" s="3231" t="s">
        <v>3335</v>
      </c>
      <c r="I83" s="3238">
        <v>1762821</v>
      </c>
      <c r="J83" s="3239">
        <v>43738</v>
      </c>
      <c r="K83" s="3234">
        <v>9</v>
      </c>
      <c r="L83" s="3238">
        <v>1727821</v>
      </c>
      <c r="M83" s="3235">
        <v>13144.321034613922</v>
      </c>
      <c r="N83" s="3238">
        <v>507821</v>
      </c>
    </row>
    <row r="84" spans="1:14">
      <c r="A84" s="3226">
        <v>85</v>
      </c>
      <c r="B84" s="3226" t="s">
        <v>3496</v>
      </c>
      <c r="C84" s="3227" t="s">
        <v>3333</v>
      </c>
      <c r="D84" s="3228" t="s">
        <v>3497</v>
      </c>
      <c r="E84" s="3229">
        <v>43735</v>
      </c>
      <c r="F84" s="3230">
        <v>20000</v>
      </c>
      <c r="G84" s="3231">
        <v>131.44999999999999</v>
      </c>
      <c r="H84" s="3231" t="s">
        <v>3335</v>
      </c>
      <c r="I84" s="3230">
        <v>1837355</v>
      </c>
      <c r="J84" s="3229">
        <v>43737</v>
      </c>
      <c r="K84" s="3234">
        <v>9</v>
      </c>
      <c r="L84" s="3230">
        <v>1817355</v>
      </c>
      <c r="M84" s="3235">
        <v>13825.446937999241</v>
      </c>
      <c r="N84" s="3236">
        <v>707355</v>
      </c>
    </row>
    <row r="85" spans="1:14">
      <c r="A85" s="3226">
        <v>86</v>
      </c>
      <c r="B85" s="3240" t="s">
        <v>3498</v>
      </c>
      <c r="C85" s="3227" t="s">
        <v>3333</v>
      </c>
      <c r="D85" s="3228" t="s">
        <v>3499</v>
      </c>
      <c r="E85" s="3229">
        <v>43735</v>
      </c>
      <c r="F85" s="3230">
        <v>20000</v>
      </c>
      <c r="G85" s="3231">
        <v>131.44999999999999</v>
      </c>
      <c r="H85" s="3231" t="s">
        <v>3335</v>
      </c>
      <c r="I85" s="3230">
        <v>1830579</v>
      </c>
      <c r="J85" s="3229">
        <v>43736</v>
      </c>
      <c r="K85" s="3234">
        <v>9</v>
      </c>
      <c r="L85" s="3230">
        <v>1785579</v>
      </c>
      <c r="M85" s="3235">
        <v>13583.712438189426</v>
      </c>
      <c r="N85" s="3236">
        <v>1765579</v>
      </c>
    </row>
    <row r="86" spans="1:14">
      <c r="A86" s="3226">
        <v>87</v>
      </c>
      <c r="B86" s="3226" t="s">
        <v>3500</v>
      </c>
      <c r="C86" s="3227" t="s">
        <v>3333</v>
      </c>
      <c r="D86" s="3228" t="s">
        <v>3501</v>
      </c>
      <c r="E86" s="3229">
        <v>43735</v>
      </c>
      <c r="F86" s="3230">
        <v>20000</v>
      </c>
      <c r="G86" s="3231">
        <v>131.44999999999999</v>
      </c>
      <c r="H86" s="3231" t="s">
        <v>3335</v>
      </c>
      <c r="I86" s="3238">
        <v>1823803</v>
      </c>
      <c r="J86" s="3239">
        <v>43738</v>
      </c>
      <c r="K86" s="3234">
        <v>9</v>
      </c>
      <c r="L86" s="3238">
        <v>1725439</v>
      </c>
      <c r="M86" s="3235">
        <v>13126.200076074554</v>
      </c>
      <c r="N86" s="3236">
        <v>1705439</v>
      </c>
    </row>
    <row r="87" spans="1:14">
      <c r="A87" s="3226">
        <v>88</v>
      </c>
      <c r="B87" s="3240" t="s">
        <v>3502</v>
      </c>
      <c r="C87" s="3227" t="s">
        <v>3333</v>
      </c>
      <c r="D87" s="3228" t="s">
        <v>3503</v>
      </c>
      <c r="E87" s="3229">
        <v>43735</v>
      </c>
      <c r="F87" s="3230">
        <v>20000</v>
      </c>
      <c r="G87" s="3231">
        <v>131.44999999999999</v>
      </c>
      <c r="H87" s="3231" t="s">
        <v>3335</v>
      </c>
      <c r="I87" s="3238">
        <v>1817027</v>
      </c>
      <c r="J87" s="3239">
        <v>43738</v>
      </c>
      <c r="K87" s="3234">
        <v>9</v>
      </c>
      <c r="L87" s="3238">
        <v>1782027</v>
      </c>
      <c r="M87" s="3235">
        <v>13556.690756941804</v>
      </c>
      <c r="N87" s="3236">
        <v>562027</v>
      </c>
    </row>
    <row r="88" spans="1:14">
      <c r="A88" s="3226">
        <v>89</v>
      </c>
      <c r="B88" s="3226" t="s">
        <v>3504</v>
      </c>
      <c r="C88" s="3227" t="s">
        <v>3333</v>
      </c>
      <c r="D88" s="3228" t="s">
        <v>3505</v>
      </c>
      <c r="E88" s="3229">
        <v>43735</v>
      </c>
      <c r="F88" s="3230">
        <v>20000</v>
      </c>
      <c r="G88" s="3231">
        <v>131.44999999999999</v>
      </c>
      <c r="H88" s="3231" t="s">
        <v>3335</v>
      </c>
      <c r="I88" s="3230">
        <v>1810252</v>
      </c>
      <c r="J88" s="3229">
        <v>43738</v>
      </c>
      <c r="K88" s="3234">
        <v>9</v>
      </c>
      <c r="L88" s="3230">
        <v>1775252</v>
      </c>
      <c r="M88" s="3235">
        <v>13505.150247242298</v>
      </c>
      <c r="N88" s="3236">
        <v>555252</v>
      </c>
    </row>
    <row r="89" spans="1:14">
      <c r="A89" s="3226">
        <v>90</v>
      </c>
      <c r="B89" s="3240" t="s">
        <v>3506</v>
      </c>
      <c r="C89" s="3227" t="s">
        <v>3333</v>
      </c>
      <c r="D89" s="3228" t="s">
        <v>3507</v>
      </c>
      <c r="E89" s="3229">
        <v>43735</v>
      </c>
      <c r="F89" s="3230">
        <v>20000</v>
      </c>
      <c r="G89" s="3231">
        <v>131.44999999999999</v>
      </c>
      <c r="H89" s="3231" t="s">
        <v>3335</v>
      </c>
      <c r="I89" s="3230">
        <v>1803476</v>
      </c>
      <c r="J89" s="3229">
        <v>43738</v>
      </c>
      <c r="K89" s="3234">
        <v>9</v>
      </c>
      <c r="L89" s="3230">
        <v>1715422</v>
      </c>
      <c r="M89" s="3235">
        <v>13049.996196272348</v>
      </c>
      <c r="N89" s="3236">
        <v>495422</v>
      </c>
    </row>
    <row r="90" spans="1:14">
      <c r="A90" s="3226">
        <v>91</v>
      </c>
      <c r="B90" s="3226" t="s">
        <v>3508</v>
      </c>
      <c r="C90" s="3227" t="s">
        <v>3333</v>
      </c>
      <c r="D90" s="3228" t="s">
        <v>3509</v>
      </c>
      <c r="E90" s="3229">
        <v>43735</v>
      </c>
      <c r="F90" s="3230">
        <v>20000</v>
      </c>
      <c r="G90" s="3231">
        <v>131.44999999999999</v>
      </c>
      <c r="H90" s="3231" t="s">
        <v>3335</v>
      </c>
      <c r="I90" s="3230">
        <v>1769597</v>
      </c>
      <c r="J90" s="3229">
        <v>43738</v>
      </c>
      <c r="K90" s="3234">
        <v>9</v>
      </c>
      <c r="L90" s="3230">
        <v>1724597</v>
      </c>
      <c r="M90" s="3235">
        <v>13119.794598706734</v>
      </c>
      <c r="N90" s="3236">
        <v>1704597</v>
      </c>
    </row>
    <row r="91" spans="1:14">
      <c r="A91" s="3226">
        <v>92</v>
      </c>
      <c r="B91" s="3240" t="s">
        <v>3510</v>
      </c>
      <c r="C91" s="3227" t="s">
        <v>3333</v>
      </c>
      <c r="D91" s="3228" t="s">
        <v>3511</v>
      </c>
      <c r="E91" s="3229">
        <v>43735</v>
      </c>
      <c r="F91" s="3230">
        <v>20000</v>
      </c>
      <c r="G91" s="3231">
        <v>131.44999999999999</v>
      </c>
      <c r="H91" s="3231" t="s">
        <v>3335</v>
      </c>
      <c r="I91" s="3238">
        <v>1728942</v>
      </c>
      <c r="J91" s="3239">
        <v>43738</v>
      </c>
      <c r="K91" s="3234">
        <v>9</v>
      </c>
      <c r="L91" s="3238">
        <v>1708942</v>
      </c>
      <c r="M91" s="3235">
        <v>13000.699885888171</v>
      </c>
      <c r="N91" s="3236">
        <v>688942</v>
      </c>
    </row>
    <row r="92" spans="1:14">
      <c r="A92" s="3226">
        <v>93</v>
      </c>
      <c r="B92" s="3226" t="s">
        <v>3512</v>
      </c>
      <c r="C92" s="3227" t="s">
        <v>3333</v>
      </c>
      <c r="D92" s="3228" t="s">
        <v>3493</v>
      </c>
      <c r="E92" s="3229">
        <v>43735</v>
      </c>
      <c r="F92" s="3230">
        <v>20000</v>
      </c>
      <c r="G92" s="3231">
        <v>131.44999999999999</v>
      </c>
      <c r="H92" s="3231" t="s">
        <v>3335</v>
      </c>
      <c r="I92" s="3230">
        <v>1667960</v>
      </c>
      <c r="J92" s="3229">
        <v>43738</v>
      </c>
      <c r="K92" s="3234">
        <v>9</v>
      </c>
      <c r="L92" s="3230">
        <v>1632960</v>
      </c>
      <c r="M92" s="3235">
        <v>12422.670216812478</v>
      </c>
      <c r="N92" s="3236">
        <v>472960</v>
      </c>
    </row>
    <row r="93" spans="1:14" ht="25.5">
      <c r="A93" s="3226">
        <v>94</v>
      </c>
      <c r="B93" s="3226" t="s">
        <v>3513</v>
      </c>
      <c r="C93" s="3227" t="s">
        <v>3333</v>
      </c>
      <c r="D93" s="3228" t="s">
        <v>3514</v>
      </c>
      <c r="E93" s="3229">
        <v>43743</v>
      </c>
      <c r="F93" s="3230">
        <v>20000</v>
      </c>
      <c r="G93" s="3231">
        <v>131.44999999999999</v>
      </c>
      <c r="H93" s="3231" t="s">
        <v>3335</v>
      </c>
      <c r="I93" s="3230">
        <v>1767216</v>
      </c>
      <c r="J93" s="3229">
        <v>43748</v>
      </c>
      <c r="K93" s="3234">
        <v>10</v>
      </c>
      <c r="L93" s="3230">
        <v>1732216</v>
      </c>
      <c r="M93" s="3235">
        <v>13177.755800684672</v>
      </c>
      <c r="N93" s="3236">
        <v>882216</v>
      </c>
    </row>
    <row r="94" spans="1:14">
      <c r="A94" s="3226">
        <v>95</v>
      </c>
      <c r="B94" s="3226" t="s">
        <v>3515</v>
      </c>
      <c r="C94" s="3227" t="s">
        <v>3333</v>
      </c>
      <c r="D94" s="3228" t="s">
        <v>3516</v>
      </c>
      <c r="E94" s="3229">
        <v>43735</v>
      </c>
      <c r="F94" s="3230">
        <v>20000</v>
      </c>
      <c r="G94" s="3231">
        <v>131.44999999999999</v>
      </c>
      <c r="H94" s="3231" t="s">
        <v>3335</v>
      </c>
      <c r="I94" s="3238">
        <v>1841750</v>
      </c>
      <c r="J94" s="3239">
        <v>43738</v>
      </c>
      <c r="K94" s="3234">
        <v>9</v>
      </c>
      <c r="L94" s="3238">
        <v>1796750</v>
      </c>
      <c r="M94" s="3235">
        <v>13668.695321414987</v>
      </c>
      <c r="N94" s="3236">
        <v>1776750</v>
      </c>
    </row>
    <row r="95" spans="1:14" ht="24">
      <c r="A95" s="3226">
        <v>96</v>
      </c>
      <c r="B95" s="3226" t="s">
        <v>3517</v>
      </c>
      <c r="C95" s="3227" t="s">
        <v>3333</v>
      </c>
      <c r="D95" s="3248" t="s">
        <v>3518</v>
      </c>
      <c r="E95" s="3229">
        <v>43735</v>
      </c>
      <c r="F95" s="3230">
        <v>20000</v>
      </c>
      <c r="G95" s="3231">
        <v>131.44999999999999</v>
      </c>
      <c r="H95" s="3231" t="s">
        <v>3335</v>
      </c>
      <c r="I95" s="3230">
        <v>1834974</v>
      </c>
      <c r="J95" s="3229">
        <v>43736</v>
      </c>
      <c r="K95" s="3234">
        <v>9</v>
      </c>
      <c r="L95" s="3230">
        <v>1799974</v>
      </c>
      <c r="M95" s="3235">
        <v>13693.221757322177</v>
      </c>
      <c r="N95" s="3236">
        <v>1079974</v>
      </c>
    </row>
    <row r="96" spans="1:14">
      <c r="A96" s="3226">
        <v>97</v>
      </c>
      <c r="B96" s="3226" t="s">
        <v>3519</v>
      </c>
      <c r="C96" s="3227" t="s">
        <v>3333</v>
      </c>
      <c r="D96" s="3228" t="s">
        <v>3520</v>
      </c>
      <c r="E96" s="3229">
        <v>43735</v>
      </c>
      <c r="F96" s="3230">
        <v>20000</v>
      </c>
      <c r="G96" s="3231">
        <v>131.44999999999999</v>
      </c>
      <c r="H96" s="3231" t="s">
        <v>3335</v>
      </c>
      <c r="I96" s="3230">
        <v>1828198</v>
      </c>
      <c r="J96" s="3229">
        <v>43736</v>
      </c>
      <c r="K96" s="3234">
        <v>9</v>
      </c>
      <c r="L96" s="3230">
        <v>1808198</v>
      </c>
      <c r="M96" s="3235">
        <v>13755.785469760367</v>
      </c>
      <c r="N96" s="3236">
        <v>588198</v>
      </c>
    </row>
    <row r="97" spans="1:14">
      <c r="A97" s="3226">
        <v>98</v>
      </c>
      <c r="B97" s="3226" t="s">
        <v>3521</v>
      </c>
      <c r="C97" s="3227" t="s">
        <v>3333</v>
      </c>
      <c r="D97" s="3228" t="s">
        <v>3503</v>
      </c>
      <c r="E97" s="3229">
        <v>43735</v>
      </c>
      <c r="F97" s="3230">
        <v>20000</v>
      </c>
      <c r="G97" s="3231">
        <v>131.44999999999999</v>
      </c>
      <c r="H97" s="3231" t="s">
        <v>3335</v>
      </c>
      <c r="I97" s="3238">
        <v>1821422</v>
      </c>
      <c r="J97" s="3239">
        <v>43738</v>
      </c>
      <c r="K97" s="3234">
        <v>9</v>
      </c>
      <c r="L97" s="3238">
        <v>1786422</v>
      </c>
      <c r="M97" s="3235">
        <v>13590.125523012553</v>
      </c>
      <c r="N97" s="3236">
        <v>566422</v>
      </c>
    </row>
    <row r="98" spans="1:14">
      <c r="A98" s="3226">
        <v>99</v>
      </c>
      <c r="B98" s="3226" t="s">
        <v>3522</v>
      </c>
      <c r="C98" s="3227" t="s">
        <v>3333</v>
      </c>
      <c r="D98" s="3228" t="s">
        <v>3523</v>
      </c>
      <c r="E98" s="3229">
        <v>43735</v>
      </c>
      <c r="F98" s="3230">
        <v>20000</v>
      </c>
      <c r="G98" s="3231">
        <v>131.44999999999999</v>
      </c>
      <c r="H98" s="3231" t="s">
        <v>3335</v>
      </c>
      <c r="I98" s="3232">
        <v>1814647</v>
      </c>
      <c r="J98" s="3233">
        <v>43738</v>
      </c>
      <c r="K98" s="3234">
        <v>9</v>
      </c>
      <c r="L98" s="3232">
        <v>1769647</v>
      </c>
      <c r="M98" s="3235">
        <v>13462.510460251047</v>
      </c>
      <c r="N98" s="3236">
        <v>1749647</v>
      </c>
    </row>
    <row r="99" spans="1:14">
      <c r="A99" s="3226">
        <v>100</v>
      </c>
      <c r="B99" s="3226" t="s">
        <v>3524</v>
      </c>
      <c r="C99" s="3227" t="s">
        <v>3333</v>
      </c>
      <c r="D99" s="3228" t="s">
        <v>3525</v>
      </c>
      <c r="E99" s="3229">
        <v>43735</v>
      </c>
      <c r="F99" s="3230">
        <v>20000</v>
      </c>
      <c r="G99" s="3231">
        <v>131.44999999999999</v>
      </c>
      <c r="H99" s="3231" t="s">
        <v>3335</v>
      </c>
      <c r="I99" s="3230">
        <v>1807871</v>
      </c>
      <c r="J99" s="3229">
        <v>43738</v>
      </c>
      <c r="K99" s="3234">
        <v>9</v>
      </c>
      <c r="L99" s="3230">
        <v>1772871</v>
      </c>
      <c r="M99" s="3235">
        <v>13487.036896158237</v>
      </c>
      <c r="N99" s="3236">
        <v>512871</v>
      </c>
    </row>
    <row r="100" spans="1:14">
      <c r="A100" s="3226">
        <v>101</v>
      </c>
      <c r="B100" s="3226" t="s">
        <v>3526</v>
      </c>
      <c r="C100" s="3227" t="s">
        <v>3333</v>
      </c>
      <c r="D100" s="3228" t="s">
        <v>3527</v>
      </c>
      <c r="E100" s="3229">
        <v>43735</v>
      </c>
      <c r="F100" s="3230">
        <v>20000</v>
      </c>
      <c r="G100" s="3231">
        <v>131.44999999999999</v>
      </c>
      <c r="H100" s="3231" t="s">
        <v>3335</v>
      </c>
      <c r="I100" s="3230">
        <v>1773992</v>
      </c>
      <c r="J100" s="3229">
        <v>43737</v>
      </c>
      <c r="K100" s="3234">
        <v>9</v>
      </c>
      <c r="L100" s="3230">
        <v>1738992</v>
      </c>
      <c r="M100" s="3235">
        <v>13229.303917839485</v>
      </c>
      <c r="N100" s="3236">
        <v>508992</v>
      </c>
    </row>
    <row r="101" spans="1:14">
      <c r="A101" s="3226">
        <v>102</v>
      </c>
      <c r="B101" s="3226" t="s">
        <v>3528</v>
      </c>
      <c r="C101" s="3227" t="s">
        <v>3333</v>
      </c>
      <c r="D101" s="3228" t="s">
        <v>3529</v>
      </c>
      <c r="E101" s="3229">
        <v>43735</v>
      </c>
      <c r="F101" s="3230">
        <v>20000</v>
      </c>
      <c r="G101" s="3231">
        <v>131.44999999999999</v>
      </c>
      <c r="H101" s="3231" t="s">
        <v>3335</v>
      </c>
      <c r="I101" s="3238">
        <v>1733337</v>
      </c>
      <c r="J101" s="3239">
        <v>43738</v>
      </c>
      <c r="K101" s="3234">
        <v>9</v>
      </c>
      <c r="L101" s="3238">
        <v>1698337</v>
      </c>
      <c r="M101" s="3235">
        <v>12920.02282236592</v>
      </c>
      <c r="N101" s="3236">
        <v>988337</v>
      </c>
    </row>
    <row r="102" spans="1:14">
      <c r="A102" s="3226">
        <v>103</v>
      </c>
      <c r="B102" s="3226" t="s">
        <v>3530</v>
      </c>
      <c r="C102" s="3227" t="s">
        <v>3333</v>
      </c>
      <c r="D102" s="3228" t="s">
        <v>3493</v>
      </c>
      <c r="E102" s="3229">
        <v>43735</v>
      </c>
      <c r="F102" s="3230">
        <v>20000</v>
      </c>
      <c r="G102" s="3231">
        <v>131.44999999999999</v>
      </c>
      <c r="H102" s="3231" t="s">
        <v>3335</v>
      </c>
      <c r="I102" s="3230">
        <v>1672355</v>
      </c>
      <c r="J102" s="3229">
        <v>43738</v>
      </c>
      <c r="K102" s="3234">
        <v>9</v>
      </c>
      <c r="L102" s="3230">
        <v>1637355</v>
      </c>
      <c r="M102" s="3235">
        <v>12456.104982883227</v>
      </c>
      <c r="N102" s="3236">
        <v>477355</v>
      </c>
    </row>
    <row r="103" spans="1:14">
      <c r="A103" s="3226">
        <v>104</v>
      </c>
      <c r="B103" s="3240" t="s">
        <v>3531</v>
      </c>
      <c r="C103" s="3227" t="s">
        <v>3333</v>
      </c>
      <c r="D103" s="3228" t="s">
        <v>3532</v>
      </c>
      <c r="E103" s="3229">
        <v>43735</v>
      </c>
      <c r="F103" s="3230">
        <v>20000</v>
      </c>
      <c r="G103" s="3231">
        <v>131.41</v>
      </c>
      <c r="H103" s="3231" t="s">
        <v>3335</v>
      </c>
      <c r="I103" s="3230">
        <v>1771078</v>
      </c>
      <c r="J103" s="3229">
        <v>43738</v>
      </c>
      <c r="K103" s="3234">
        <v>9</v>
      </c>
      <c r="L103" s="3230">
        <v>1751078</v>
      </c>
      <c r="M103" s="3235">
        <v>13325.3024883951</v>
      </c>
      <c r="N103" s="3238">
        <v>511078</v>
      </c>
    </row>
    <row r="104" spans="1:14" ht="24">
      <c r="A104" s="3226">
        <v>105</v>
      </c>
      <c r="B104" s="3226" t="s">
        <v>3533</v>
      </c>
      <c r="C104" s="3227" t="s">
        <v>3333</v>
      </c>
      <c r="D104" s="3248" t="s">
        <v>3534</v>
      </c>
      <c r="E104" s="3229">
        <v>43735</v>
      </c>
      <c r="F104" s="3230">
        <v>20000</v>
      </c>
      <c r="G104" s="3231">
        <v>131.44999999999999</v>
      </c>
      <c r="H104" s="3231" t="s">
        <v>3335</v>
      </c>
      <c r="I104" s="3230">
        <v>1846144</v>
      </c>
      <c r="J104" s="3229">
        <v>43735</v>
      </c>
      <c r="K104" s="3234">
        <v>9</v>
      </c>
      <c r="L104" s="3230">
        <v>1811144</v>
      </c>
      <c r="M104" s="3235">
        <v>13778.197033092432</v>
      </c>
      <c r="N104" s="3236">
        <v>1131144</v>
      </c>
    </row>
    <row r="105" spans="1:14">
      <c r="A105" s="3226">
        <v>106</v>
      </c>
      <c r="B105" s="3240" t="s">
        <v>3535</v>
      </c>
      <c r="C105" s="3227" t="s">
        <v>3333</v>
      </c>
      <c r="D105" s="3228" t="s">
        <v>3536</v>
      </c>
      <c r="E105" s="3229">
        <v>43735</v>
      </c>
      <c r="F105" s="3230">
        <v>20000</v>
      </c>
      <c r="G105" s="3231">
        <v>131.44999999999999</v>
      </c>
      <c r="H105" s="3231" t="s">
        <v>3335</v>
      </c>
      <c r="I105" s="3230">
        <v>1839369</v>
      </c>
      <c r="J105" s="3229">
        <v>43738</v>
      </c>
      <c r="K105" s="3234">
        <v>9</v>
      </c>
      <c r="L105" s="3230">
        <v>1794369</v>
      </c>
      <c r="M105" s="3235">
        <v>13650.581970330926</v>
      </c>
      <c r="N105" s="3236">
        <v>1774369</v>
      </c>
    </row>
    <row r="106" spans="1:14">
      <c r="A106" s="3226">
        <v>107</v>
      </c>
      <c r="B106" s="3226" t="s">
        <v>3537</v>
      </c>
      <c r="C106" s="3227" t="s">
        <v>3333</v>
      </c>
      <c r="D106" s="3228" t="s">
        <v>3538</v>
      </c>
      <c r="E106" s="3229">
        <v>43735</v>
      </c>
      <c r="F106" s="3230">
        <v>20000</v>
      </c>
      <c r="G106" s="3231">
        <v>131.44999999999999</v>
      </c>
      <c r="H106" s="3231" t="s">
        <v>3335</v>
      </c>
      <c r="I106" s="3238">
        <v>1832593</v>
      </c>
      <c r="J106" s="3239">
        <v>43736</v>
      </c>
      <c r="K106" s="3234">
        <v>9</v>
      </c>
      <c r="L106" s="3238">
        <v>1797593</v>
      </c>
      <c r="M106" s="3235">
        <v>13675.108406238114</v>
      </c>
      <c r="N106" s="3236">
        <v>527593</v>
      </c>
    </row>
    <row r="107" spans="1:14">
      <c r="A107" s="3226">
        <v>108</v>
      </c>
      <c r="B107" s="3240" t="s">
        <v>3539</v>
      </c>
      <c r="C107" s="3227" t="s">
        <v>3333</v>
      </c>
      <c r="D107" s="3228" t="s">
        <v>3540</v>
      </c>
      <c r="E107" s="3229">
        <v>43735</v>
      </c>
      <c r="F107" s="3230">
        <v>20000</v>
      </c>
      <c r="G107" s="3231">
        <v>131.44999999999999</v>
      </c>
      <c r="H107" s="3231" t="s">
        <v>3335</v>
      </c>
      <c r="I107" s="3230">
        <v>1825817</v>
      </c>
      <c r="J107" s="3229">
        <v>43736</v>
      </c>
      <c r="K107" s="3234">
        <v>9</v>
      </c>
      <c r="L107" s="3230">
        <v>1790817</v>
      </c>
      <c r="M107" s="3235">
        <v>13623.560289083303</v>
      </c>
      <c r="N107" s="3236">
        <v>700817</v>
      </c>
    </row>
    <row r="108" spans="1:14" ht="25.5">
      <c r="A108" s="3240">
        <v>109</v>
      </c>
      <c r="B108" s="3240" t="s">
        <v>3541</v>
      </c>
      <c r="C108" s="3227" t="s">
        <v>3333</v>
      </c>
      <c r="D108" s="3228" t="s">
        <v>3542</v>
      </c>
      <c r="E108" s="3242">
        <v>43735</v>
      </c>
      <c r="F108" s="3241">
        <v>20000</v>
      </c>
      <c r="G108" s="3240">
        <v>131.44999999999999</v>
      </c>
      <c r="H108" s="3231" t="s">
        <v>3335</v>
      </c>
      <c r="I108" s="3241">
        <v>1819041</v>
      </c>
      <c r="J108" s="3242">
        <v>43736</v>
      </c>
      <c r="K108" s="3234">
        <v>9</v>
      </c>
      <c r="L108" s="3241">
        <v>1799041</v>
      </c>
      <c r="M108" s="3247">
        <v>13686.124001521492</v>
      </c>
      <c r="N108" s="3243">
        <v>520041</v>
      </c>
    </row>
    <row r="109" spans="1:14">
      <c r="A109" s="3226">
        <v>110</v>
      </c>
      <c r="B109" s="3240" t="s">
        <v>3543</v>
      </c>
      <c r="C109" s="3227" t="s">
        <v>3333</v>
      </c>
      <c r="D109" s="3228" t="s">
        <v>3544</v>
      </c>
      <c r="E109" s="3229">
        <v>43735</v>
      </c>
      <c r="F109" s="3230">
        <v>20000</v>
      </c>
      <c r="G109" s="3231">
        <v>131.44999999999999</v>
      </c>
      <c r="H109" s="3231" t="s">
        <v>3335</v>
      </c>
      <c r="I109" s="3238">
        <v>1812266</v>
      </c>
      <c r="J109" s="3239">
        <v>43736</v>
      </c>
      <c r="K109" s="3234">
        <v>9</v>
      </c>
      <c r="L109" s="3238">
        <v>1777266</v>
      </c>
      <c r="M109" s="3235">
        <v>13520.471662228985</v>
      </c>
      <c r="N109" s="3236">
        <v>617266</v>
      </c>
    </row>
    <row r="110" spans="1:14">
      <c r="A110" s="3226">
        <v>111</v>
      </c>
      <c r="B110" s="3226" t="s">
        <v>3545</v>
      </c>
      <c r="C110" s="3227" t="s">
        <v>3333</v>
      </c>
      <c r="D110" s="3228" t="s">
        <v>3546</v>
      </c>
      <c r="E110" s="3229">
        <v>43735</v>
      </c>
      <c r="F110" s="3230">
        <v>20000</v>
      </c>
      <c r="G110" s="3231">
        <v>131.44999999999999</v>
      </c>
      <c r="H110" s="3231" t="s">
        <v>3335</v>
      </c>
      <c r="I110" s="3238">
        <v>1778387</v>
      </c>
      <c r="J110" s="3239">
        <v>43738</v>
      </c>
      <c r="K110" s="3234">
        <v>9</v>
      </c>
      <c r="L110" s="3238">
        <v>1743387</v>
      </c>
      <c r="M110" s="3235">
        <v>13262.738683910233</v>
      </c>
      <c r="N110" s="3236">
        <v>503387</v>
      </c>
    </row>
    <row r="111" spans="1:14">
      <c r="A111" s="3226">
        <v>112</v>
      </c>
      <c r="B111" s="3240" t="s">
        <v>3547</v>
      </c>
      <c r="C111" s="3227" t="s">
        <v>3333</v>
      </c>
      <c r="D111" s="3228" t="s">
        <v>3548</v>
      </c>
      <c r="E111" s="3229">
        <v>43735</v>
      </c>
      <c r="F111" s="3230">
        <v>20000</v>
      </c>
      <c r="G111" s="3231">
        <v>131.44999999999999</v>
      </c>
      <c r="H111" s="3231" t="s">
        <v>3335</v>
      </c>
      <c r="I111" s="3230">
        <v>1737732</v>
      </c>
      <c r="J111" s="3229">
        <v>43736</v>
      </c>
      <c r="K111" s="3234">
        <v>9</v>
      </c>
      <c r="L111" s="3230">
        <v>1702732</v>
      </c>
      <c r="M111" s="3235">
        <v>12953.45758843667</v>
      </c>
      <c r="N111" s="3236">
        <v>492732</v>
      </c>
    </row>
    <row r="112" spans="1:14">
      <c r="A112" s="3226">
        <v>113</v>
      </c>
      <c r="B112" s="3226" t="s">
        <v>3549</v>
      </c>
      <c r="C112" s="3227" t="s">
        <v>3333</v>
      </c>
      <c r="D112" s="3228" t="s">
        <v>3550</v>
      </c>
      <c r="E112" s="3229">
        <v>43735</v>
      </c>
      <c r="F112" s="3230">
        <v>20000</v>
      </c>
      <c r="G112" s="3231">
        <v>131.44999999999999</v>
      </c>
      <c r="H112" s="3231" t="s">
        <v>3335</v>
      </c>
      <c r="I112" s="3230">
        <v>1676750</v>
      </c>
      <c r="J112" s="3229">
        <v>43736</v>
      </c>
      <c r="K112" s="3234">
        <v>9</v>
      </c>
      <c r="L112" s="3230">
        <v>1656750</v>
      </c>
      <c r="M112" s="3235">
        <v>12603.651578546976</v>
      </c>
      <c r="N112" s="3236">
        <v>477750</v>
      </c>
    </row>
    <row r="113" spans="1:14">
      <c r="A113" s="3226">
        <v>114</v>
      </c>
      <c r="B113" s="3226" t="s">
        <v>3551</v>
      </c>
      <c r="C113" s="3227" t="s">
        <v>3333</v>
      </c>
      <c r="D113" s="3248" t="s">
        <v>3552</v>
      </c>
      <c r="E113" s="3239">
        <v>43914</v>
      </c>
      <c r="F113" s="3238">
        <v>50000</v>
      </c>
      <c r="G113" s="3231">
        <v>151.06</v>
      </c>
      <c r="H113" s="3231" t="s">
        <v>3438</v>
      </c>
      <c r="I113" s="3238">
        <v>1964646</v>
      </c>
      <c r="J113" s="3239">
        <v>43921</v>
      </c>
      <c r="K113" s="3234">
        <v>3</v>
      </c>
      <c r="L113" s="3238">
        <v>1959650</v>
      </c>
      <c r="M113" s="3235">
        <v>12972.659870250231</v>
      </c>
      <c r="N113" s="3236">
        <v>1909650</v>
      </c>
    </row>
    <row r="114" spans="1:14">
      <c r="A114" s="3226">
        <v>115</v>
      </c>
      <c r="B114" s="3226" t="s">
        <v>3553</v>
      </c>
      <c r="C114" s="3227" t="s">
        <v>3333</v>
      </c>
      <c r="D114" s="3228" t="s">
        <v>3554</v>
      </c>
      <c r="E114" s="3229">
        <v>43735</v>
      </c>
      <c r="F114" s="3230">
        <v>20000</v>
      </c>
      <c r="G114" s="3231">
        <v>151.01</v>
      </c>
      <c r="H114" s="3231" t="s">
        <v>3438</v>
      </c>
      <c r="I114" s="3238">
        <v>2049627</v>
      </c>
      <c r="J114" s="3239">
        <v>43737</v>
      </c>
      <c r="K114" s="3234">
        <v>9</v>
      </c>
      <c r="L114" s="3238">
        <v>2029627</v>
      </c>
      <c r="M114" s="3235">
        <v>13440.348321303225</v>
      </c>
      <c r="N114" s="3236">
        <v>1709627</v>
      </c>
    </row>
    <row r="115" spans="1:14">
      <c r="A115" s="3226">
        <v>116</v>
      </c>
      <c r="B115" s="3226" t="s">
        <v>3555</v>
      </c>
      <c r="C115" s="3227" t="s">
        <v>3333</v>
      </c>
      <c r="D115" s="3228" t="s">
        <v>3556</v>
      </c>
      <c r="E115" s="3229">
        <v>43735</v>
      </c>
      <c r="F115" s="3230">
        <v>20000</v>
      </c>
      <c r="G115" s="3231">
        <v>151.01</v>
      </c>
      <c r="H115" s="3231" t="s">
        <v>3438</v>
      </c>
      <c r="I115" s="3230">
        <v>2041843</v>
      </c>
      <c r="J115" s="3229">
        <v>43738</v>
      </c>
      <c r="K115" s="3234">
        <v>9</v>
      </c>
      <c r="L115" s="3230">
        <v>2006843</v>
      </c>
      <c r="M115" s="3235">
        <v>13289.470895967155</v>
      </c>
      <c r="N115" s="3236">
        <v>986843</v>
      </c>
    </row>
    <row r="116" spans="1:14">
      <c r="A116" s="3226">
        <v>117</v>
      </c>
      <c r="B116" s="3226" t="s">
        <v>3557</v>
      </c>
      <c r="C116" s="3227" t="s">
        <v>3333</v>
      </c>
      <c r="D116" s="3228" t="s">
        <v>3558</v>
      </c>
      <c r="E116" s="3229">
        <v>43735</v>
      </c>
      <c r="F116" s="3230">
        <v>20000</v>
      </c>
      <c r="G116" s="3231">
        <v>151.01</v>
      </c>
      <c r="H116" s="3231" t="s">
        <v>3438</v>
      </c>
      <c r="I116" s="3230">
        <v>2034059</v>
      </c>
      <c r="J116" s="3229">
        <v>43737</v>
      </c>
      <c r="K116" s="3234">
        <v>9</v>
      </c>
      <c r="L116" s="3230">
        <v>1999059</v>
      </c>
      <c r="M116" s="3235">
        <v>13237.92464075227</v>
      </c>
      <c r="N116" s="3236">
        <v>889059</v>
      </c>
    </row>
    <row r="117" spans="1:14">
      <c r="A117" s="3226">
        <v>118</v>
      </c>
      <c r="B117" s="3226" t="s">
        <v>3559</v>
      </c>
      <c r="C117" s="3227" t="s">
        <v>3333</v>
      </c>
      <c r="D117" s="3228" t="s">
        <v>3427</v>
      </c>
      <c r="E117" s="3229">
        <v>43735</v>
      </c>
      <c r="F117" s="3230">
        <v>20000</v>
      </c>
      <c r="G117" s="3231">
        <v>151.01</v>
      </c>
      <c r="H117" s="3231" t="s">
        <v>3438</v>
      </c>
      <c r="I117" s="3238">
        <v>2026275</v>
      </c>
      <c r="J117" s="3239">
        <v>43736</v>
      </c>
      <c r="K117" s="3234">
        <v>9</v>
      </c>
      <c r="L117" s="3238">
        <v>1981275</v>
      </c>
      <c r="M117" s="3235">
        <v>13120.157605456594</v>
      </c>
      <c r="N117" s="3236">
        <v>1961275</v>
      </c>
    </row>
    <row r="118" spans="1:14" ht="25.5">
      <c r="A118" s="3226">
        <v>119</v>
      </c>
      <c r="B118" s="3226" t="s">
        <v>3560</v>
      </c>
      <c r="C118" s="3227" t="s">
        <v>3333</v>
      </c>
      <c r="D118" s="3228" t="s">
        <v>3561</v>
      </c>
      <c r="E118" s="3229">
        <v>43735</v>
      </c>
      <c r="F118" s="3230">
        <v>20000</v>
      </c>
      <c r="G118" s="3231">
        <v>151.01</v>
      </c>
      <c r="H118" s="3231" t="s">
        <v>3438</v>
      </c>
      <c r="I118" s="3238">
        <v>2018491</v>
      </c>
      <c r="J118" s="3239">
        <v>43737</v>
      </c>
      <c r="K118" s="3234">
        <v>9</v>
      </c>
      <c r="L118" s="3238">
        <v>1983491</v>
      </c>
      <c r="M118" s="3235">
        <v>13134.832130322497</v>
      </c>
      <c r="N118" s="3236">
        <v>1463491</v>
      </c>
    </row>
    <row r="119" spans="1:14">
      <c r="A119" s="3226">
        <v>120</v>
      </c>
      <c r="B119" s="3226" t="s">
        <v>3562</v>
      </c>
      <c r="C119" s="3227" t="s">
        <v>3333</v>
      </c>
      <c r="D119" s="3249" t="s">
        <v>3563</v>
      </c>
      <c r="E119" s="3229">
        <v>43735</v>
      </c>
      <c r="F119" s="3230">
        <v>20000</v>
      </c>
      <c r="G119" s="3231">
        <v>151.01</v>
      </c>
      <c r="H119" s="3231" t="s">
        <v>3438</v>
      </c>
      <c r="I119" s="3230">
        <v>2010707</v>
      </c>
      <c r="J119" s="3229">
        <v>43737</v>
      </c>
      <c r="K119" s="3234">
        <v>9</v>
      </c>
      <c r="L119" s="3230">
        <v>1975707</v>
      </c>
      <c r="M119" s="3235">
        <v>13083.285875107609</v>
      </c>
      <c r="N119" s="3238">
        <v>575707</v>
      </c>
    </row>
    <row r="120" spans="1:14" ht="25.5">
      <c r="A120" s="3226">
        <v>121</v>
      </c>
      <c r="B120" s="3226" t="s">
        <v>3564</v>
      </c>
      <c r="C120" s="3227" t="s">
        <v>3333</v>
      </c>
      <c r="D120" s="3228" t="s">
        <v>3565</v>
      </c>
      <c r="E120" s="3242">
        <v>43752</v>
      </c>
      <c r="F120" s="3241">
        <v>20000</v>
      </c>
      <c r="G120" s="3231">
        <v>151.01</v>
      </c>
      <c r="H120" s="3231" t="s">
        <v>3438</v>
      </c>
      <c r="I120" s="3241">
        <v>1971786</v>
      </c>
      <c r="J120" s="3242">
        <v>43761</v>
      </c>
      <c r="K120" s="3234">
        <v>10</v>
      </c>
      <c r="L120" s="3241">
        <v>1936786</v>
      </c>
      <c r="M120" s="3235">
        <v>12825.547976955169</v>
      </c>
      <c r="N120" s="3243">
        <v>996786</v>
      </c>
    </row>
    <row r="121" spans="1:14">
      <c r="A121" s="3226">
        <v>122</v>
      </c>
      <c r="B121" s="3226" t="s">
        <v>3566</v>
      </c>
      <c r="C121" s="3227" t="s">
        <v>3333</v>
      </c>
      <c r="D121" s="3228" t="s">
        <v>3567</v>
      </c>
      <c r="E121" s="3229">
        <v>43735</v>
      </c>
      <c r="F121" s="3230">
        <v>20000</v>
      </c>
      <c r="G121" s="3231">
        <v>151.01</v>
      </c>
      <c r="H121" s="3231" t="s">
        <v>3438</v>
      </c>
      <c r="I121" s="3230">
        <v>1925082</v>
      </c>
      <c r="J121" s="3229">
        <v>43738</v>
      </c>
      <c r="K121" s="3234">
        <v>9</v>
      </c>
      <c r="L121" s="3230">
        <v>1890082</v>
      </c>
      <c r="M121" s="3235">
        <v>12516.27044566585</v>
      </c>
      <c r="N121" s="3236">
        <v>550082</v>
      </c>
    </row>
    <row r="122" spans="1:14">
      <c r="A122" s="3226">
        <v>123</v>
      </c>
      <c r="B122" s="3226" t="s">
        <v>3568</v>
      </c>
      <c r="C122" s="3227" t="s">
        <v>3333</v>
      </c>
      <c r="D122" s="3228" t="s">
        <v>3569</v>
      </c>
      <c r="E122" s="3229">
        <v>43735</v>
      </c>
      <c r="F122" s="3230">
        <v>20000</v>
      </c>
      <c r="G122" s="3231">
        <v>151.01</v>
      </c>
      <c r="H122" s="3231" t="s">
        <v>3438</v>
      </c>
      <c r="I122" s="3230">
        <v>1855026</v>
      </c>
      <c r="J122" s="3229">
        <v>43745</v>
      </c>
      <c r="K122" s="3234">
        <v>10</v>
      </c>
      <c r="L122" s="3230">
        <v>1765425</v>
      </c>
      <c r="M122" s="3235">
        <v>11690.782067412754</v>
      </c>
      <c r="N122" s="3236">
        <v>545425</v>
      </c>
    </row>
    <row r="123" spans="1:14">
      <c r="A123" s="3226">
        <v>124</v>
      </c>
      <c r="B123" s="3250" t="s">
        <v>3570</v>
      </c>
      <c r="C123" s="3227" t="s">
        <v>3333</v>
      </c>
      <c r="D123" s="3251" t="s">
        <v>3571</v>
      </c>
      <c r="E123" s="3229">
        <v>43809</v>
      </c>
      <c r="F123" s="3230">
        <v>50000</v>
      </c>
      <c r="G123" s="3231">
        <v>145.68</v>
      </c>
      <c r="H123" s="3231" t="s">
        <v>3438</v>
      </c>
      <c r="I123" s="3230">
        <v>1939186</v>
      </c>
      <c r="J123" s="3229">
        <v>43810</v>
      </c>
      <c r="K123" s="3234">
        <v>12</v>
      </c>
      <c r="L123" s="3230">
        <v>1919186</v>
      </c>
      <c r="M123" s="3235">
        <v>13173.984074684238</v>
      </c>
      <c r="N123" s="3236">
        <v>529186</v>
      </c>
    </row>
    <row r="124" spans="1:14">
      <c r="A124" s="3226">
        <v>125</v>
      </c>
      <c r="B124" s="3250" t="s">
        <v>3572</v>
      </c>
      <c r="C124" s="3227" t="s">
        <v>3333</v>
      </c>
      <c r="D124" s="3251" t="s">
        <v>3573</v>
      </c>
      <c r="E124" s="3229">
        <v>43914</v>
      </c>
      <c r="F124" s="3230">
        <v>50000</v>
      </c>
      <c r="G124" s="3231">
        <v>147.97999999999999</v>
      </c>
      <c r="H124" s="3231" t="s">
        <v>3438</v>
      </c>
      <c r="I124" s="3230">
        <v>2091522</v>
      </c>
      <c r="J124" s="3229">
        <v>43919</v>
      </c>
      <c r="K124" s="3234">
        <v>3</v>
      </c>
      <c r="L124" s="3230">
        <v>2081522</v>
      </c>
      <c r="M124" s="3235">
        <v>14066.238680902825</v>
      </c>
      <c r="N124" s="3236">
        <v>1431522</v>
      </c>
    </row>
    <row r="125" spans="1:14">
      <c r="A125" s="3226">
        <v>126</v>
      </c>
      <c r="B125" s="3250" t="s">
        <v>3574</v>
      </c>
      <c r="C125" s="3227" t="s">
        <v>3333</v>
      </c>
      <c r="D125" s="3251" t="s">
        <v>3575</v>
      </c>
      <c r="E125" s="3229">
        <v>43913</v>
      </c>
      <c r="F125" s="3230">
        <v>50000</v>
      </c>
      <c r="G125" s="3231">
        <v>147.97999999999999</v>
      </c>
      <c r="H125" s="3231" t="s">
        <v>3438</v>
      </c>
      <c r="I125" s="3230">
        <v>2152544</v>
      </c>
      <c r="J125" s="3229">
        <v>43919</v>
      </c>
      <c r="K125" s="3234">
        <v>3</v>
      </c>
      <c r="L125" s="3230">
        <v>2140000</v>
      </c>
      <c r="M125" s="3235">
        <v>14461.41370455467</v>
      </c>
      <c r="N125" s="3236">
        <v>600000</v>
      </c>
    </row>
    <row r="126" spans="1:14" ht="24">
      <c r="A126" s="3226">
        <v>127</v>
      </c>
      <c r="B126" s="3250" t="s">
        <v>3576</v>
      </c>
      <c r="C126" s="3227" t="s">
        <v>3333</v>
      </c>
      <c r="D126" s="3251" t="s">
        <v>3577</v>
      </c>
      <c r="E126" s="3229">
        <v>43914</v>
      </c>
      <c r="F126" s="3230">
        <v>50000</v>
      </c>
      <c r="G126" s="3231">
        <v>147.97999999999999</v>
      </c>
      <c r="H126" s="3231" t="s">
        <v>3438</v>
      </c>
      <c r="I126" s="3230">
        <v>2198311</v>
      </c>
      <c r="J126" s="3229">
        <v>43919</v>
      </c>
      <c r="K126" s="3234">
        <v>3</v>
      </c>
      <c r="L126" s="3230">
        <v>2183311</v>
      </c>
      <c r="M126" s="3235">
        <v>14754.095147992974</v>
      </c>
      <c r="N126" s="3236">
        <v>1263311</v>
      </c>
    </row>
    <row r="127" spans="1:14">
      <c r="A127" s="3226">
        <v>128</v>
      </c>
      <c r="B127" s="3250" t="s">
        <v>3578</v>
      </c>
      <c r="C127" s="3227" t="s">
        <v>3333</v>
      </c>
      <c r="D127" s="3252" t="s">
        <v>3579</v>
      </c>
      <c r="E127" s="3229">
        <v>43781</v>
      </c>
      <c r="F127" s="3230">
        <v>20000</v>
      </c>
      <c r="G127" s="3231">
        <v>147.97999999999999</v>
      </c>
      <c r="H127" s="3231" t="s">
        <v>3438</v>
      </c>
      <c r="I127" s="3230">
        <v>2236451</v>
      </c>
      <c r="J127" s="3229">
        <v>43789</v>
      </c>
      <c r="K127" s="3234">
        <v>11</v>
      </c>
      <c r="L127" s="3230">
        <v>2226451</v>
      </c>
      <c r="M127" s="3235">
        <v>15045.621029868902</v>
      </c>
      <c r="N127" s="3236">
        <v>648451</v>
      </c>
    </row>
    <row r="128" spans="1:14" ht="25.5">
      <c r="A128" s="3226">
        <v>129</v>
      </c>
      <c r="B128" s="3250" t="s">
        <v>3580</v>
      </c>
      <c r="C128" s="3227" t="s">
        <v>3333</v>
      </c>
      <c r="D128" s="3252" t="s">
        <v>3581</v>
      </c>
      <c r="E128" s="3229">
        <v>43750</v>
      </c>
      <c r="F128" s="3230">
        <v>20000</v>
      </c>
      <c r="G128" s="3231">
        <v>147.97999999999999</v>
      </c>
      <c r="H128" s="3231" t="s">
        <v>3438</v>
      </c>
      <c r="I128" s="3230">
        <v>2244078</v>
      </c>
      <c r="J128" s="3229">
        <v>43752</v>
      </c>
      <c r="K128" s="3234">
        <v>10</v>
      </c>
      <c r="L128" s="3230">
        <v>2234078</v>
      </c>
      <c r="M128" s="3235">
        <v>15097.161778618733</v>
      </c>
      <c r="N128" s="3236">
        <v>954078</v>
      </c>
    </row>
    <row r="129" spans="1:14">
      <c r="A129" s="3226">
        <v>130</v>
      </c>
      <c r="B129" s="3250" t="s">
        <v>3582</v>
      </c>
      <c r="C129" s="3227" t="s">
        <v>3333</v>
      </c>
      <c r="D129" s="3252" t="s">
        <v>3583</v>
      </c>
      <c r="E129" s="3229">
        <v>43749</v>
      </c>
      <c r="F129" s="3230">
        <v>20000</v>
      </c>
      <c r="G129" s="3231">
        <v>147.97999999999999</v>
      </c>
      <c r="H129" s="3231" t="s">
        <v>3438</v>
      </c>
      <c r="I129" s="3230">
        <v>2251706</v>
      </c>
      <c r="J129" s="3229">
        <v>43756</v>
      </c>
      <c r="K129" s="3234">
        <v>10</v>
      </c>
      <c r="L129" s="3230">
        <v>2226706</v>
      </c>
      <c r="M129" s="3235">
        <v>15047.344235707529</v>
      </c>
      <c r="N129" s="3236">
        <v>956706</v>
      </c>
    </row>
    <row r="130" spans="1:14" ht="25.5">
      <c r="A130" s="3226">
        <v>131</v>
      </c>
      <c r="B130" s="3250" t="s">
        <v>3584</v>
      </c>
      <c r="C130" s="3227" t="s">
        <v>3333</v>
      </c>
      <c r="D130" s="3252" t="s">
        <v>3585</v>
      </c>
      <c r="E130" s="3229">
        <v>43749</v>
      </c>
      <c r="F130" s="3230">
        <v>20000</v>
      </c>
      <c r="G130" s="3231">
        <v>147.97999999999999</v>
      </c>
      <c r="H130" s="3231" t="s">
        <v>3438</v>
      </c>
      <c r="I130" s="3230">
        <v>2259334</v>
      </c>
      <c r="J130" s="3229">
        <v>43752</v>
      </c>
      <c r="K130" s="3234">
        <v>10</v>
      </c>
      <c r="L130" s="3230">
        <v>2234334</v>
      </c>
      <c r="M130" s="3235">
        <v>15098.891742127316</v>
      </c>
      <c r="N130" s="3236">
        <v>654334</v>
      </c>
    </row>
    <row r="131" spans="1:14">
      <c r="A131" s="3226">
        <v>132</v>
      </c>
      <c r="B131" s="3250" t="s">
        <v>3586</v>
      </c>
      <c r="C131" s="3227" t="s">
        <v>3333</v>
      </c>
      <c r="D131" s="3252" t="s">
        <v>3587</v>
      </c>
      <c r="E131" s="3229">
        <v>43749</v>
      </c>
      <c r="F131" s="3230">
        <v>20000</v>
      </c>
      <c r="G131" s="3231">
        <v>147.97999999999999</v>
      </c>
      <c r="H131" s="3231" t="s">
        <v>3438</v>
      </c>
      <c r="I131" s="3230">
        <v>2266962</v>
      </c>
      <c r="J131" s="3229">
        <v>43752</v>
      </c>
      <c r="K131" s="3234">
        <v>10</v>
      </c>
      <c r="L131" s="3230">
        <v>2241962</v>
      </c>
      <c r="M131" s="3235">
        <v>15150.439248547102</v>
      </c>
      <c r="N131" s="3236">
        <v>1131962</v>
      </c>
    </row>
    <row r="132" spans="1:14" ht="25.5">
      <c r="A132" s="3226">
        <v>133</v>
      </c>
      <c r="B132" s="3250" t="s">
        <v>3588</v>
      </c>
      <c r="C132" s="3227" t="s">
        <v>3333</v>
      </c>
      <c r="D132" s="3252" t="s">
        <v>3589</v>
      </c>
      <c r="E132" s="3229">
        <v>43753</v>
      </c>
      <c r="F132" s="3230">
        <v>20000</v>
      </c>
      <c r="G132" s="3231">
        <v>147.97999999999999</v>
      </c>
      <c r="H132" s="3231" t="s">
        <v>3438</v>
      </c>
      <c r="I132" s="3230">
        <v>2274590</v>
      </c>
      <c r="J132" s="3229">
        <v>43773</v>
      </c>
      <c r="K132" s="3234">
        <v>11</v>
      </c>
      <c r="L132" s="3230">
        <v>2254590</v>
      </c>
      <c r="M132" s="3235">
        <v>15235.775104743885</v>
      </c>
      <c r="N132" s="3236">
        <v>884590</v>
      </c>
    </row>
    <row r="133" spans="1:14">
      <c r="A133" s="3226">
        <v>134</v>
      </c>
      <c r="B133" s="3250" t="s">
        <v>3590</v>
      </c>
      <c r="C133" s="3227" t="s">
        <v>3333</v>
      </c>
      <c r="D133" s="3251" t="s">
        <v>3591</v>
      </c>
      <c r="E133" s="3229">
        <v>43810</v>
      </c>
      <c r="F133" s="3230">
        <v>50000</v>
      </c>
      <c r="G133" s="3231">
        <v>148.04</v>
      </c>
      <c r="H133" s="3231" t="s">
        <v>3438</v>
      </c>
      <c r="I133" s="3230">
        <v>2191564</v>
      </c>
      <c r="J133" s="3229">
        <v>43811</v>
      </c>
      <c r="K133" s="3234">
        <v>12</v>
      </c>
      <c r="L133" s="3230">
        <v>2166564</v>
      </c>
      <c r="M133" s="3235">
        <v>14634.990543096461</v>
      </c>
      <c r="N133" s="3236">
        <v>2116564</v>
      </c>
    </row>
    <row r="134" spans="1:14">
      <c r="A134" s="3226">
        <v>135</v>
      </c>
      <c r="B134" s="3250" t="s">
        <v>3592</v>
      </c>
      <c r="C134" s="3227" t="s">
        <v>3333</v>
      </c>
      <c r="D134" s="3252" t="s">
        <v>3593</v>
      </c>
      <c r="E134" s="3229">
        <v>43750</v>
      </c>
      <c r="F134" s="3230">
        <v>20000</v>
      </c>
      <c r="G134" s="3231">
        <v>126.31</v>
      </c>
      <c r="H134" s="3231" t="s">
        <v>3335</v>
      </c>
      <c r="I134" s="3230">
        <v>1654371</v>
      </c>
      <c r="J134" s="3229">
        <v>43764</v>
      </c>
      <c r="K134" s="3234">
        <v>10</v>
      </c>
      <c r="L134" s="3230">
        <v>1629371</v>
      </c>
      <c r="M134" s="3235">
        <v>12899.778323173145</v>
      </c>
      <c r="N134" s="3236">
        <v>469371</v>
      </c>
    </row>
    <row r="135" spans="1:14" ht="24">
      <c r="A135" s="3226">
        <v>136</v>
      </c>
      <c r="B135" s="3250" t="s">
        <v>3594</v>
      </c>
      <c r="C135" s="3227" t="s">
        <v>3333</v>
      </c>
      <c r="D135" s="3251" t="s">
        <v>3595</v>
      </c>
      <c r="E135" s="3229">
        <v>43807</v>
      </c>
      <c r="F135" s="3230">
        <v>50000</v>
      </c>
      <c r="G135" s="3231">
        <v>128.81</v>
      </c>
      <c r="H135" s="3231" t="s">
        <v>3335</v>
      </c>
      <c r="I135" s="3230">
        <v>1792943</v>
      </c>
      <c r="J135" s="3229">
        <v>43812</v>
      </c>
      <c r="K135" s="3234">
        <v>12</v>
      </c>
      <c r="L135" s="3230">
        <v>1772943</v>
      </c>
      <c r="M135" s="3235">
        <v>13764.016768884403</v>
      </c>
      <c r="N135" s="3236">
        <v>722943</v>
      </c>
    </row>
    <row r="136" spans="1:14">
      <c r="A136" s="3226">
        <v>137</v>
      </c>
      <c r="B136" s="3250" t="s">
        <v>3596</v>
      </c>
      <c r="C136" s="3227" t="s">
        <v>3333</v>
      </c>
      <c r="D136" s="3252" t="s">
        <v>3597</v>
      </c>
      <c r="E136" s="3229">
        <v>43755</v>
      </c>
      <c r="F136" s="3230">
        <v>20000</v>
      </c>
      <c r="G136" s="3231">
        <v>128.81</v>
      </c>
      <c r="H136" s="3231" t="s">
        <v>3335</v>
      </c>
      <c r="I136" s="3230">
        <v>1846060</v>
      </c>
      <c r="J136" s="3229">
        <v>43760</v>
      </c>
      <c r="K136" s="3234">
        <v>10</v>
      </c>
      <c r="L136" s="3230">
        <v>1821060</v>
      </c>
      <c r="M136" s="3235">
        <v>14137.566959087027</v>
      </c>
      <c r="N136" s="3236">
        <v>1231060</v>
      </c>
    </row>
    <row r="137" spans="1:14" ht="24">
      <c r="A137" s="3226">
        <v>138</v>
      </c>
      <c r="B137" s="3250" t="s">
        <v>3598</v>
      </c>
      <c r="C137" s="3227" t="s">
        <v>3333</v>
      </c>
      <c r="D137" s="3251" t="s">
        <v>3599</v>
      </c>
      <c r="E137" s="3229">
        <v>43829</v>
      </c>
      <c r="F137" s="3230">
        <v>50000</v>
      </c>
      <c r="G137" s="3231">
        <v>128.81</v>
      </c>
      <c r="H137" s="3231" t="s">
        <v>3335</v>
      </c>
      <c r="I137" s="3230">
        <v>1885898</v>
      </c>
      <c r="J137" s="3229">
        <v>43839</v>
      </c>
      <c r="K137" s="3234">
        <v>1</v>
      </c>
      <c r="L137" s="3230">
        <v>1875898</v>
      </c>
      <c r="M137" s="3235">
        <v>14563.294775250368</v>
      </c>
      <c r="N137" s="3236">
        <v>565898</v>
      </c>
    </row>
    <row r="138" spans="1:14" ht="25.5">
      <c r="A138" s="3226">
        <v>139</v>
      </c>
      <c r="B138" s="3250" t="s">
        <v>3600</v>
      </c>
      <c r="C138" s="3227" t="s">
        <v>3333</v>
      </c>
      <c r="D138" s="3252" t="s">
        <v>3601</v>
      </c>
      <c r="E138" s="3229">
        <v>43768</v>
      </c>
      <c r="F138" s="3230">
        <v>20000</v>
      </c>
      <c r="G138" s="3231">
        <v>128.81</v>
      </c>
      <c r="H138" s="3231" t="s">
        <v>3335</v>
      </c>
      <c r="I138" s="3230">
        <v>1919097</v>
      </c>
      <c r="J138" s="3229">
        <v>43771</v>
      </c>
      <c r="K138" s="3234">
        <v>11</v>
      </c>
      <c r="L138" s="3230">
        <v>1909097</v>
      </c>
      <c r="M138" s="3235">
        <v>14821.030975855912</v>
      </c>
      <c r="N138" s="3236">
        <v>909097</v>
      </c>
    </row>
    <row r="139" spans="1:14" ht="24">
      <c r="A139" s="3226">
        <v>140</v>
      </c>
      <c r="B139" s="3250" t="s">
        <v>3602</v>
      </c>
      <c r="C139" s="3227" t="s">
        <v>3333</v>
      </c>
      <c r="D139" s="3251" t="s">
        <v>3603</v>
      </c>
      <c r="E139" s="3229">
        <v>43794</v>
      </c>
      <c r="F139" s="3230">
        <v>50000</v>
      </c>
      <c r="G139" s="3231">
        <v>128.81</v>
      </c>
      <c r="H139" s="3231" t="s">
        <v>3335</v>
      </c>
      <c r="I139" s="3230">
        <v>1925736</v>
      </c>
      <c r="J139" s="3229">
        <v>43823</v>
      </c>
      <c r="K139" s="3234">
        <v>12</v>
      </c>
      <c r="L139" s="3230">
        <v>1920736</v>
      </c>
      <c r="M139" s="3235">
        <v>14911.388867323965</v>
      </c>
      <c r="N139" s="3236">
        <v>1270736</v>
      </c>
    </row>
    <row r="140" spans="1:14">
      <c r="A140" s="3226">
        <v>141</v>
      </c>
      <c r="B140" s="3250" t="s">
        <v>3604</v>
      </c>
      <c r="C140" s="3227" t="s">
        <v>3333</v>
      </c>
      <c r="D140" s="3252" t="s">
        <v>3605</v>
      </c>
      <c r="E140" s="3229">
        <v>43773</v>
      </c>
      <c r="F140" s="3230">
        <v>20000</v>
      </c>
      <c r="G140" s="3231">
        <v>128.81</v>
      </c>
      <c r="H140" s="3231" t="s">
        <v>3335</v>
      </c>
      <c r="I140" s="3230">
        <v>1932376</v>
      </c>
      <c r="J140" s="3229">
        <v>43780</v>
      </c>
      <c r="K140" s="3234">
        <v>11</v>
      </c>
      <c r="L140" s="3230">
        <v>1907376</v>
      </c>
      <c r="M140" s="3235">
        <v>14807.670211940067</v>
      </c>
      <c r="N140" s="3236">
        <v>1887376</v>
      </c>
    </row>
    <row r="141" spans="1:14">
      <c r="A141" s="3226">
        <v>142</v>
      </c>
      <c r="B141" s="3250" t="s">
        <v>3606</v>
      </c>
      <c r="C141" s="3227" t="s">
        <v>3333</v>
      </c>
      <c r="D141" s="3252" t="s">
        <v>3607</v>
      </c>
      <c r="E141" s="3229">
        <v>43773</v>
      </c>
      <c r="F141" s="3230">
        <v>20000</v>
      </c>
      <c r="G141" s="3231">
        <v>128.81</v>
      </c>
      <c r="H141" s="3231" t="s">
        <v>3335</v>
      </c>
      <c r="I141" s="3230">
        <v>1939016</v>
      </c>
      <c r="J141" s="3229">
        <v>43790</v>
      </c>
      <c r="K141" s="3234">
        <v>11</v>
      </c>
      <c r="L141" s="3230">
        <v>1929016</v>
      </c>
      <c r="M141" s="3235">
        <v>14975.669590870273</v>
      </c>
      <c r="N141" s="3236">
        <v>1009016</v>
      </c>
    </row>
    <row r="142" spans="1:14" ht="25.5">
      <c r="A142" s="3226">
        <v>143</v>
      </c>
      <c r="B142" s="3250" t="s">
        <v>3608</v>
      </c>
      <c r="C142" s="3227" t="s">
        <v>3333</v>
      </c>
      <c r="D142" s="3252" t="s">
        <v>3609</v>
      </c>
      <c r="E142" s="3229">
        <v>43773</v>
      </c>
      <c r="F142" s="3230">
        <v>20000</v>
      </c>
      <c r="G142" s="3231">
        <v>128.81</v>
      </c>
      <c r="H142" s="3231" t="s">
        <v>3335</v>
      </c>
      <c r="I142" s="3230">
        <v>1945655</v>
      </c>
      <c r="J142" s="3229">
        <v>43779</v>
      </c>
      <c r="K142" s="3234">
        <v>11</v>
      </c>
      <c r="L142" s="3230">
        <v>1920655</v>
      </c>
      <c r="M142" s="3235">
        <v>14910.760034158839</v>
      </c>
      <c r="N142" s="3236">
        <v>560655</v>
      </c>
    </row>
    <row r="143" spans="1:14">
      <c r="A143" s="3226">
        <v>144</v>
      </c>
      <c r="B143" s="3250" t="s">
        <v>3610</v>
      </c>
      <c r="C143" s="3227" t="s">
        <v>3333</v>
      </c>
      <c r="D143" s="3252" t="s">
        <v>3611</v>
      </c>
      <c r="E143" s="3229">
        <v>43766</v>
      </c>
      <c r="F143" s="3230">
        <v>20000</v>
      </c>
      <c r="G143" s="3231">
        <v>128.81</v>
      </c>
      <c r="H143" s="3231" t="s">
        <v>3335</v>
      </c>
      <c r="I143" s="3230">
        <v>1952295</v>
      </c>
      <c r="J143" s="3229">
        <v>43769</v>
      </c>
      <c r="K143" s="3234">
        <v>10</v>
      </c>
      <c r="L143" s="3230">
        <v>1927295</v>
      </c>
      <c r="M143" s="3235">
        <v>14962.30882695443</v>
      </c>
      <c r="N143" s="3236">
        <v>1407295</v>
      </c>
    </row>
    <row r="144" spans="1:14">
      <c r="A144" s="3226">
        <v>145</v>
      </c>
      <c r="B144" s="3250" t="s">
        <v>3612</v>
      </c>
      <c r="C144" s="3227" t="s">
        <v>3333</v>
      </c>
      <c r="D144" s="3253" t="s">
        <v>3613</v>
      </c>
      <c r="E144" s="3229">
        <v>43919</v>
      </c>
      <c r="F144" s="3230">
        <v>50000</v>
      </c>
      <c r="G144" s="3231">
        <v>128.77000000000001</v>
      </c>
      <c r="H144" s="3231" t="s">
        <v>3335</v>
      </c>
      <c r="I144" s="3230">
        <v>1878681</v>
      </c>
      <c r="J144" s="3229">
        <v>43939</v>
      </c>
      <c r="K144" s="3234">
        <v>4</v>
      </c>
      <c r="L144" s="3230">
        <v>1878681</v>
      </c>
      <c r="M144" s="3235">
        <v>14589.430768036033</v>
      </c>
      <c r="N144" s="3236">
        <v>1828681</v>
      </c>
    </row>
    <row r="145" spans="1:14">
      <c r="A145" s="3226">
        <v>146</v>
      </c>
      <c r="B145" s="3250" t="s">
        <v>3614</v>
      </c>
      <c r="C145" s="3227" t="s">
        <v>3333</v>
      </c>
      <c r="D145" s="3252" t="s">
        <v>3615</v>
      </c>
      <c r="E145" s="3229">
        <v>43758</v>
      </c>
      <c r="F145" s="3230">
        <v>20000</v>
      </c>
      <c r="G145" s="3231">
        <v>126.31</v>
      </c>
      <c r="H145" s="3231" t="s">
        <v>3335</v>
      </c>
      <c r="I145" s="3230">
        <v>1649800</v>
      </c>
      <c r="J145" s="3229">
        <v>43758</v>
      </c>
      <c r="K145" s="3234">
        <v>10</v>
      </c>
      <c r="L145" s="3230">
        <v>1624800</v>
      </c>
      <c r="M145" s="3235">
        <v>12863.589581189137</v>
      </c>
      <c r="N145" s="3236">
        <v>474800</v>
      </c>
    </row>
    <row r="146" spans="1:14" ht="24">
      <c r="A146" s="3226">
        <v>147</v>
      </c>
      <c r="B146" s="3250" t="s">
        <v>3616</v>
      </c>
      <c r="C146" s="3227" t="s">
        <v>3333</v>
      </c>
      <c r="D146" s="3251" t="s">
        <v>3617</v>
      </c>
      <c r="E146" s="3229">
        <v>43803</v>
      </c>
      <c r="F146" s="3230">
        <v>50000</v>
      </c>
      <c r="G146" s="3231">
        <v>128.81</v>
      </c>
      <c r="H146" s="3231" t="s">
        <v>3335</v>
      </c>
      <c r="I146" s="3230">
        <v>1788280</v>
      </c>
      <c r="J146" s="3229">
        <v>43810</v>
      </c>
      <c r="K146" s="3234">
        <v>12</v>
      </c>
      <c r="L146" s="3230">
        <v>1778280</v>
      </c>
      <c r="M146" s="3235">
        <v>13805.449887431099</v>
      </c>
      <c r="N146" s="3236">
        <v>528280</v>
      </c>
    </row>
    <row r="147" spans="1:14">
      <c r="A147" s="3226">
        <v>148</v>
      </c>
      <c r="B147" s="3250" t="s">
        <v>3618</v>
      </c>
      <c r="C147" s="3227" t="s">
        <v>3333</v>
      </c>
      <c r="D147" s="3254" t="s">
        <v>3619</v>
      </c>
      <c r="E147" s="3255">
        <v>43830</v>
      </c>
      <c r="F147" s="3236">
        <v>50000</v>
      </c>
      <c r="G147" s="3231">
        <v>128.81</v>
      </c>
      <c r="H147" s="3231" t="s">
        <v>3335</v>
      </c>
      <c r="I147" s="3230">
        <v>1841398</v>
      </c>
      <c r="J147" s="3229">
        <v>43897</v>
      </c>
      <c r="K147" s="3234">
        <v>3</v>
      </c>
      <c r="L147" s="3230">
        <v>1826398</v>
      </c>
      <c r="M147" s="3235">
        <v>14179.007841006132</v>
      </c>
      <c r="N147" s="3236">
        <v>506398</v>
      </c>
    </row>
    <row r="148" spans="1:14" ht="25.5">
      <c r="A148" s="3226">
        <v>149</v>
      </c>
      <c r="B148" s="3250" t="s">
        <v>3620</v>
      </c>
      <c r="C148" s="3227" t="s">
        <v>3333</v>
      </c>
      <c r="D148" s="3228" t="s">
        <v>3621</v>
      </c>
      <c r="E148" s="3256">
        <v>43749</v>
      </c>
      <c r="F148" s="3230">
        <v>20000</v>
      </c>
      <c r="G148" s="3231">
        <v>128.81</v>
      </c>
      <c r="H148" s="3231" t="s">
        <v>3335</v>
      </c>
      <c r="I148" s="3230">
        <v>1881236</v>
      </c>
      <c r="J148" s="3229">
        <v>43753</v>
      </c>
      <c r="K148" s="3234">
        <v>10</v>
      </c>
      <c r="L148" s="3230">
        <v>1856236</v>
      </c>
      <c r="M148" s="3235">
        <v>14410.651346945113</v>
      </c>
      <c r="N148" s="3236">
        <v>636236</v>
      </c>
    </row>
    <row r="149" spans="1:14" ht="25.5">
      <c r="A149" s="3226">
        <v>150</v>
      </c>
      <c r="B149" s="3250" t="s">
        <v>3622</v>
      </c>
      <c r="C149" s="3227" t="s">
        <v>3333</v>
      </c>
      <c r="D149" s="3252" t="s">
        <v>3623</v>
      </c>
      <c r="E149" s="3229">
        <v>43750</v>
      </c>
      <c r="F149" s="3230">
        <v>20000</v>
      </c>
      <c r="G149" s="3231">
        <v>128.81</v>
      </c>
      <c r="H149" s="3231" t="s">
        <v>3335</v>
      </c>
      <c r="I149" s="3230">
        <v>1914434</v>
      </c>
      <c r="J149" s="3229">
        <v>43762</v>
      </c>
      <c r="K149" s="3234">
        <v>10</v>
      </c>
      <c r="L149" s="3230">
        <v>1889434</v>
      </c>
      <c r="M149" s="3235">
        <v>14668.379784178247</v>
      </c>
      <c r="N149" s="3236">
        <v>569434</v>
      </c>
    </row>
    <row r="150" spans="1:14" ht="25.5">
      <c r="A150" s="3226">
        <v>151</v>
      </c>
      <c r="B150" s="3250" t="s">
        <v>3624</v>
      </c>
      <c r="C150" s="3227" t="s">
        <v>3333</v>
      </c>
      <c r="D150" s="3252" t="s">
        <v>3625</v>
      </c>
      <c r="E150" s="3229">
        <v>43749</v>
      </c>
      <c r="F150" s="3230">
        <v>20000</v>
      </c>
      <c r="G150" s="3231">
        <v>128.81</v>
      </c>
      <c r="H150" s="3231" t="s">
        <v>3335</v>
      </c>
      <c r="I150" s="3230">
        <v>1921074</v>
      </c>
      <c r="J150" s="3229">
        <v>43754</v>
      </c>
      <c r="K150" s="3234">
        <v>10</v>
      </c>
      <c r="L150" s="3230">
        <v>1886074</v>
      </c>
      <c r="M150" s="3235">
        <v>14642.294852884093</v>
      </c>
      <c r="N150" s="3236">
        <v>1866074</v>
      </c>
    </row>
    <row r="151" spans="1:14">
      <c r="A151" s="3226">
        <v>152</v>
      </c>
      <c r="B151" s="3250" t="s">
        <v>3626</v>
      </c>
      <c r="C151" s="3227" t="s">
        <v>3333</v>
      </c>
      <c r="D151" s="3252" t="s">
        <v>3627</v>
      </c>
      <c r="E151" s="3229">
        <v>43763</v>
      </c>
      <c r="F151" s="3230">
        <v>20000</v>
      </c>
      <c r="G151" s="3231">
        <v>128.81</v>
      </c>
      <c r="H151" s="3231" t="s">
        <v>3335</v>
      </c>
      <c r="I151" s="3230">
        <v>1927714</v>
      </c>
      <c r="J151" s="3229">
        <v>43764</v>
      </c>
      <c r="K151" s="3234">
        <v>10</v>
      </c>
      <c r="L151" s="3230">
        <v>1917714</v>
      </c>
      <c r="M151" s="3235">
        <v>14887.927955904044</v>
      </c>
      <c r="N151" s="3236">
        <v>1297714</v>
      </c>
    </row>
    <row r="152" spans="1:14" ht="25.5">
      <c r="A152" s="3226">
        <v>153</v>
      </c>
      <c r="B152" s="3250" t="s">
        <v>3628</v>
      </c>
      <c r="C152" s="3227" t="s">
        <v>3333</v>
      </c>
      <c r="D152" s="3252" t="s">
        <v>3629</v>
      </c>
      <c r="E152" s="3229">
        <v>43767</v>
      </c>
      <c r="F152" s="3230">
        <v>0</v>
      </c>
      <c r="G152" s="3231">
        <v>128.81</v>
      </c>
      <c r="H152" s="3231" t="s">
        <v>3335</v>
      </c>
      <c r="I152" s="3230">
        <v>1934353</v>
      </c>
      <c r="J152" s="3229">
        <v>43767</v>
      </c>
      <c r="K152" s="3234">
        <v>10</v>
      </c>
      <c r="L152" s="3230">
        <v>1919353</v>
      </c>
      <c r="M152" s="3235">
        <v>14900.652123282354</v>
      </c>
      <c r="N152" s="3236">
        <v>579353</v>
      </c>
    </row>
    <row r="153" spans="1:14" ht="25.5">
      <c r="A153" s="3226">
        <v>154</v>
      </c>
      <c r="B153" s="3250" t="s">
        <v>3630</v>
      </c>
      <c r="C153" s="3227" t="s">
        <v>3333</v>
      </c>
      <c r="D153" s="3252" t="s">
        <v>3631</v>
      </c>
      <c r="E153" s="3229">
        <v>43750</v>
      </c>
      <c r="F153" s="3230">
        <v>20000</v>
      </c>
      <c r="G153" s="3231">
        <v>128.81</v>
      </c>
      <c r="H153" s="3231" t="s">
        <v>3335</v>
      </c>
      <c r="I153" s="3230">
        <v>1940993</v>
      </c>
      <c r="J153" s="3229">
        <v>43757</v>
      </c>
      <c r="K153" s="3234">
        <v>10</v>
      </c>
      <c r="L153" s="3230">
        <v>1915993</v>
      </c>
      <c r="M153" s="3235">
        <v>14874.567191988199</v>
      </c>
      <c r="N153" s="3236">
        <v>1195993</v>
      </c>
    </row>
    <row r="154" spans="1:14">
      <c r="A154" s="3226">
        <v>155</v>
      </c>
      <c r="B154" s="3250" t="s">
        <v>3632</v>
      </c>
      <c r="C154" s="3227" t="s">
        <v>3333</v>
      </c>
      <c r="D154" s="3252" t="s">
        <v>3633</v>
      </c>
      <c r="E154" s="3229">
        <v>43750</v>
      </c>
      <c r="F154" s="3230">
        <v>20000</v>
      </c>
      <c r="G154" s="3231">
        <v>128.81</v>
      </c>
      <c r="H154" s="3231" t="s">
        <v>3335</v>
      </c>
      <c r="I154" s="3230">
        <v>1947633</v>
      </c>
      <c r="J154" s="3229">
        <v>43762</v>
      </c>
      <c r="K154" s="3234">
        <v>10</v>
      </c>
      <c r="L154" s="3230">
        <v>1922633</v>
      </c>
      <c r="M154" s="3235">
        <v>14926.11598478379</v>
      </c>
      <c r="N154" s="3236">
        <v>562633</v>
      </c>
    </row>
    <row r="155" spans="1:14" ht="24">
      <c r="A155" s="3226">
        <v>156</v>
      </c>
      <c r="B155" s="3250" t="s">
        <v>3634</v>
      </c>
      <c r="C155" s="3227" t="s">
        <v>3333</v>
      </c>
      <c r="D155" s="3251" t="s">
        <v>3635</v>
      </c>
      <c r="E155" s="3229">
        <v>43912</v>
      </c>
      <c r="F155" s="3230">
        <v>50000</v>
      </c>
      <c r="G155" s="3231">
        <v>128.81</v>
      </c>
      <c r="H155" s="3231" t="s">
        <v>3335</v>
      </c>
      <c r="I155" s="3230">
        <v>1874596</v>
      </c>
      <c r="J155" s="3229">
        <v>43917</v>
      </c>
      <c r="K155" s="3234">
        <v>3</v>
      </c>
      <c r="L155" s="3230">
        <v>1864596</v>
      </c>
      <c r="M155" s="3235">
        <v>14475.553140284139</v>
      </c>
      <c r="N155" s="3236">
        <v>594596</v>
      </c>
    </row>
    <row r="156" spans="1:14">
      <c r="A156" s="3226">
        <v>157</v>
      </c>
      <c r="B156" s="3250" t="s">
        <v>3636</v>
      </c>
      <c r="C156" s="3227" t="s">
        <v>3333</v>
      </c>
      <c r="D156" s="3252" t="s">
        <v>3637</v>
      </c>
      <c r="E156" s="3229">
        <v>43759</v>
      </c>
      <c r="F156" s="3230">
        <v>20000</v>
      </c>
      <c r="G156" s="3231">
        <v>126.31</v>
      </c>
      <c r="H156" s="3231" t="s">
        <v>3335</v>
      </c>
      <c r="I156" s="3230">
        <v>1645228</v>
      </c>
      <c r="J156" s="3229">
        <v>43769</v>
      </c>
      <c r="K156" s="3234">
        <v>10</v>
      </c>
      <c r="L156" s="3230">
        <v>1630228</v>
      </c>
      <c r="M156" s="3235">
        <v>12906.563217480802</v>
      </c>
      <c r="N156" s="3236">
        <v>470228</v>
      </c>
    </row>
    <row r="157" spans="1:14" ht="24">
      <c r="A157" s="3226">
        <v>158</v>
      </c>
      <c r="B157" s="3250" t="s">
        <v>3638</v>
      </c>
      <c r="C157" s="3227" t="s">
        <v>3333</v>
      </c>
      <c r="D157" s="3251" t="s">
        <v>3639</v>
      </c>
      <c r="E157" s="3229">
        <v>43803</v>
      </c>
      <c r="F157" s="3230">
        <v>50000</v>
      </c>
      <c r="G157" s="3231">
        <v>128.81</v>
      </c>
      <c r="H157" s="3231" t="s">
        <v>3335</v>
      </c>
      <c r="I157" s="3230">
        <v>1783618</v>
      </c>
      <c r="J157" s="3229">
        <v>43810</v>
      </c>
      <c r="K157" s="3234">
        <v>12</v>
      </c>
      <c r="L157" s="3230">
        <v>1763618</v>
      </c>
      <c r="M157" s="3235">
        <v>13691.623321170717</v>
      </c>
      <c r="N157" s="3236">
        <v>713618</v>
      </c>
    </row>
    <row r="158" spans="1:14">
      <c r="A158" s="3226">
        <v>159</v>
      </c>
      <c r="B158" s="3250" t="s">
        <v>3640</v>
      </c>
      <c r="C158" s="3227" t="s">
        <v>3333</v>
      </c>
      <c r="D158" s="3252" t="s">
        <v>3641</v>
      </c>
      <c r="E158" s="3229">
        <v>43749</v>
      </c>
      <c r="F158" s="3230">
        <v>20000</v>
      </c>
      <c r="G158" s="3231">
        <v>128.81</v>
      </c>
      <c r="H158" s="3231" t="s">
        <v>3335</v>
      </c>
      <c r="I158" s="3230">
        <v>1836735</v>
      </c>
      <c r="J158" s="3229">
        <v>43751</v>
      </c>
      <c r="K158" s="3234">
        <v>10</v>
      </c>
      <c r="L158" s="3230">
        <v>1811735</v>
      </c>
      <c r="M158" s="3235">
        <v>14065.173511373341</v>
      </c>
      <c r="N158" s="3236">
        <v>531735</v>
      </c>
    </row>
    <row r="159" spans="1:14">
      <c r="A159" s="3226">
        <v>160</v>
      </c>
      <c r="B159" s="3250" t="s">
        <v>3642</v>
      </c>
      <c r="C159" s="3227" t="s">
        <v>3333</v>
      </c>
      <c r="D159" s="3251" t="s">
        <v>3552</v>
      </c>
      <c r="E159" s="3229">
        <v>43842</v>
      </c>
      <c r="F159" s="3230">
        <v>50000</v>
      </c>
      <c r="G159" s="3231">
        <v>128.81</v>
      </c>
      <c r="H159" s="3231" t="s">
        <v>3335</v>
      </c>
      <c r="I159" s="3230">
        <v>1876574</v>
      </c>
      <c r="J159" s="3229">
        <v>43842</v>
      </c>
      <c r="K159" s="3234">
        <v>1</v>
      </c>
      <c r="L159" s="3230">
        <v>1866568</v>
      </c>
      <c r="M159" s="3235">
        <v>14490.862510674637</v>
      </c>
      <c r="N159" s="3236">
        <v>816568</v>
      </c>
    </row>
    <row r="160" spans="1:14" ht="25.5">
      <c r="A160" s="3226">
        <v>161</v>
      </c>
      <c r="B160" s="3250" t="s">
        <v>3643</v>
      </c>
      <c r="C160" s="3227" t="s">
        <v>3333</v>
      </c>
      <c r="D160" s="3252" t="s">
        <v>3644</v>
      </c>
      <c r="E160" s="3229">
        <v>43752</v>
      </c>
      <c r="F160" s="3230">
        <v>20000</v>
      </c>
      <c r="G160" s="3231">
        <v>128.81</v>
      </c>
      <c r="H160" s="3231" t="s">
        <v>3335</v>
      </c>
      <c r="I160" s="3230">
        <v>1909772</v>
      </c>
      <c r="J160" s="3229">
        <v>43752</v>
      </c>
      <c r="K160" s="3234">
        <v>10</v>
      </c>
      <c r="L160" s="3230">
        <v>1899772</v>
      </c>
      <c r="M160" s="3235">
        <v>14748.637528142224</v>
      </c>
      <c r="N160" s="3236">
        <v>939772</v>
      </c>
    </row>
    <row r="161" spans="1:14" ht="25.5">
      <c r="A161" s="3226">
        <v>162</v>
      </c>
      <c r="B161" s="3250" t="s">
        <v>3645</v>
      </c>
      <c r="C161" s="3227" t="s">
        <v>3333</v>
      </c>
      <c r="D161" s="3252" t="s">
        <v>3646</v>
      </c>
      <c r="E161" s="3229">
        <v>43749</v>
      </c>
      <c r="F161" s="3230">
        <v>20000</v>
      </c>
      <c r="G161" s="3231">
        <v>128.81</v>
      </c>
      <c r="H161" s="3231" t="s">
        <v>3335</v>
      </c>
      <c r="I161" s="3230">
        <v>1916412</v>
      </c>
      <c r="J161" s="3229">
        <v>43754</v>
      </c>
      <c r="K161" s="3234">
        <v>10</v>
      </c>
      <c r="L161" s="3230">
        <v>1891412</v>
      </c>
      <c r="M161" s="3235">
        <v>14683.735734803198</v>
      </c>
      <c r="N161" s="3236">
        <v>871412</v>
      </c>
    </row>
    <row r="162" spans="1:14">
      <c r="A162" s="3226">
        <v>163</v>
      </c>
      <c r="B162" s="3250" t="s">
        <v>3647</v>
      </c>
      <c r="C162" s="3227" t="s">
        <v>3333</v>
      </c>
      <c r="D162" s="3251" t="s">
        <v>3648</v>
      </c>
      <c r="E162" s="3229">
        <v>43793</v>
      </c>
      <c r="F162" s="3230">
        <v>50000</v>
      </c>
      <c r="G162" s="3231">
        <v>128.81</v>
      </c>
      <c r="H162" s="3231" t="s">
        <v>3335</v>
      </c>
      <c r="I162" s="3230">
        <v>1923051</v>
      </c>
      <c r="J162" s="3229">
        <v>43812</v>
      </c>
      <c r="K162" s="3234">
        <v>12</v>
      </c>
      <c r="L162" s="3230">
        <v>1903051</v>
      </c>
      <c r="M162" s="3235">
        <v>14774.093626271251</v>
      </c>
      <c r="N162" s="3236">
        <v>553051</v>
      </c>
    </row>
    <row r="163" spans="1:14">
      <c r="A163" s="3226">
        <v>164</v>
      </c>
      <c r="B163" s="3250" t="s">
        <v>3649</v>
      </c>
      <c r="C163" s="3227" t="s">
        <v>3333</v>
      </c>
      <c r="D163" s="3251" t="s">
        <v>3650</v>
      </c>
      <c r="E163" s="3229">
        <v>43828</v>
      </c>
      <c r="F163" s="3230">
        <v>50000</v>
      </c>
      <c r="G163" s="3231">
        <v>128.81</v>
      </c>
      <c r="H163" s="3231" t="s">
        <v>3335</v>
      </c>
      <c r="I163" s="3230">
        <v>1929691</v>
      </c>
      <c r="J163" s="3229">
        <v>43832</v>
      </c>
      <c r="K163" s="3234">
        <v>1</v>
      </c>
      <c r="L163" s="3230">
        <v>1914691</v>
      </c>
      <c r="M163" s="3235">
        <v>14864.459281111715</v>
      </c>
      <c r="N163" s="3236">
        <v>1864691</v>
      </c>
    </row>
    <row r="164" spans="1:14">
      <c r="A164" s="3226">
        <v>165</v>
      </c>
      <c r="B164" s="3250" t="s">
        <v>3651</v>
      </c>
      <c r="C164" s="3227" t="s">
        <v>3333</v>
      </c>
      <c r="D164" s="3252" t="s">
        <v>3652</v>
      </c>
      <c r="E164" s="3229">
        <v>43749</v>
      </c>
      <c r="F164" s="3230">
        <v>20000</v>
      </c>
      <c r="G164" s="3231">
        <v>128.81</v>
      </c>
      <c r="H164" s="3231" t="s">
        <v>3335</v>
      </c>
      <c r="I164" s="3230">
        <v>1936331</v>
      </c>
      <c r="J164" s="3229">
        <v>43752</v>
      </c>
      <c r="K164" s="3234">
        <v>10</v>
      </c>
      <c r="L164" s="3230">
        <v>1911331</v>
      </c>
      <c r="M164" s="3235">
        <v>14838.374349817561</v>
      </c>
      <c r="N164" s="3236">
        <v>561331</v>
      </c>
    </row>
    <row r="165" spans="1:14">
      <c r="A165" s="3226">
        <v>166</v>
      </c>
      <c r="B165" s="3250" t="s">
        <v>3653</v>
      </c>
      <c r="C165" s="3227" t="s">
        <v>3333</v>
      </c>
      <c r="D165" s="3252" t="s">
        <v>3654</v>
      </c>
      <c r="E165" s="3229">
        <v>43764</v>
      </c>
      <c r="F165" s="3230">
        <v>20000</v>
      </c>
      <c r="G165" s="3231">
        <v>128.81</v>
      </c>
      <c r="H165" s="3231" t="s">
        <v>3335</v>
      </c>
      <c r="I165" s="3230">
        <v>1942971</v>
      </c>
      <c r="J165" s="3229">
        <v>43788</v>
      </c>
      <c r="K165" s="3234">
        <v>11</v>
      </c>
      <c r="L165" s="3230">
        <v>1917971</v>
      </c>
      <c r="M165" s="3235">
        <v>14889.92314261315</v>
      </c>
      <c r="N165" s="3236">
        <v>597971</v>
      </c>
    </row>
    <row r="166" spans="1:14">
      <c r="A166" s="3226">
        <v>167</v>
      </c>
      <c r="B166" s="3250" t="s">
        <v>3655</v>
      </c>
      <c r="C166" s="3227" t="s">
        <v>3333</v>
      </c>
      <c r="D166" s="3254" t="s">
        <v>3656</v>
      </c>
      <c r="E166" s="3255">
        <v>43961</v>
      </c>
      <c r="F166" s="3230">
        <v>50000</v>
      </c>
      <c r="G166" s="3231">
        <v>128.81</v>
      </c>
      <c r="H166" s="3231" t="s">
        <v>3335</v>
      </c>
      <c r="I166" s="3230">
        <v>1869934</v>
      </c>
      <c r="J166" s="3229">
        <v>43961</v>
      </c>
      <c r="K166" s="3234">
        <v>5</v>
      </c>
      <c r="L166" s="3230">
        <v>1849934</v>
      </c>
      <c r="M166" s="3235">
        <v>14361.726574023756</v>
      </c>
      <c r="N166" s="3236">
        <v>509934</v>
      </c>
    </row>
    <row r="167" spans="1:14">
      <c r="A167" s="3226">
        <v>168</v>
      </c>
      <c r="B167" s="3250" t="s">
        <v>3657</v>
      </c>
      <c r="C167" s="3227" t="s">
        <v>3333</v>
      </c>
      <c r="D167" s="3251" t="s">
        <v>3658</v>
      </c>
      <c r="E167" s="3257">
        <v>43829</v>
      </c>
      <c r="F167" s="3258">
        <v>20000</v>
      </c>
      <c r="G167" s="3231">
        <v>126.31</v>
      </c>
      <c r="H167" s="3231" t="s">
        <v>3335</v>
      </c>
      <c r="I167" s="3230">
        <v>1640656</v>
      </c>
      <c r="J167" s="3229">
        <v>44011</v>
      </c>
      <c r="K167" s="3234">
        <v>6</v>
      </c>
      <c r="L167" s="3230">
        <v>1567186</v>
      </c>
      <c r="M167" s="3235">
        <v>12407.45784181775</v>
      </c>
      <c r="N167" s="3236">
        <v>457186</v>
      </c>
    </row>
    <row r="168" spans="1:14">
      <c r="A168" s="3226">
        <v>169</v>
      </c>
      <c r="B168" s="3250" t="s">
        <v>3659</v>
      </c>
      <c r="C168" s="3227" t="s">
        <v>3333</v>
      </c>
      <c r="D168" s="3251" t="s">
        <v>3660</v>
      </c>
      <c r="E168" s="3229">
        <v>43799</v>
      </c>
      <c r="F168" s="3230">
        <v>50000</v>
      </c>
      <c r="G168" s="3231">
        <v>128.81</v>
      </c>
      <c r="H168" s="3231" t="s">
        <v>3335</v>
      </c>
      <c r="I168" s="3230">
        <v>1778956</v>
      </c>
      <c r="J168" s="3229">
        <v>43802</v>
      </c>
      <c r="K168" s="3234">
        <v>12</v>
      </c>
      <c r="L168" s="3230">
        <v>1758956</v>
      </c>
      <c r="M168" s="3235">
        <v>13655.430479000077</v>
      </c>
      <c r="N168" s="3236">
        <v>508956</v>
      </c>
    </row>
    <row r="169" spans="1:14" ht="24">
      <c r="A169" s="3226">
        <v>170</v>
      </c>
      <c r="B169" s="3250" t="s">
        <v>3661</v>
      </c>
      <c r="C169" s="3227" t="s">
        <v>3333</v>
      </c>
      <c r="D169" s="3251" t="s">
        <v>3662</v>
      </c>
      <c r="E169" s="3229">
        <v>43818</v>
      </c>
      <c r="F169" s="3230">
        <v>50000</v>
      </c>
      <c r="G169" s="3231">
        <v>128.81</v>
      </c>
      <c r="H169" s="3231" t="s">
        <v>3335</v>
      </c>
      <c r="I169" s="3230">
        <v>1832073</v>
      </c>
      <c r="J169" s="3229">
        <v>43829</v>
      </c>
      <c r="K169" s="3234">
        <v>12</v>
      </c>
      <c r="L169" s="3230">
        <v>1822073</v>
      </c>
      <c r="M169" s="3235">
        <v>14145.431255337318</v>
      </c>
      <c r="N169" s="3236">
        <v>792073</v>
      </c>
    </row>
    <row r="170" spans="1:14">
      <c r="A170" s="3226">
        <v>171</v>
      </c>
      <c r="B170" s="3250" t="s">
        <v>3663</v>
      </c>
      <c r="C170" s="3227" t="s">
        <v>3333</v>
      </c>
      <c r="D170" s="3251" t="s">
        <v>3664</v>
      </c>
      <c r="E170" s="3229">
        <v>43837</v>
      </c>
      <c r="F170" s="3230">
        <v>50000</v>
      </c>
      <c r="G170" s="3231">
        <v>128.81</v>
      </c>
      <c r="H170" s="3231" t="s">
        <v>3335</v>
      </c>
      <c r="I170" s="3230">
        <v>1871911</v>
      </c>
      <c r="J170" s="3229">
        <v>43893</v>
      </c>
      <c r="K170" s="3234">
        <v>3</v>
      </c>
      <c r="L170" s="3230">
        <v>1871911</v>
      </c>
      <c r="M170" s="3235">
        <v>14532.342209455788</v>
      </c>
      <c r="N170" s="3236">
        <v>511911</v>
      </c>
    </row>
    <row r="171" spans="1:14" ht="24">
      <c r="A171" s="3226">
        <v>172</v>
      </c>
      <c r="B171" s="3250" t="s">
        <v>3665</v>
      </c>
      <c r="C171" s="3227" t="s">
        <v>3333</v>
      </c>
      <c r="D171" s="3259" t="s">
        <v>3666</v>
      </c>
      <c r="E171" s="3229">
        <v>43800</v>
      </c>
      <c r="F171" s="3230">
        <v>50000</v>
      </c>
      <c r="G171" s="3231">
        <v>128.81</v>
      </c>
      <c r="H171" s="3231" t="s">
        <v>3335</v>
      </c>
      <c r="I171" s="3230">
        <v>1905110</v>
      </c>
      <c r="J171" s="3229">
        <v>43803</v>
      </c>
      <c r="K171" s="3234">
        <v>12</v>
      </c>
      <c r="L171" s="3230">
        <v>1885110</v>
      </c>
      <c r="M171" s="3235">
        <v>14634.810961881842</v>
      </c>
      <c r="N171" s="3236">
        <v>525110</v>
      </c>
    </row>
    <row r="172" spans="1:14" ht="24">
      <c r="A172" s="3226">
        <v>173</v>
      </c>
      <c r="B172" s="3250" t="s">
        <v>3667</v>
      </c>
      <c r="C172" s="3227" t="s">
        <v>3333</v>
      </c>
      <c r="D172" s="3251" t="s">
        <v>3668</v>
      </c>
      <c r="E172" s="3229">
        <v>43764</v>
      </c>
      <c r="F172" s="3230">
        <v>20000</v>
      </c>
      <c r="G172" s="3231">
        <v>128.81</v>
      </c>
      <c r="H172" s="3231" t="s">
        <v>3335</v>
      </c>
      <c r="I172" s="3230">
        <v>1911749</v>
      </c>
      <c r="J172" s="3229">
        <v>43769</v>
      </c>
      <c r="K172" s="3234">
        <v>10</v>
      </c>
      <c r="L172" s="3230">
        <v>1886749</v>
      </c>
      <c r="M172" s="3235">
        <v>14647.53512926015</v>
      </c>
      <c r="N172" s="3236">
        <v>546749</v>
      </c>
    </row>
    <row r="173" spans="1:14">
      <c r="A173" s="3226">
        <v>174</v>
      </c>
      <c r="B173" s="3250" t="s">
        <v>3669</v>
      </c>
      <c r="C173" s="3227" t="s">
        <v>3333</v>
      </c>
      <c r="D173" s="3252" t="s">
        <v>3670</v>
      </c>
      <c r="E173" s="3229">
        <v>43769</v>
      </c>
      <c r="F173" s="3230">
        <v>20000</v>
      </c>
      <c r="G173" s="3231">
        <v>128.81</v>
      </c>
      <c r="H173" s="3231" t="s">
        <v>3335</v>
      </c>
      <c r="I173" s="3230">
        <v>1918389</v>
      </c>
      <c r="J173" s="3229">
        <v>43769</v>
      </c>
      <c r="K173" s="3234">
        <v>10</v>
      </c>
      <c r="L173" s="3230">
        <v>1908389</v>
      </c>
      <c r="M173" s="3235">
        <v>14815.534508190358</v>
      </c>
      <c r="N173" s="3236">
        <v>1288389</v>
      </c>
    </row>
    <row r="174" spans="1:14" ht="24">
      <c r="A174" s="3226">
        <v>175</v>
      </c>
      <c r="B174" s="3250" t="s">
        <v>3671</v>
      </c>
      <c r="C174" s="3227" t="s">
        <v>3333</v>
      </c>
      <c r="D174" s="3251" t="s">
        <v>3672</v>
      </c>
      <c r="E174" s="3229">
        <v>43800</v>
      </c>
      <c r="F174" s="3230">
        <v>50000</v>
      </c>
      <c r="G174" s="3231">
        <v>128.81</v>
      </c>
      <c r="H174" s="3231" t="s">
        <v>3335</v>
      </c>
      <c r="I174" s="3230">
        <v>1925029</v>
      </c>
      <c r="J174" s="3229">
        <v>43801</v>
      </c>
      <c r="K174" s="3234">
        <v>12</v>
      </c>
      <c r="L174" s="3230">
        <v>1900029</v>
      </c>
      <c r="M174" s="3235">
        <v>14750.632714851332</v>
      </c>
      <c r="N174" s="3236">
        <v>1850029</v>
      </c>
    </row>
    <row r="175" spans="1:14">
      <c r="A175" s="3226">
        <v>176</v>
      </c>
      <c r="B175" s="3250" t="s">
        <v>3673</v>
      </c>
      <c r="C175" s="3227" t="s">
        <v>3333</v>
      </c>
      <c r="D175" s="3252" t="s">
        <v>3674</v>
      </c>
      <c r="E175" s="3229">
        <v>43768</v>
      </c>
      <c r="F175" s="3230">
        <v>20000</v>
      </c>
      <c r="G175" s="3231">
        <v>128.81</v>
      </c>
      <c r="H175" s="3231" t="s">
        <v>3335</v>
      </c>
      <c r="I175" s="3230">
        <v>1931669</v>
      </c>
      <c r="J175" s="3229">
        <v>43770</v>
      </c>
      <c r="K175" s="3234">
        <v>11</v>
      </c>
      <c r="L175" s="3230">
        <v>1906669</v>
      </c>
      <c r="M175" s="3235">
        <v>14802.181507646921</v>
      </c>
      <c r="N175" s="3236">
        <v>556669</v>
      </c>
    </row>
    <row r="176" spans="1:14" ht="24">
      <c r="A176" s="3226">
        <v>177</v>
      </c>
      <c r="B176" s="3250" t="s">
        <v>3675</v>
      </c>
      <c r="C176" s="3227" t="s">
        <v>3333</v>
      </c>
      <c r="D176" s="3251" t="s">
        <v>3676</v>
      </c>
      <c r="E176" s="3229">
        <v>43782</v>
      </c>
      <c r="F176" s="3230">
        <v>20000</v>
      </c>
      <c r="G176" s="3231">
        <v>128.81</v>
      </c>
      <c r="H176" s="3231" t="s">
        <v>3335</v>
      </c>
      <c r="I176" s="3230">
        <v>1938308</v>
      </c>
      <c r="J176" s="3229">
        <v>43799</v>
      </c>
      <c r="K176" s="3234">
        <v>11</v>
      </c>
      <c r="L176" s="3230">
        <v>1918308</v>
      </c>
      <c r="M176" s="3235">
        <v>14892.539399114976</v>
      </c>
      <c r="N176" s="3236">
        <v>1898308</v>
      </c>
    </row>
    <row r="177" spans="1:14" ht="24">
      <c r="A177" s="3226">
        <v>178</v>
      </c>
      <c r="B177" s="3250" t="s">
        <v>3677</v>
      </c>
      <c r="C177" s="3227" t="s">
        <v>3333</v>
      </c>
      <c r="D177" s="3251" t="s">
        <v>3678</v>
      </c>
      <c r="E177" s="3229">
        <v>43927</v>
      </c>
      <c r="F177" s="3230">
        <v>50000</v>
      </c>
      <c r="G177" s="3231">
        <v>128.77000000000001</v>
      </c>
      <c r="H177" s="3231" t="s">
        <v>3335</v>
      </c>
      <c r="I177" s="3230">
        <v>1864699</v>
      </c>
      <c r="J177" s="3229">
        <v>43937</v>
      </c>
      <c r="K177" s="3234">
        <v>4</v>
      </c>
      <c r="L177" s="3230">
        <v>1864699</v>
      </c>
      <c r="M177" s="3235">
        <v>14480.849576764773</v>
      </c>
      <c r="N177" s="3236">
        <v>1814699</v>
      </c>
    </row>
    <row r="178" spans="1:14">
      <c r="A178" s="3226">
        <v>179</v>
      </c>
      <c r="B178" s="3250" t="s">
        <v>3679</v>
      </c>
      <c r="C178" s="3227" t="s">
        <v>3333</v>
      </c>
      <c r="D178" s="3251" t="s">
        <v>3532</v>
      </c>
      <c r="E178" s="3229">
        <v>43829</v>
      </c>
      <c r="F178" s="3230">
        <v>20000</v>
      </c>
      <c r="G178" s="3231">
        <v>145.68</v>
      </c>
      <c r="H178" s="3231" t="s">
        <v>3438</v>
      </c>
      <c r="I178" s="3230">
        <v>1854819</v>
      </c>
      <c r="J178" s="3229">
        <v>44011</v>
      </c>
      <c r="K178" s="3234">
        <v>6</v>
      </c>
      <c r="L178" s="3230">
        <v>1774924</v>
      </c>
      <c r="M178" s="3235">
        <v>12183.717737506864</v>
      </c>
      <c r="N178" s="3236">
        <v>514924</v>
      </c>
    </row>
    <row r="179" spans="1:14">
      <c r="A179" s="3226">
        <v>180</v>
      </c>
      <c r="B179" s="3250" t="s">
        <v>3680</v>
      </c>
      <c r="C179" s="3227" t="s">
        <v>3333</v>
      </c>
      <c r="D179" s="3251" t="s">
        <v>3681</v>
      </c>
      <c r="E179" s="3229">
        <v>43823</v>
      </c>
      <c r="F179" s="3230">
        <v>50000</v>
      </c>
      <c r="G179" s="3231">
        <v>147.97999999999999</v>
      </c>
      <c r="H179" s="3231" t="s">
        <v>3438</v>
      </c>
      <c r="I179" s="3230">
        <v>2005823</v>
      </c>
      <c r="J179" s="3229">
        <v>43830</v>
      </c>
      <c r="K179" s="3234">
        <v>12</v>
      </c>
      <c r="L179" s="3230">
        <v>2000000</v>
      </c>
      <c r="M179" s="3235">
        <v>13515.339910798757</v>
      </c>
      <c r="N179" s="3236">
        <v>650000</v>
      </c>
    </row>
    <row r="180" spans="1:14">
      <c r="A180" s="3226">
        <v>181</v>
      </c>
      <c r="B180" s="3250" t="s">
        <v>3682</v>
      </c>
      <c r="C180" s="3227" t="s">
        <v>3333</v>
      </c>
      <c r="D180" s="3251" t="s">
        <v>3683</v>
      </c>
      <c r="E180" s="3229">
        <v>43830</v>
      </c>
      <c r="F180" s="3230">
        <v>50000</v>
      </c>
      <c r="G180" s="3231">
        <v>147.97999999999999</v>
      </c>
      <c r="H180" s="3231" t="s">
        <v>3438</v>
      </c>
      <c r="I180" s="3230">
        <v>2066846</v>
      </c>
      <c r="J180" s="3229">
        <v>43890</v>
      </c>
      <c r="K180" s="3234">
        <v>2</v>
      </c>
      <c r="L180" s="3230">
        <v>2051846</v>
      </c>
      <c r="M180" s="3235">
        <v>13865.698067306394</v>
      </c>
      <c r="N180" s="3236">
        <v>571846</v>
      </c>
    </row>
    <row r="181" spans="1:14">
      <c r="A181" s="3226">
        <v>182</v>
      </c>
      <c r="B181" s="3250" t="s">
        <v>3684</v>
      </c>
      <c r="C181" s="3227" t="s">
        <v>3333</v>
      </c>
      <c r="D181" s="3251" t="s">
        <v>3685</v>
      </c>
      <c r="E181" s="3229">
        <v>43828</v>
      </c>
      <c r="F181" s="3230">
        <v>50000</v>
      </c>
      <c r="G181" s="3231">
        <v>147.97999999999999</v>
      </c>
      <c r="H181" s="3231" t="s">
        <v>3438</v>
      </c>
      <c r="I181" s="3230">
        <v>2112613</v>
      </c>
      <c r="J181" s="3229">
        <v>43830</v>
      </c>
      <c r="K181" s="3234">
        <v>12</v>
      </c>
      <c r="L181" s="3230">
        <v>2106613</v>
      </c>
      <c r="M181" s="3235">
        <v>14235.795377753751</v>
      </c>
      <c r="N181" s="3236">
        <v>586613</v>
      </c>
    </row>
    <row r="182" spans="1:14" ht="25.5">
      <c r="A182" s="3226">
        <v>183</v>
      </c>
      <c r="B182" s="3250" t="s">
        <v>3686</v>
      </c>
      <c r="C182" s="3227" t="s">
        <v>3333</v>
      </c>
      <c r="D182" s="3252" t="s">
        <v>3687</v>
      </c>
      <c r="E182" s="3229">
        <v>43753</v>
      </c>
      <c r="F182" s="3230">
        <v>20000</v>
      </c>
      <c r="G182" s="3231">
        <v>147.97999999999999</v>
      </c>
      <c r="H182" s="3231" t="s">
        <v>3438</v>
      </c>
      <c r="I182" s="3230">
        <v>2150752</v>
      </c>
      <c r="J182" s="3229">
        <v>43756</v>
      </c>
      <c r="K182" s="3234">
        <v>10</v>
      </c>
      <c r="L182" s="3230">
        <v>2125752</v>
      </c>
      <c r="M182" s="3235">
        <v>14365.130423030139</v>
      </c>
      <c r="N182" s="3236">
        <v>655752</v>
      </c>
    </row>
    <row r="183" spans="1:14" ht="24">
      <c r="A183" s="3226">
        <v>184</v>
      </c>
      <c r="B183" s="3250" t="s">
        <v>3688</v>
      </c>
      <c r="C183" s="3227" t="s">
        <v>3333</v>
      </c>
      <c r="D183" s="3259" t="s">
        <v>3689</v>
      </c>
      <c r="E183" s="3229">
        <v>43799</v>
      </c>
      <c r="F183" s="3230">
        <v>50000</v>
      </c>
      <c r="G183" s="3231">
        <v>147.97999999999999</v>
      </c>
      <c r="H183" s="3231" t="s">
        <v>3438</v>
      </c>
      <c r="I183" s="3230">
        <v>2158380</v>
      </c>
      <c r="J183" s="3229">
        <v>43809</v>
      </c>
      <c r="K183" s="3234">
        <v>12</v>
      </c>
      <c r="L183" s="3230">
        <v>2138380</v>
      </c>
      <c r="M183" s="3235">
        <v>14450.466279226923</v>
      </c>
      <c r="N183" s="3236">
        <v>598380</v>
      </c>
    </row>
    <row r="184" spans="1:14">
      <c r="A184" s="3226">
        <v>185</v>
      </c>
      <c r="B184" s="3250" t="s">
        <v>3690</v>
      </c>
      <c r="C184" s="3227" t="s">
        <v>3333</v>
      </c>
      <c r="D184" s="3252" t="s">
        <v>3691</v>
      </c>
      <c r="E184" s="3229">
        <v>43753</v>
      </c>
      <c r="F184" s="3230">
        <v>20000</v>
      </c>
      <c r="G184" s="3231">
        <v>147.97999999999999</v>
      </c>
      <c r="H184" s="3231" t="s">
        <v>3438</v>
      </c>
      <c r="I184" s="3230">
        <v>2166007</v>
      </c>
      <c r="J184" s="3229">
        <v>43763</v>
      </c>
      <c r="K184" s="3234">
        <v>10</v>
      </c>
      <c r="L184" s="3230">
        <v>2141007</v>
      </c>
      <c r="M184" s="3235">
        <v>14468.218678199757</v>
      </c>
      <c r="N184" s="3236">
        <v>771007</v>
      </c>
    </row>
    <row r="185" spans="1:14" ht="25.5">
      <c r="A185" s="3226">
        <v>186</v>
      </c>
      <c r="B185" s="3250" t="s">
        <v>3692</v>
      </c>
      <c r="C185" s="3227" t="s">
        <v>3333</v>
      </c>
      <c r="D185" s="3252" t="s">
        <v>3693</v>
      </c>
      <c r="E185" s="3229">
        <v>43749</v>
      </c>
      <c r="F185" s="3230">
        <v>20000</v>
      </c>
      <c r="G185" s="3231">
        <v>147.97999999999999</v>
      </c>
      <c r="H185" s="3231" t="s">
        <v>3438</v>
      </c>
      <c r="I185" s="3230">
        <v>2173635</v>
      </c>
      <c r="J185" s="3229">
        <v>43752</v>
      </c>
      <c r="K185" s="3234">
        <v>10</v>
      </c>
      <c r="L185" s="3230">
        <v>2148635</v>
      </c>
      <c r="M185" s="3235">
        <v>14519.766184619544</v>
      </c>
      <c r="N185" s="3236">
        <v>928635</v>
      </c>
    </row>
    <row r="186" spans="1:14" ht="25.5">
      <c r="A186" s="3226">
        <v>187</v>
      </c>
      <c r="B186" s="3250" t="s">
        <v>3694</v>
      </c>
      <c r="C186" s="3227" t="s">
        <v>3333</v>
      </c>
      <c r="D186" s="3252" t="s">
        <v>3695</v>
      </c>
      <c r="E186" s="3229">
        <v>43749</v>
      </c>
      <c r="F186" s="3230">
        <v>20000</v>
      </c>
      <c r="G186" s="3231">
        <v>147.97999999999999</v>
      </c>
      <c r="H186" s="3231" t="s">
        <v>3438</v>
      </c>
      <c r="I186" s="3230">
        <v>2181263</v>
      </c>
      <c r="J186" s="3229">
        <v>43751</v>
      </c>
      <c r="K186" s="3234">
        <v>10</v>
      </c>
      <c r="L186" s="3230">
        <v>2146263</v>
      </c>
      <c r="M186" s="3235">
        <v>14503.736991485337</v>
      </c>
      <c r="N186" s="3235">
        <v>2126263</v>
      </c>
    </row>
    <row r="187" spans="1:14" ht="25.5">
      <c r="A187" s="3226">
        <v>188</v>
      </c>
      <c r="B187" s="3250" t="s">
        <v>3696</v>
      </c>
      <c r="C187" s="3227" t="s">
        <v>3333</v>
      </c>
      <c r="D187" s="3252" t="s">
        <v>3697</v>
      </c>
      <c r="E187" s="3229">
        <v>43749</v>
      </c>
      <c r="F187" s="3230">
        <v>20000</v>
      </c>
      <c r="G187" s="3231">
        <v>147.97999999999999</v>
      </c>
      <c r="H187" s="3231" t="s">
        <v>3438</v>
      </c>
      <c r="I187" s="3230">
        <v>2188891</v>
      </c>
      <c r="J187" s="3229">
        <v>43752</v>
      </c>
      <c r="K187" s="3234">
        <v>10</v>
      </c>
      <c r="L187" s="3230">
        <v>2163891</v>
      </c>
      <c r="M187" s="3235">
        <v>14622.861197459117</v>
      </c>
      <c r="N187" s="3236">
        <v>633891</v>
      </c>
    </row>
    <row r="188" spans="1:14" ht="24">
      <c r="A188" s="3226">
        <v>189</v>
      </c>
      <c r="B188" s="3250" t="s">
        <v>3698</v>
      </c>
      <c r="C188" s="3227" t="s">
        <v>3333</v>
      </c>
      <c r="D188" s="3251" t="s">
        <v>3699</v>
      </c>
      <c r="E188" s="3229">
        <v>43927</v>
      </c>
      <c r="F188" s="3230">
        <v>50000</v>
      </c>
      <c r="G188" s="3231">
        <v>148.04</v>
      </c>
      <c r="H188" s="3231" t="s">
        <v>3438</v>
      </c>
      <c r="I188" s="3230">
        <v>2197401</v>
      </c>
      <c r="J188" s="3229">
        <v>43939</v>
      </c>
      <c r="K188" s="3234">
        <v>4</v>
      </c>
      <c r="L188" s="3230">
        <v>2197401</v>
      </c>
      <c r="M188" s="3235">
        <v>14843.292353417995</v>
      </c>
      <c r="N188" s="3236">
        <v>1147401</v>
      </c>
    </row>
    <row r="189" spans="1:14" ht="24">
      <c r="A189" s="3226">
        <v>190</v>
      </c>
      <c r="B189" s="3250" t="s">
        <v>3700</v>
      </c>
      <c r="C189" s="3227" t="s">
        <v>3333</v>
      </c>
      <c r="D189" s="3251" t="s">
        <v>3701</v>
      </c>
      <c r="E189" s="3229">
        <v>43828</v>
      </c>
      <c r="F189" s="3230">
        <v>50000</v>
      </c>
      <c r="G189" s="3231">
        <v>150.22</v>
      </c>
      <c r="H189" s="3231" t="s">
        <v>3438</v>
      </c>
      <c r="I189" s="3230">
        <v>1987141</v>
      </c>
      <c r="J189" s="3229">
        <v>43830</v>
      </c>
      <c r="K189" s="3234">
        <v>12</v>
      </c>
      <c r="L189" s="3230">
        <v>1980000</v>
      </c>
      <c r="M189" s="3235">
        <v>13180.668353082146</v>
      </c>
      <c r="N189" s="3236">
        <v>700000</v>
      </c>
    </row>
    <row r="190" spans="1:14">
      <c r="A190" s="3226">
        <v>191</v>
      </c>
      <c r="B190" s="3250" t="s">
        <v>3702</v>
      </c>
      <c r="C190" s="3227" t="s">
        <v>3333</v>
      </c>
      <c r="D190" s="3251" t="s">
        <v>3703</v>
      </c>
      <c r="E190" s="3229">
        <v>43908</v>
      </c>
      <c r="F190" s="3230">
        <v>50000</v>
      </c>
      <c r="G190" s="3231">
        <v>150.22</v>
      </c>
      <c r="H190" s="3231" t="s">
        <v>3438</v>
      </c>
      <c r="I190" s="3230">
        <v>2056831</v>
      </c>
      <c r="J190" s="3229">
        <v>43919</v>
      </c>
      <c r="K190" s="3234">
        <v>3</v>
      </c>
      <c r="L190" s="3230">
        <v>2046831</v>
      </c>
      <c r="M190" s="3235">
        <v>13625.555851417921</v>
      </c>
      <c r="N190" s="3236">
        <v>566831</v>
      </c>
    </row>
    <row r="191" spans="1:14">
      <c r="A191" s="3226">
        <v>192</v>
      </c>
      <c r="B191" s="3250" t="s">
        <v>3704</v>
      </c>
      <c r="C191" s="3227" t="s">
        <v>3333</v>
      </c>
      <c r="D191" s="3251" t="s">
        <v>3613</v>
      </c>
      <c r="E191" s="3229">
        <v>43919</v>
      </c>
      <c r="F191" s="3230">
        <v>50000</v>
      </c>
      <c r="G191" s="3231">
        <v>150.22</v>
      </c>
      <c r="H191" s="3231" t="s">
        <v>3438</v>
      </c>
      <c r="I191" s="3230">
        <v>2103291</v>
      </c>
      <c r="J191" s="3229">
        <v>43939</v>
      </c>
      <c r="K191" s="3234">
        <v>4</v>
      </c>
      <c r="L191" s="3230">
        <v>2103291</v>
      </c>
      <c r="M191" s="3235">
        <v>14001.40460657702</v>
      </c>
      <c r="N191" s="3236">
        <v>2053291</v>
      </c>
    </row>
    <row r="192" spans="1:14">
      <c r="A192" s="3226">
        <v>193</v>
      </c>
      <c r="B192" s="3250" t="s">
        <v>3705</v>
      </c>
      <c r="C192" s="3227" t="s">
        <v>3333</v>
      </c>
      <c r="D192" s="3251" t="s">
        <v>3706</v>
      </c>
      <c r="E192" s="3229">
        <v>43829</v>
      </c>
      <c r="F192" s="3230">
        <v>50000</v>
      </c>
      <c r="G192" s="3231">
        <v>150.22</v>
      </c>
      <c r="H192" s="3231" t="s">
        <v>3438</v>
      </c>
      <c r="I192" s="3230">
        <v>2142007</v>
      </c>
      <c r="J192" s="3229">
        <v>43836</v>
      </c>
      <c r="K192" s="3234">
        <v>1</v>
      </c>
      <c r="L192" s="3238">
        <v>2127007</v>
      </c>
      <c r="M192" s="3235">
        <v>14159.279723072827</v>
      </c>
      <c r="N192" s="3236">
        <v>2077007</v>
      </c>
    </row>
    <row r="193" spans="1:14" ht="24">
      <c r="A193" s="3226">
        <v>194</v>
      </c>
      <c r="B193" s="3250" t="s">
        <v>3707</v>
      </c>
      <c r="C193" s="3227" t="s">
        <v>3333</v>
      </c>
      <c r="D193" s="3251" t="s">
        <v>3708</v>
      </c>
      <c r="E193" s="3229">
        <v>43814</v>
      </c>
      <c r="F193" s="3230">
        <v>50000</v>
      </c>
      <c r="G193" s="3231">
        <v>150.22</v>
      </c>
      <c r="H193" s="3231" t="s">
        <v>3438</v>
      </c>
      <c r="I193" s="3230">
        <v>2149751</v>
      </c>
      <c r="J193" s="3229">
        <v>43815</v>
      </c>
      <c r="K193" s="3234">
        <v>12</v>
      </c>
      <c r="L193" s="3230">
        <v>2139751</v>
      </c>
      <c r="M193" s="3235">
        <v>14244.115297563574</v>
      </c>
      <c r="N193" s="3236">
        <v>599751</v>
      </c>
    </row>
    <row r="194" spans="1:14" ht="25.5">
      <c r="A194" s="3226">
        <v>195</v>
      </c>
      <c r="B194" s="3250" t="s">
        <v>3709</v>
      </c>
      <c r="C194" s="3227" t="s">
        <v>3333</v>
      </c>
      <c r="D194" s="3252" t="s">
        <v>3710</v>
      </c>
      <c r="E194" s="3229">
        <v>43780</v>
      </c>
      <c r="F194" s="3230">
        <v>20000</v>
      </c>
      <c r="G194" s="3231">
        <v>150.22</v>
      </c>
      <c r="H194" s="3231" t="s">
        <v>3438</v>
      </c>
      <c r="I194" s="3230">
        <v>2157494</v>
      </c>
      <c r="J194" s="3229">
        <v>43786</v>
      </c>
      <c r="K194" s="3234">
        <v>11</v>
      </c>
      <c r="L194" s="3230">
        <v>2132398</v>
      </c>
      <c r="M194" s="3235">
        <v>14195.167088270537</v>
      </c>
      <c r="N194" s="3236">
        <v>2112398</v>
      </c>
    </row>
    <row r="195" spans="1:14" ht="24">
      <c r="A195" s="3226">
        <v>196</v>
      </c>
      <c r="B195" s="3250" t="s">
        <v>3711</v>
      </c>
      <c r="C195" s="3227" t="s">
        <v>3333</v>
      </c>
      <c r="D195" s="3251" t="s">
        <v>3712</v>
      </c>
      <c r="E195" s="3229">
        <v>43914</v>
      </c>
      <c r="F195" s="3230">
        <v>50000</v>
      </c>
      <c r="G195" s="3231">
        <v>150.22</v>
      </c>
      <c r="H195" s="3231" t="s">
        <v>3438</v>
      </c>
      <c r="I195" s="3230">
        <v>2165237</v>
      </c>
      <c r="J195" s="3229">
        <v>43936</v>
      </c>
      <c r="K195" s="3234">
        <v>4</v>
      </c>
      <c r="L195" s="3230">
        <v>2155237</v>
      </c>
      <c r="M195" s="3235">
        <v>14347.204100652376</v>
      </c>
      <c r="N195" s="3236">
        <v>615237</v>
      </c>
    </row>
    <row r="196" spans="1:14">
      <c r="A196" s="3226">
        <v>197</v>
      </c>
      <c r="B196" s="3250" t="s">
        <v>3713</v>
      </c>
      <c r="C196" s="3227" t="s">
        <v>3333</v>
      </c>
      <c r="D196" s="3251" t="s">
        <v>3714</v>
      </c>
      <c r="E196" s="3229">
        <v>43799</v>
      </c>
      <c r="F196" s="3230">
        <v>50000</v>
      </c>
      <c r="G196" s="3231">
        <v>150.22</v>
      </c>
      <c r="H196" s="3231" t="s">
        <v>3438</v>
      </c>
      <c r="I196" s="3230">
        <v>2172981</v>
      </c>
      <c r="J196" s="3229">
        <v>43807</v>
      </c>
      <c r="K196" s="3234">
        <v>12</v>
      </c>
      <c r="L196" s="3230">
        <v>2142981</v>
      </c>
      <c r="M196" s="3235">
        <v>14265.61709492744</v>
      </c>
      <c r="N196" s="3236">
        <v>2092981</v>
      </c>
    </row>
    <row r="197" spans="1:14">
      <c r="A197" s="3226">
        <v>198</v>
      </c>
      <c r="B197" s="3250" t="s">
        <v>3715</v>
      </c>
      <c r="C197" s="3227" t="s">
        <v>3333</v>
      </c>
      <c r="D197" s="3251" t="s">
        <v>3716</v>
      </c>
      <c r="E197" s="3229">
        <v>43809</v>
      </c>
      <c r="F197" s="3230">
        <v>50000</v>
      </c>
      <c r="G197" s="3231">
        <v>150.22</v>
      </c>
      <c r="H197" s="3231" t="s">
        <v>3438</v>
      </c>
      <c r="I197" s="3230">
        <v>2180724</v>
      </c>
      <c r="J197" s="3229">
        <v>43829</v>
      </c>
      <c r="K197" s="3234">
        <v>12</v>
      </c>
      <c r="L197" s="3230">
        <v>2160724</v>
      </c>
      <c r="M197" s="3235">
        <v>14383.730528558115</v>
      </c>
      <c r="N197" s="3236">
        <v>710724</v>
      </c>
    </row>
    <row r="198" spans="1:14">
      <c r="A198" s="3226">
        <v>199</v>
      </c>
      <c r="B198" s="3250" t="s">
        <v>3717</v>
      </c>
      <c r="C198" s="3227" t="s">
        <v>3333</v>
      </c>
      <c r="D198" s="3251" t="s">
        <v>3718</v>
      </c>
      <c r="E198" s="3229">
        <v>43933</v>
      </c>
      <c r="F198" s="3230">
        <v>50000</v>
      </c>
      <c r="G198" s="3231">
        <v>150.28</v>
      </c>
      <c r="H198" s="3231" t="s">
        <v>3438</v>
      </c>
      <c r="I198" s="3230">
        <v>2096376</v>
      </c>
      <c r="J198" s="3229">
        <v>43950</v>
      </c>
      <c r="K198" s="3234">
        <v>4</v>
      </c>
      <c r="L198" s="3230">
        <v>2096376</v>
      </c>
      <c r="M198" s="3235">
        <v>13949.800372637743</v>
      </c>
      <c r="N198" s="3236">
        <v>586376</v>
      </c>
    </row>
    <row r="199" spans="1:14">
      <c r="A199" s="3226">
        <v>200</v>
      </c>
      <c r="B199" s="3250" t="s">
        <v>3719</v>
      </c>
      <c r="C199" s="3227" t="s">
        <v>3333</v>
      </c>
      <c r="D199" s="3251" t="s">
        <v>3720</v>
      </c>
      <c r="E199" s="3229">
        <v>43907</v>
      </c>
      <c r="F199" s="3230">
        <v>50000</v>
      </c>
      <c r="G199" s="3231">
        <v>130.77000000000001</v>
      </c>
      <c r="H199" s="3231" t="s">
        <v>3335</v>
      </c>
      <c r="I199" s="3230">
        <v>1703531</v>
      </c>
      <c r="J199" s="3229">
        <v>43928</v>
      </c>
      <c r="K199" s="3234">
        <v>4</v>
      </c>
      <c r="L199" s="3230">
        <v>1688531</v>
      </c>
      <c r="M199" s="3235">
        <v>12912.219928118069</v>
      </c>
      <c r="N199" s="3236">
        <v>458531</v>
      </c>
    </row>
    <row r="200" spans="1:14">
      <c r="A200" s="3226">
        <v>201</v>
      </c>
      <c r="B200" s="3250" t="s">
        <v>3721</v>
      </c>
      <c r="C200" s="3227" t="s">
        <v>3333</v>
      </c>
      <c r="D200" s="3252" t="s">
        <v>3722</v>
      </c>
      <c r="E200" s="3229">
        <v>43769</v>
      </c>
      <c r="F200" s="3230">
        <v>20000</v>
      </c>
      <c r="G200" s="3231">
        <v>130.77000000000001</v>
      </c>
      <c r="H200" s="3231" t="s">
        <v>3335</v>
      </c>
      <c r="I200" s="3230">
        <v>1764198</v>
      </c>
      <c r="J200" s="3229">
        <v>43779</v>
      </c>
      <c r="K200" s="3234">
        <v>11</v>
      </c>
      <c r="L200" s="3230">
        <v>1754198</v>
      </c>
      <c r="M200" s="3235">
        <v>13414.376386021258</v>
      </c>
      <c r="N200" s="3236">
        <v>1134198</v>
      </c>
    </row>
    <row r="201" spans="1:14" ht="24">
      <c r="A201" s="3226">
        <v>202</v>
      </c>
      <c r="B201" s="3250" t="s">
        <v>3723</v>
      </c>
      <c r="C201" s="3227" t="s">
        <v>3333</v>
      </c>
      <c r="D201" s="3251" t="s">
        <v>3724</v>
      </c>
      <c r="E201" s="3229">
        <v>43906</v>
      </c>
      <c r="F201" s="3230">
        <v>50000</v>
      </c>
      <c r="G201" s="3231">
        <v>130.77000000000001</v>
      </c>
      <c r="H201" s="3231" t="s">
        <v>3335</v>
      </c>
      <c r="I201" s="3230">
        <v>1804642</v>
      </c>
      <c r="J201" s="3229">
        <v>43919</v>
      </c>
      <c r="K201" s="3234">
        <v>3</v>
      </c>
      <c r="L201" s="3230">
        <v>1790000</v>
      </c>
      <c r="M201" s="3235">
        <v>13688.154775560142</v>
      </c>
      <c r="N201" s="3236">
        <v>490000</v>
      </c>
    </row>
    <row r="202" spans="1:14">
      <c r="A202" s="3226">
        <v>203</v>
      </c>
      <c r="B202" s="3250" t="s">
        <v>3725</v>
      </c>
      <c r="C202" s="3227" t="s">
        <v>3333</v>
      </c>
      <c r="D202" s="3252" t="s">
        <v>3726</v>
      </c>
      <c r="E202" s="3229">
        <v>43769</v>
      </c>
      <c r="F202" s="3230">
        <v>20000</v>
      </c>
      <c r="G202" s="3231">
        <v>130.77000000000001</v>
      </c>
      <c r="H202" s="3231" t="s">
        <v>3335</v>
      </c>
      <c r="I202" s="3230">
        <v>1838346</v>
      </c>
      <c r="J202" s="3229">
        <v>43775</v>
      </c>
      <c r="K202" s="3234">
        <v>11</v>
      </c>
      <c r="L202" s="3230">
        <v>1818346</v>
      </c>
      <c r="M202" s="3235">
        <v>13904.917029899823</v>
      </c>
      <c r="N202" s="3236">
        <v>528346</v>
      </c>
    </row>
    <row r="203" spans="1:14">
      <c r="A203" s="3226">
        <v>204</v>
      </c>
      <c r="B203" s="3250" t="s">
        <v>3727</v>
      </c>
      <c r="C203" s="3227" t="s">
        <v>3333</v>
      </c>
      <c r="D203" s="3251" t="s">
        <v>3728</v>
      </c>
      <c r="E203" s="3229">
        <v>43798</v>
      </c>
      <c r="F203" s="3230">
        <v>50000</v>
      </c>
      <c r="G203" s="3231">
        <v>130.77000000000001</v>
      </c>
      <c r="H203" s="3231" t="s">
        <v>3335</v>
      </c>
      <c r="I203" s="3230">
        <v>1845086</v>
      </c>
      <c r="J203" s="3229">
        <v>43807</v>
      </c>
      <c r="K203" s="3234">
        <v>12</v>
      </c>
      <c r="L203" s="3230">
        <v>1815086</v>
      </c>
      <c r="M203" s="3235">
        <v>13879.987764777854</v>
      </c>
      <c r="N203" s="3236">
        <v>1765086</v>
      </c>
    </row>
    <row r="204" spans="1:14" ht="38.25">
      <c r="A204" s="3226">
        <v>205</v>
      </c>
      <c r="B204" s="3250" t="s">
        <v>3729</v>
      </c>
      <c r="C204" s="3227" t="s">
        <v>3333</v>
      </c>
      <c r="D204" s="3252" t="s">
        <v>3730</v>
      </c>
      <c r="E204" s="3229">
        <v>43769</v>
      </c>
      <c r="F204" s="3230">
        <v>20000</v>
      </c>
      <c r="G204" s="3231">
        <v>130.77000000000001</v>
      </c>
      <c r="H204" s="3231" t="s">
        <v>3335</v>
      </c>
      <c r="I204" s="3230">
        <v>1851827</v>
      </c>
      <c r="J204" s="3229">
        <v>43778</v>
      </c>
      <c r="K204" s="3234">
        <v>11</v>
      </c>
      <c r="L204" s="3230">
        <v>1826827</v>
      </c>
      <c r="M204" s="3235">
        <v>13969.771354286149</v>
      </c>
      <c r="N204" s="3236">
        <v>536827</v>
      </c>
    </row>
    <row r="205" spans="1:14" ht="24">
      <c r="A205" s="3226">
        <v>206</v>
      </c>
      <c r="B205" s="3250" t="s">
        <v>3731</v>
      </c>
      <c r="C205" s="3227" t="s">
        <v>3333</v>
      </c>
      <c r="D205" s="3251" t="s">
        <v>3732</v>
      </c>
      <c r="E205" s="3229">
        <v>43830</v>
      </c>
      <c r="F205" s="3230">
        <v>50000</v>
      </c>
      <c r="G205" s="3231">
        <v>130.77000000000001</v>
      </c>
      <c r="H205" s="3231" t="s">
        <v>3335</v>
      </c>
      <c r="I205" s="3230">
        <v>1858568</v>
      </c>
      <c r="J205" s="3229">
        <v>43860</v>
      </c>
      <c r="K205" s="3234">
        <v>1</v>
      </c>
      <c r="L205" s="3230">
        <v>1848568</v>
      </c>
      <c r="M205" s="3235">
        <v>14136.025082205399</v>
      </c>
      <c r="N205" s="3236">
        <v>1008568</v>
      </c>
    </row>
    <row r="206" spans="1:14" ht="36">
      <c r="A206" s="3226">
        <v>207</v>
      </c>
      <c r="B206" s="3250" t="s">
        <v>3733</v>
      </c>
      <c r="C206" s="3227" t="s">
        <v>3333</v>
      </c>
      <c r="D206" s="3251" t="s">
        <v>3734</v>
      </c>
      <c r="E206" s="3260">
        <v>43825</v>
      </c>
      <c r="F206" s="3230">
        <v>50000</v>
      </c>
      <c r="G206" s="3231">
        <v>130.77000000000001</v>
      </c>
      <c r="H206" s="3231" t="s">
        <v>3335</v>
      </c>
      <c r="I206" s="3230">
        <v>1865309</v>
      </c>
      <c r="J206" s="3260">
        <v>43828</v>
      </c>
      <c r="K206" s="3234">
        <v>12</v>
      </c>
      <c r="L206" s="3261">
        <v>1845309</v>
      </c>
      <c r="M206" s="3235">
        <v>14111.103464097268</v>
      </c>
      <c r="N206" s="3261">
        <v>1095309</v>
      </c>
    </row>
    <row r="207" spans="1:14" ht="24">
      <c r="A207" s="3226">
        <v>208</v>
      </c>
      <c r="B207" s="3250" t="s">
        <v>3735</v>
      </c>
      <c r="C207" s="3227" t="s">
        <v>3333</v>
      </c>
      <c r="D207" s="3251" t="s">
        <v>3736</v>
      </c>
      <c r="E207" s="3229">
        <v>43791</v>
      </c>
      <c r="F207" s="3230">
        <v>20000</v>
      </c>
      <c r="G207" s="3231">
        <v>130.77000000000001</v>
      </c>
      <c r="H207" s="3231" t="s">
        <v>3335</v>
      </c>
      <c r="I207" s="3230">
        <v>1872049</v>
      </c>
      <c r="J207" s="3229">
        <v>43805</v>
      </c>
      <c r="K207" s="3234">
        <v>12</v>
      </c>
      <c r="L207" s="3230">
        <v>1862049</v>
      </c>
      <c r="M207" s="3235">
        <v>14239.1144757972</v>
      </c>
      <c r="N207" s="3236">
        <v>682049</v>
      </c>
    </row>
    <row r="208" spans="1:14" ht="24">
      <c r="A208" s="3226">
        <v>209</v>
      </c>
      <c r="B208" s="3250" t="s">
        <v>3737</v>
      </c>
      <c r="C208" s="3227" t="s">
        <v>3333</v>
      </c>
      <c r="D208" s="3251" t="s">
        <v>3738</v>
      </c>
      <c r="E208" s="3229">
        <v>43905</v>
      </c>
      <c r="F208" s="3230">
        <v>50000</v>
      </c>
      <c r="G208" s="3231">
        <v>130.72</v>
      </c>
      <c r="H208" s="3231" t="s">
        <v>3335</v>
      </c>
      <c r="I208" s="3230">
        <v>1797222</v>
      </c>
      <c r="J208" s="3229">
        <v>43908</v>
      </c>
      <c r="K208" s="3234">
        <v>3</v>
      </c>
      <c r="L208" s="3230">
        <v>1782222</v>
      </c>
      <c r="M208" s="3235">
        <v>13633.88922888617</v>
      </c>
      <c r="N208" s="3236">
        <v>702222</v>
      </c>
    </row>
    <row r="209" spans="1:14" ht="24">
      <c r="A209" s="3226">
        <v>210</v>
      </c>
      <c r="B209" s="3250" t="s">
        <v>3739</v>
      </c>
      <c r="C209" s="3227" t="s">
        <v>3333</v>
      </c>
      <c r="D209" s="3251" t="s">
        <v>3740</v>
      </c>
      <c r="E209" s="3229">
        <v>43809</v>
      </c>
      <c r="F209" s="3230">
        <v>50000</v>
      </c>
      <c r="G209" s="3231">
        <v>130.77000000000001</v>
      </c>
      <c r="H209" s="3231" t="s">
        <v>3335</v>
      </c>
      <c r="I209" s="3230">
        <v>1699071</v>
      </c>
      <c r="J209" s="3229">
        <v>43810</v>
      </c>
      <c r="K209" s="3234">
        <v>12</v>
      </c>
      <c r="L209" s="3230">
        <v>1674071</v>
      </c>
      <c r="M209" s="3235">
        <v>12801.644107975835</v>
      </c>
      <c r="N209" s="3236">
        <v>624071</v>
      </c>
    </row>
    <row r="210" spans="1:14" ht="24">
      <c r="A210" s="3226">
        <v>211</v>
      </c>
      <c r="B210" s="3250" t="s">
        <v>3741</v>
      </c>
      <c r="C210" s="3227" t="s">
        <v>3333</v>
      </c>
      <c r="D210" s="3259" t="s">
        <v>3742</v>
      </c>
      <c r="E210" s="3229">
        <v>43843</v>
      </c>
      <c r="F210" s="3230">
        <v>50000</v>
      </c>
      <c r="G210" s="3231">
        <v>130.77000000000001</v>
      </c>
      <c r="H210" s="3231" t="s">
        <v>3335</v>
      </c>
      <c r="I210" s="3230">
        <v>1759738</v>
      </c>
      <c r="J210" s="3229">
        <v>43912</v>
      </c>
      <c r="K210" s="3234">
        <v>3</v>
      </c>
      <c r="L210" s="3230">
        <v>1759738</v>
      </c>
      <c r="M210" s="3235">
        <v>13456.740842700925</v>
      </c>
      <c r="N210" s="3236">
        <v>479738</v>
      </c>
    </row>
    <row r="211" spans="1:14" ht="24">
      <c r="A211" s="3226">
        <v>212</v>
      </c>
      <c r="B211" s="3250" t="s">
        <v>3743</v>
      </c>
      <c r="C211" s="3227" t="s">
        <v>3333</v>
      </c>
      <c r="D211" s="3251" t="s">
        <v>3744</v>
      </c>
      <c r="E211" s="3229">
        <v>43910</v>
      </c>
      <c r="F211" s="3230">
        <v>50000</v>
      </c>
      <c r="G211" s="3231">
        <v>130.77000000000001</v>
      </c>
      <c r="H211" s="3231" t="s">
        <v>3335</v>
      </c>
      <c r="I211" s="3230">
        <v>1800182</v>
      </c>
      <c r="J211" s="3229">
        <v>43917</v>
      </c>
      <c r="K211" s="3234">
        <v>3</v>
      </c>
      <c r="L211" s="3230">
        <v>1790182</v>
      </c>
      <c r="M211" s="3235">
        <v>13689.546532079223</v>
      </c>
      <c r="N211" s="3236">
        <v>1240182</v>
      </c>
    </row>
    <row r="212" spans="1:14" ht="24">
      <c r="A212" s="3226">
        <v>213</v>
      </c>
      <c r="B212" s="3250" t="s">
        <v>3745</v>
      </c>
      <c r="C212" s="3227" t="s">
        <v>3333</v>
      </c>
      <c r="D212" s="3251" t="s">
        <v>3746</v>
      </c>
      <c r="E212" s="3229">
        <v>43830</v>
      </c>
      <c r="F212" s="3230">
        <v>50000</v>
      </c>
      <c r="G212" s="3231">
        <v>130.77000000000001</v>
      </c>
      <c r="H212" s="3231" t="s">
        <v>3335</v>
      </c>
      <c r="I212" s="3230">
        <v>1833886</v>
      </c>
      <c r="J212" s="3229">
        <v>43833</v>
      </c>
      <c r="K212" s="3234">
        <v>1</v>
      </c>
      <c r="L212" s="3230">
        <v>1828886</v>
      </c>
      <c r="M212" s="3235">
        <v>13985.516555784965</v>
      </c>
      <c r="N212" s="3236">
        <v>858886</v>
      </c>
    </row>
    <row r="213" spans="1:14" ht="24">
      <c r="A213" s="3226">
        <v>214</v>
      </c>
      <c r="B213" s="3250" t="s">
        <v>3747</v>
      </c>
      <c r="C213" s="3227" t="s">
        <v>3333</v>
      </c>
      <c r="D213" s="3251" t="s">
        <v>3748</v>
      </c>
      <c r="E213" s="3229">
        <v>43798</v>
      </c>
      <c r="F213" s="3230">
        <v>50000</v>
      </c>
      <c r="G213" s="3231">
        <v>130.77000000000001</v>
      </c>
      <c r="H213" s="3231" t="s">
        <v>3335</v>
      </c>
      <c r="I213" s="3230">
        <v>1840626</v>
      </c>
      <c r="J213" s="3229">
        <v>43799</v>
      </c>
      <c r="K213" s="3234">
        <v>11</v>
      </c>
      <c r="L213" s="3230">
        <v>1830626</v>
      </c>
      <c r="M213" s="3235">
        <v>13998.822359868471</v>
      </c>
      <c r="N213" s="3236">
        <v>650626</v>
      </c>
    </row>
    <row r="214" spans="1:14" ht="25.5">
      <c r="A214" s="3226">
        <v>215</v>
      </c>
      <c r="B214" s="3250" t="s">
        <v>3749</v>
      </c>
      <c r="C214" s="3227" t="s">
        <v>3333</v>
      </c>
      <c r="D214" s="3252" t="s">
        <v>3750</v>
      </c>
      <c r="E214" s="3229">
        <v>43774</v>
      </c>
      <c r="F214" s="3230">
        <v>20000</v>
      </c>
      <c r="G214" s="3231">
        <v>130.77000000000001</v>
      </c>
      <c r="H214" s="3231" t="s">
        <v>3335</v>
      </c>
      <c r="I214" s="3230">
        <v>1847367</v>
      </c>
      <c r="J214" s="3229">
        <v>43780</v>
      </c>
      <c r="K214" s="3234">
        <v>11</v>
      </c>
      <c r="L214" s="3230">
        <v>1847367</v>
      </c>
      <c r="M214" s="3235">
        <v>14126.841018582243</v>
      </c>
      <c r="N214" s="3236">
        <v>1227367</v>
      </c>
    </row>
    <row r="215" spans="1:14" ht="24">
      <c r="A215" s="3226">
        <v>216</v>
      </c>
      <c r="B215" s="3250" t="s">
        <v>3751</v>
      </c>
      <c r="C215" s="3227" t="s">
        <v>3333</v>
      </c>
      <c r="D215" s="3251" t="s">
        <v>3752</v>
      </c>
      <c r="E215" s="3229">
        <v>43800</v>
      </c>
      <c r="F215" s="3230">
        <v>50000</v>
      </c>
      <c r="G215" s="3231">
        <v>130.77000000000001</v>
      </c>
      <c r="H215" s="3231" t="s">
        <v>3335</v>
      </c>
      <c r="I215" s="3230">
        <v>1854108</v>
      </c>
      <c r="J215" s="3229">
        <v>43812</v>
      </c>
      <c r="K215" s="3234">
        <v>12</v>
      </c>
      <c r="L215" s="3230">
        <v>1849108</v>
      </c>
      <c r="M215" s="3235">
        <v>14140.154469679588</v>
      </c>
      <c r="N215" s="3236">
        <v>1199108</v>
      </c>
    </row>
    <row r="216" spans="1:14">
      <c r="A216" s="3226">
        <v>217</v>
      </c>
      <c r="B216" s="3250" t="s">
        <v>3753</v>
      </c>
      <c r="C216" s="3227" t="s">
        <v>3333</v>
      </c>
      <c r="D216" s="3252" t="s">
        <v>3754</v>
      </c>
      <c r="E216" s="3229">
        <v>43764</v>
      </c>
      <c r="F216" s="3230">
        <v>20000</v>
      </c>
      <c r="G216" s="3231">
        <v>130.77000000000001</v>
      </c>
      <c r="H216" s="3231" t="s">
        <v>3335</v>
      </c>
      <c r="I216" s="3230">
        <v>1860848</v>
      </c>
      <c r="J216" s="3229">
        <v>43768</v>
      </c>
      <c r="K216" s="3234">
        <v>10</v>
      </c>
      <c r="L216" s="3230">
        <v>1835848</v>
      </c>
      <c r="M216" s="3235">
        <v>14038.755066146668</v>
      </c>
      <c r="N216" s="3236">
        <v>535848</v>
      </c>
    </row>
    <row r="217" spans="1:14">
      <c r="A217" s="3226">
        <v>218</v>
      </c>
      <c r="B217" s="3250" t="s">
        <v>3755</v>
      </c>
      <c r="C217" s="3227" t="s">
        <v>3333</v>
      </c>
      <c r="D217" s="3252" t="s">
        <v>3756</v>
      </c>
      <c r="E217" s="3229">
        <v>43779</v>
      </c>
      <c r="F217" s="3230">
        <v>20000</v>
      </c>
      <c r="G217" s="3231">
        <v>130.77000000000001</v>
      </c>
      <c r="H217" s="3231" t="s">
        <v>3335</v>
      </c>
      <c r="I217" s="3230">
        <v>1867589</v>
      </c>
      <c r="J217" s="3229">
        <v>43788</v>
      </c>
      <c r="K217" s="3234">
        <v>11</v>
      </c>
      <c r="L217" s="3230">
        <v>1857589</v>
      </c>
      <c r="M217" s="3235">
        <v>14205.008794065916</v>
      </c>
      <c r="N217" s="3236">
        <v>547589</v>
      </c>
    </row>
    <row r="218" spans="1:14">
      <c r="A218" s="3226">
        <v>219</v>
      </c>
      <c r="B218" s="3250" t="s">
        <v>3757</v>
      </c>
      <c r="C218" s="3227" t="s">
        <v>3333</v>
      </c>
      <c r="D218" s="3262" t="s">
        <v>3758</v>
      </c>
      <c r="E218" s="3229">
        <v>43912</v>
      </c>
      <c r="F218" s="3230">
        <v>50000</v>
      </c>
      <c r="G218" s="3231">
        <v>130.77000000000001</v>
      </c>
      <c r="H218" s="3231" t="s">
        <v>3335</v>
      </c>
      <c r="I218" s="3230">
        <v>1793441</v>
      </c>
      <c r="J218" s="3229">
        <v>43917</v>
      </c>
      <c r="K218" s="3234">
        <v>3</v>
      </c>
      <c r="L218" s="3230">
        <v>1783441</v>
      </c>
      <c r="M218" s="3235">
        <v>13637.998011776401</v>
      </c>
      <c r="N218" s="3236">
        <v>553441</v>
      </c>
    </row>
    <row r="219" spans="1:14" ht="24">
      <c r="A219" s="3226">
        <v>220</v>
      </c>
      <c r="B219" s="3250" t="s">
        <v>3759</v>
      </c>
      <c r="C219" s="3227" t="s">
        <v>3333</v>
      </c>
      <c r="D219" s="3251" t="s">
        <v>3760</v>
      </c>
      <c r="E219" s="3229">
        <v>43786</v>
      </c>
      <c r="F219" s="3230">
        <v>20000</v>
      </c>
      <c r="G219" s="3231">
        <v>130.77000000000001</v>
      </c>
      <c r="H219" s="3231" t="s">
        <v>3335</v>
      </c>
      <c r="I219" s="3230">
        <v>1694611</v>
      </c>
      <c r="J219" s="3229">
        <v>43789</v>
      </c>
      <c r="K219" s="3234">
        <v>11</v>
      </c>
      <c r="L219" s="3230">
        <v>1684611</v>
      </c>
      <c r="M219" s="3235">
        <v>12882.243633860977</v>
      </c>
      <c r="N219" s="3236">
        <v>494611</v>
      </c>
    </row>
    <row r="220" spans="1:14" ht="24">
      <c r="A220" s="3226">
        <v>221</v>
      </c>
      <c r="B220" s="3250" t="s">
        <v>3761</v>
      </c>
      <c r="C220" s="3227" t="s">
        <v>3333</v>
      </c>
      <c r="D220" s="3251" t="s">
        <v>3762</v>
      </c>
      <c r="E220" s="3229">
        <v>43786</v>
      </c>
      <c r="F220" s="3230">
        <v>20000</v>
      </c>
      <c r="G220" s="3231">
        <v>130.77000000000001</v>
      </c>
      <c r="H220" s="3231" t="s">
        <v>3335</v>
      </c>
      <c r="I220" s="3230">
        <v>1755277</v>
      </c>
      <c r="J220" s="3229">
        <v>43790</v>
      </c>
      <c r="K220" s="3234">
        <v>11</v>
      </c>
      <c r="L220" s="3230">
        <v>1735277</v>
      </c>
      <c r="M220" s="3235">
        <v>13269.687237133898</v>
      </c>
      <c r="N220" s="3236">
        <v>515277</v>
      </c>
    </row>
    <row r="221" spans="1:14">
      <c r="A221" s="3226">
        <v>222</v>
      </c>
      <c r="B221" s="3250" t="s">
        <v>3763</v>
      </c>
      <c r="C221" s="3227" t="s">
        <v>3333</v>
      </c>
      <c r="D221" s="3251" t="s">
        <v>3764</v>
      </c>
      <c r="E221" s="3229">
        <v>43835</v>
      </c>
      <c r="F221" s="3230">
        <v>50000</v>
      </c>
      <c r="G221" s="3231">
        <v>130.77000000000001</v>
      </c>
      <c r="H221" s="3231" t="s">
        <v>3335</v>
      </c>
      <c r="I221" s="3230">
        <v>1795722</v>
      </c>
      <c r="J221" s="3229">
        <v>43889</v>
      </c>
      <c r="K221" s="3234">
        <v>2</v>
      </c>
      <c r="L221" s="3230">
        <v>1795722</v>
      </c>
      <c r="M221" s="3235">
        <v>13731.910988758889</v>
      </c>
      <c r="N221" s="3236">
        <v>845722</v>
      </c>
    </row>
    <row r="222" spans="1:14">
      <c r="A222" s="3226">
        <v>223</v>
      </c>
      <c r="B222" s="3250" t="s">
        <v>3765</v>
      </c>
      <c r="C222" s="3227" t="s">
        <v>3333</v>
      </c>
      <c r="D222" s="3251" t="s">
        <v>3766</v>
      </c>
      <c r="E222" s="3229">
        <v>43799</v>
      </c>
      <c r="F222" s="3230">
        <v>50000</v>
      </c>
      <c r="G222" s="3231">
        <v>130.77000000000001</v>
      </c>
      <c r="H222" s="3231" t="s">
        <v>3335</v>
      </c>
      <c r="I222" s="3230">
        <v>1829425</v>
      </c>
      <c r="J222" s="3229">
        <v>43802</v>
      </c>
      <c r="K222" s="3234">
        <v>12</v>
      </c>
      <c r="L222" s="3230">
        <v>1809425</v>
      </c>
      <c r="M222" s="3235">
        <v>13836.698019423415</v>
      </c>
      <c r="N222" s="3236">
        <v>1129425</v>
      </c>
    </row>
    <row r="223" spans="1:14">
      <c r="A223" s="3226">
        <v>224</v>
      </c>
      <c r="B223" s="3250" t="s">
        <v>3767</v>
      </c>
      <c r="C223" s="3227" t="s">
        <v>3333</v>
      </c>
      <c r="D223" s="3251" t="s">
        <v>3768</v>
      </c>
      <c r="E223" s="3229">
        <v>43816</v>
      </c>
      <c r="F223" s="3230">
        <v>50000</v>
      </c>
      <c r="G223" s="3231">
        <v>130.77000000000001</v>
      </c>
      <c r="H223" s="3231" t="s">
        <v>3335</v>
      </c>
      <c r="I223" s="3230">
        <v>1836166</v>
      </c>
      <c r="J223" s="3229">
        <v>43819</v>
      </c>
      <c r="K223" s="3234">
        <v>12</v>
      </c>
      <c r="L223" s="3230">
        <v>1816166</v>
      </c>
      <c r="M223" s="3235">
        <v>13888.246539726235</v>
      </c>
      <c r="N223" s="3236">
        <v>866166</v>
      </c>
    </row>
    <row r="224" spans="1:14">
      <c r="A224" s="3226">
        <v>225</v>
      </c>
      <c r="B224" s="3250" t="s">
        <v>3769</v>
      </c>
      <c r="C224" s="3227" t="s">
        <v>3333</v>
      </c>
      <c r="D224" s="3251" t="s">
        <v>3770</v>
      </c>
      <c r="E224" s="3229">
        <v>43789</v>
      </c>
      <c r="F224" s="3230">
        <v>20000</v>
      </c>
      <c r="G224" s="3231">
        <v>130.77000000000001</v>
      </c>
      <c r="H224" s="3231" t="s">
        <v>3335</v>
      </c>
      <c r="I224" s="3230">
        <v>1842907</v>
      </c>
      <c r="J224" s="3229">
        <v>43800</v>
      </c>
      <c r="K224" s="3234">
        <v>12</v>
      </c>
      <c r="L224" s="3230">
        <v>1817907</v>
      </c>
      <c r="M224" s="3235">
        <v>13901.559990823582</v>
      </c>
      <c r="N224" s="3236">
        <v>527907</v>
      </c>
    </row>
    <row r="225" spans="1:14">
      <c r="A225" s="3226">
        <v>226</v>
      </c>
      <c r="B225" s="3250" t="s">
        <v>3771</v>
      </c>
      <c r="C225" s="3227" t="s">
        <v>3333</v>
      </c>
      <c r="D225" s="3251" t="s">
        <v>3772</v>
      </c>
      <c r="E225" s="3229">
        <v>43800</v>
      </c>
      <c r="F225" s="3230">
        <v>50000</v>
      </c>
      <c r="G225" s="3231">
        <v>130.77000000000001</v>
      </c>
      <c r="H225" s="3231" t="s">
        <v>3335</v>
      </c>
      <c r="I225" s="3230">
        <v>1849647</v>
      </c>
      <c r="J225" s="3229">
        <v>43803</v>
      </c>
      <c r="K225" s="3234">
        <v>12</v>
      </c>
      <c r="L225" s="3230">
        <v>1849647</v>
      </c>
      <c r="M225" s="3235">
        <v>14144.276210139938</v>
      </c>
      <c r="N225" s="3236">
        <v>799647</v>
      </c>
    </row>
    <row r="226" spans="1:14">
      <c r="A226" s="3226">
        <v>227</v>
      </c>
      <c r="B226" s="3250" t="s">
        <v>3773</v>
      </c>
      <c r="C226" s="3227" t="s">
        <v>3333</v>
      </c>
      <c r="D226" s="3252" t="s">
        <v>3774</v>
      </c>
      <c r="E226" s="3229">
        <v>43769</v>
      </c>
      <c r="F226" s="3230">
        <v>20000</v>
      </c>
      <c r="G226" s="3231">
        <v>130.77000000000001</v>
      </c>
      <c r="H226" s="3231" t="s">
        <v>3335</v>
      </c>
      <c r="I226" s="3230">
        <v>1856388</v>
      </c>
      <c r="J226" s="3229">
        <v>43775</v>
      </c>
      <c r="K226" s="3234">
        <v>11</v>
      </c>
      <c r="L226" s="3230">
        <v>1831388</v>
      </c>
      <c r="M226" s="3235">
        <v>14004.649384415385</v>
      </c>
      <c r="N226" s="3236">
        <v>531388</v>
      </c>
    </row>
    <row r="227" spans="1:14">
      <c r="A227" s="3226">
        <v>228</v>
      </c>
      <c r="B227" s="3250" t="s">
        <v>3775</v>
      </c>
      <c r="C227" s="3227" t="s">
        <v>3333</v>
      </c>
      <c r="D227" s="3252" t="s">
        <v>3776</v>
      </c>
      <c r="E227" s="3229">
        <v>43779</v>
      </c>
      <c r="F227" s="3230">
        <v>20000</v>
      </c>
      <c r="G227" s="3231">
        <v>130.77000000000001</v>
      </c>
      <c r="H227" s="3231" t="s">
        <v>3335</v>
      </c>
      <c r="I227" s="3230">
        <v>1863129</v>
      </c>
      <c r="J227" s="3229">
        <v>43788</v>
      </c>
      <c r="K227" s="3234">
        <v>11</v>
      </c>
      <c r="L227" s="3230">
        <v>1853129</v>
      </c>
      <c r="M227" s="3235">
        <v>14170.903112334632</v>
      </c>
      <c r="N227" s="3236">
        <v>543129</v>
      </c>
    </row>
    <row r="228" spans="1:14" ht="24">
      <c r="A228" s="3226">
        <v>229</v>
      </c>
      <c r="B228" s="3250" t="s">
        <v>3777</v>
      </c>
      <c r="C228" s="3227" t="s">
        <v>3333</v>
      </c>
      <c r="D228" s="3251" t="s">
        <v>3778</v>
      </c>
      <c r="E228" s="3229">
        <v>43814</v>
      </c>
      <c r="F228" s="3230">
        <v>50000</v>
      </c>
      <c r="G228" s="3231">
        <v>130.77000000000001</v>
      </c>
      <c r="H228" s="3231" t="s">
        <v>3335</v>
      </c>
      <c r="I228" s="3230">
        <v>1788981</v>
      </c>
      <c r="J228" s="3229">
        <v>43815</v>
      </c>
      <c r="K228" s="3234">
        <v>12</v>
      </c>
      <c r="L228" s="3230">
        <v>1768981</v>
      </c>
      <c r="M228" s="3235">
        <v>13527.422191634167</v>
      </c>
      <c r="N228" s="3236">
        <v>488981</v>
      </c>
    </row>
    <row r="229" spans="1:14">
      <c r="A229" s="3226">
        <v>230</v>
      </c>
      <c r="B229" s="3250" t="s">
        <v>3779</v>
      </c>
      <c r="C229" s="3227" t="s">
        <v>3333</v>
      </c>
      <c r="D229" s="3251" t="s">
        <v>3780</v>
      </c>
      <c r="E229" s="3229">
        <v>43799</v>
      </c>
      <c r="F229" s="3230">
        <v>50000</v>
      </c>
      <c r="G229" s="3231">
        <v>130.77000000000001</v>
      </c>
      <c r="H229" s="3231" t="s">
        <v>3335</v>
      </c>
      <c r="I229" s="3230">
        <v>1690151</v>
      </c>
      <c r="J229" s="3229">
        <v>43804</v>
      </c>
      <c r="K229" s="3234">
        <v>12</v>
      </c>
      <c r="L229" s="3230">
        <v>1670151</v>
      </c>
      <c r="M229" s="3235">
        <v>12771.667813718741</v>
      </c>
      <c r="N229" s="3236">
        <v>460151</v>
      </c>
    </row>
    <row r="230" spans="1:14" ht="24">
      <c r="A230" s="3226">
        <v>231</v>
      </c>
      <c r="B230" s="3250" t="s">
        <v>3781</v>
      </c>
      <c r="C230" s="3227" t="s">
        <v>3333</v>
      </c>
      <c r="D230" s="3251" t="s">
        <v>3782</v>
      </c>
      <c r="E230" s="3229">
        <v>43814</v>
      </c>
      <c r="F230" s="3230">
        <v>50000</v>
      </c>
      <c r="G230" s="3231">
        <v>130.77000000000001</v>
      </c>
      <c r="H230" s="3231" t="s">
        <v>3335</v>
      </c>
      <c r="I230" s="3230">
        <v>1750817</v>
      </c>
      <c r="J230" s="3229">
        <v>43817</v>
      </c>
      <c r="K230" s="3234">
        <v>12</v>
      </c>
      <c r="L230" s="3230">
        <v>1740817</v>
      </c>
      <c r="M230" s="3235">
        <v>13312.051693813564</v>
      </c>
      <c r="N230" s="3236">
        <v>480817</v>
      </c>
    </row>
    <row r="231" spans="1:14" ht="24">
      <c r="A231" s="3226">
        <v>232</v>
      </c>
      <c r="B231" s="3250" t="s">
        <v>3783</v>
      </c>
      <c r="C231" s="3227" t="s">
        <v>3333</v>
      </c>
      <c r="D231" s="3251" t="s">
        <v>3784</v>
      </c>
      <c r="E231" s="3229">
        <v>43903</v>
      </c>
      <c r="F231" s="3230">
        <v>50000</v>
      </c>
      <c r="G231" s="3231">
        <v>130.77000000000001</v>
      </c>
      <c r="H231" s="3231" t="s">
        <v>3335</v>
      </c>
      <c r="I231" s="3230">
        <v>1791262</v>
      </c>
      <c r="J231" s="3229">
        <v>43936</v>
      </c>
      <c r="K231" s="3234">
        <v>4</v>
      </c>
      <c r="L231" s="3230">
        <v>1780000</v>
      </c>
      <c r="M231" s="3235">
        <v>13611.684637149192</v>
      </c>
      <c r="N231" s="3236">
        <v>500000</v>
      </c>
    </row>
    <row r="232" spans="1:14" ht="24">
      <c r="A232" s="3226">
        <v>233</v>
      </c>
      <c r="B232" s="3250" t="s">
        <v>3785</v>
      </c>
      <c r="C232" s="3227" t="s">
        <v>3333</v>
      </c>
      <c r="D232" s="3251" t="s">
        <v>3786</v>
      </c>
      <c r="E232" s="3229">
        <v>43836</v>
      </c>
      <c r="F232" s="3230">
        <v>50000</v>
      </c>
      <c r="G232" s="3231">
        <v>130.77000000000001</v>
      </c>
      <c r="H232" s="3231" t="s">
        <v>3335</v>
      </c>
      <c r="I232" s="3230">
        <v>1824965</v>
      </c>
      <c r="J232" s="3229">
        <v>43851</v>
      </c>
      <c r="K232" s="3234">
        <v>1</v>
      </c>
      <c r="L232" s="3230">
        <v>1824965</v>
      </c>
      <c r="M232" s="3235">
        <v>13955.532614514032</v>
      </c>
      <c r="N232" s="3236">
        <v>1774965</v>
      </c>
    </row>
    <row r="233" spans="1:14" ht="24">
      <c r="A233" s="3226">
        <v>234</v>
      </c>
      <c r="B233" s="3250" t="s">
        <v>3787</v>
      </c>
      <c r="C233" s="3227" t="s">
        <v>3333</v>
      </c>
      <c r="D233" s="3251" t="s">
        <v>3788</v>
      </c>
      <c r="E233" s="3229">
        <v>43843</v>
      </c>
      <c r="F233" s="3230">
        <v>50000</v>
      </c>
      <c r="G233" s="3231">
        <v>130.77000000000001</v>
      </c>
      <c r="H233" s="3231" t="s">
        <v>3335</v>
      </c>
      <c r="I233" s="3230">
        <v>1831706</v>
      </c>
      <c r="J233" s="3229">
        <v>43861</v>
      </c>
      <c r="K233" s="3234">
        <v>1</v>
      </c>
      <c r="L233" s="3230">
        <v>1831706</v>
      </c>
      <c r="M233" s="3235">
        <v>14007.081134816854</v>
      </c>
      <c r="N233" s="3236">
        <v>501706</v>
      </c>
    </row>
    <row r="234" spans="1:14">
      <c r="A234" s="3226">
        <v>235</v>
      </c>
      <c r="B234" s="3250" t="s">
        <v>3789</v>
      </c>
      <c r="C234" s="3227" t="s">
        <v>3333</v>
      </c>
      <c r="D234" s="3251" t="s">
        <v>3790</v>
      </c>
      <c r="E234" s="3229">
        <v>43903</v>
      </c>
      <c r="F234" s="3230">
        <v>50000</v>
      </c>
      <c r="G234" s="3231">
        <v>130.77000000000001</v>
      </c>
      <c r="H234" s="3231" t="s">
        <v>3335</v>
      </c>
      <c r="I234" s="3230">
        <v>1838447</v>
      </c>
      <c r="J234" s="3229">
        <v>43913</v>
      </c>
      <c r="K234" s="3234">
        <v>3</v>
      </c>
      <c r="L234" s="3230">
        <v>1823447</v>
      </c>
      <c r="M234" s="3235">
        <v>13943.924447503248</v>
      </c>
      <c r="N234" s="3236">
        <v>503447</v>
      </c>
    </row>
    <row r="235" spans="1:14" ht="24">
      <c r="A235" s="3226">
        <v>236</v>
      </c>
      <c r="B235" s="3250" t="s">
        <v>3791</v>
      </c>
      <c r="C235" s="3227" t="s">
        <v>3333</v>
      </c>
      <c r="D235" s="3251" t="s">
        <v>3792</v>
      </c>
      <c r="E235" s="3229">
        <v>43835</v>
      </c>
      <c r="F235" s="3230">
        <v>50000</v>
      </c>
      <c r="G235" s="3231">
        <v>130.77000000000001</v>
      </c>
      <c r="H235" s="3231" t="s">
        <v>3335</v>
      </c>
      <c r="I235" s="3230">
        <v>1845187</v>
      </c>
      <c r="J235" s="3229">
        <v>43866</v>
      </c>
      <c r="K235" s="3234">
        <v>2</v>
      </c>
      <c r="L235" s="3230">
        <v>1844187</v>
      </c>
      <c r="M235" s="3235">
        <v>14102.52351456756</v>
      </c>
      <c r="N235" s="3236">
        <v>694187</v>
      </c>
    </row>
    <row r="236" spans="1:14" ht="24">
      <c r="A236" s="3226">
        <v>237</v>
      </c>
      <c r="B236" s="3250" t="s">
        <v>3793</v>
      </c>
      <c r="C236" s="3227" t="s">
        <v>3333</v>
      </c>
      <c r="D236" s="3251" t="s">
        <v>3794</v>
      </c>
      <c r="E236" s="3229">
        <v>43843</v>
      </c>
      <c r="F236" s="3230">
        <v>50000</v>
      </c>
      <c r="G236" s="3231">
        <v>130.77000000000001</v>
      </c>
      <c r="H236" s="3231" t="s">
        <v>3335</v>
      </c>
      <c r="I236" s="3230">
        <v>1851928</v>
      </c>
      <c r="J236" s="3229">
        <v>43845</v>
      </c>
      <c r="K236" s="3234">
        <v>1</v>
      </c>
      <c r="L236" s="3230">
        <v>1841928</v>
      </c>
      <c r="M236" s="3235">
        <v>14085.248910300526</v>
      </c>
      <c r="N236" s="3236">
        <v>511928</v>
      </c>
    </row>
    <row r="237" spans="1:14" ht="24">
      <c r="A237" s="3226">
        <v>238</v>
      </c>
      <c r="B237" s="3250" t="s">
        <v>3795</v>
      </c>
      <c r="C237" s="3227" t="s">
        <v>3333</v>
      </c>
      <c r="D237" s="3251" t="s">
        <v>3796</v>
      </c>
      <c r="E237" s="3229">
        <v>43900</v>
      </c>
      <c r="F237" s="3230">
        <v>50000</v>
      </c>
      <c r="G237" s="3231">
        <v>130.77000000000001</v>
      </c>
      <c r="H237" s="3231" t="s">
        <v>3335</v>
      </c>
      <c r="I237" s="3230">
        <v>1858669</v>
      </c>
      <c r="J237" s="3229">
        <v>43902</v>
      </c>
      <c r="K237" s="3234">
        <v>3</v>
      </c>
      <c r="L237" s="3230">
        <v>1843669</v>
      </c>
      <c r="M237" s="3235">
        <v>14098.562361397873</v>
      </c>
      <c r="N237" s="3236">
        <v>893669</v>
      </c>
    </row>
    <row r="238" spans="1:14">
      <c r="A238" s="3226">
        <v>239</v>
      </c>
      <c r="B238" s="3250" t="s">
        <v>3797</v>
      </c>
      <c r="C238" s="3227" t="s">
        <v>3333</v>
      </c>
      <c r="D238" s="3251" t="s">
        <v>3798</v>
      </c>
      <c r="E238" s="3229">
        <v>43909</v>
      </c>
      <c r="F238" s="3230">
        <v>50000</v>
      </c>
      <c r="G238" s="3231">
        <v>130.77000000000001</v>
      </c>
      <c r="H238" s="3231" t="s">
        <v>3335</v>
      </c>
      <c r="I238" s="3230">
        <v>1784521</v>
      </c>
      <c r="J238" s="3229">
        <v>43919</v>
      </c>
      <c r="K238" s="3234">
        <v>3</v>
      </c>
      <c r="L238" s="3230">
        <v>1770000</v>
      </c>
      <c r="M238" s="3235">
        <v>13535.214498738242</v>
      </c>
      <c r="N238" s="3236">
        <v>720000</v>
      </c>
    </row>
    <row r="239" spans="1:14">
      <c r="A239" s="3226">
        <v>240</v>
      </c>
      <c r="B239" s="3250" t="s">
        <v>3799</v>
      </c>
      <c r="C239" s="3227" t="s">
        <v>3333</v>
      </c>
      <c r="D239" s="3251" t="s">
        <v>3780</v>
      </c>
      <c r="E239" s="3229">
        <v>43799</v>
      </c>
      <c r="F239" s="3230">
        <v>50000</v>
      </c>
      <c r="G239" s="3231">
        <v>150.22</v>
      </c>
      <c r="H239" s="3231" t="s">
        <v>3438</v>
      </c>
      <c r="I239" s="3230">
        <v>1881935</v>
      </c>
      <c r="J239" s="3229">
        <v>43804</v>
      </c>
      <c r="K239" s="3234">
        <v>12</v>
      </c>
      <c r="L239" s="3230">
        <v>1861935</v>
      </c>
      <c r="M239" s="3235">
        <v>12394.721075755559</v>
      </c>
      <c r="N239" s="3236">
        <v>511935</v>
      </c>
    </row>
    <row r="240" spans="1:14" ht="24">
      <c r="A240" s="3226">
        <v>241</v>
      </c>
      <c r="B240" s="3250" t="s">
        <v>3800</v>
      </c>
      <c r="C240" s="3227" t="s">
        <v>3333</v>
      </c>
      <c r="D240" s="3251" t="s">
        <v>3801</v>
      </c>
      <c r="E240" s="3229">
        <v>43816</v>
      </c>
      <c r="F240" s="3230">
        <v>100000</v>
      </c>
      <c r="G240" s="3231">
        <v>150.22</v>
      </c>
      <c r="H240" s="3231" t="s">
        <v>3438</v>
      </c>
      <c r="I240" s="3230">
        <v>1959368</v>
      </c>
      <c r="J240" s="3229">
        <v>43860</v>
      </c>
      <c r="K240" s="3234">
        <v>1</v>
      </c>
      <c r="L240" s="3230">
        <v>1949368</v>
      </c>
      <c r="M240" s="3235">
        <v>12976.754093995474</v>
      </c>
      <c r="N240" s="3236">
        <v>689368</v>
      </c>
    </row>
    <row r="241" spans="1:14">
      <c r="A241" s="3226">
        <v>242</v>
      </c>
      <c r="B241" s="3263" t="s">
        <v>3802</v>
      </c>
      <c r="C241" s="3227" t="s">
        <v>3333</v>
      </c>
      <c r="D241" s="3251" t="s">
        <v>3803</v>
      </c>
      <c r="E241" s="3229">
        <v>43909</v>
      </c>
      <c r="F241" s="3230">
        <v>50000</v>
      </c>
      <c r="G241" s="3231">
        <v>150.22</v>
      </c>
      <c r="H241" s="3231" t="s">
        <v>3438</v>
      </c>
      <c r="I241" s="3230">
        <v>2013571</v>
      </c>
      <c r="J241" s="3229">
        <v>43919</v>
      </c>
      <c r="K241" s="3234">
        <v>3</v>
      </c>
      <c r="L241" s="3230">
        <v>1998571</v>
      </c>
      <c r="M241" s="3235">
        <v>13304.293702569565</v>
      </c>
      <c r="N241" s="3236">
        <v>1048571</v>
      </c>
    </row>
    <row r="242" spans="1:14" ht="24">
      <c r="A242" s="3226">
        <v>243</v>
      </c>
      <c r="B242" s="3263" t="s">
        <v>3804</v>
      </c>
      <c r="C242" s="3227" t="s">
        <v>3333</v>
      </c>
      <c r="D242" s="3251" t="s">
        <v>3805</v>
      </c>
      <c r="E242" s="3229">
        <v>43933</v>
      </c>
      <c r="F242" s="3230">
        <v>50000</v>
      </c>
      <c r="G242" s="3231">
        <v>150.22</v>
      </c>
      <c r="H242" s="3231" t="s">
        <v>3438</v>
      </c>
      <c r="I242" s="3230">
        <v>2060030</v>
      </c>
      <c r="J242" s="3229">
        <v>43943</v>
      </c>
      <c r="K242" s="3234">
        <v>4</v>
      </c>
      <c r="L242" s="3230">
        <v>2060030</v>
      </c>
      <c r="M242" s="3235">
        <v>13713.420316868593</v>
      </c>
      <c r="N242" s="3236">
        <v>570030</v>
      </c>
    </row>
    <row r="243" spans="1:14" ht="24">
      <c r="A243" s="3226">
        <v>244</v>
      </c>
      <c r="B243" s="3250" t="s">
        <v>3806</v>
      </c>
      <c r="C243" s="3227" t="s">
        <v>3333</v>
      </c>
      <c r="D243" s="3251" t="s">
        <v>3807</v>
      </c>
      <c r="E243" s="3229">
        <v>43901</v>
      </c>
      <c r="F243" s="3230">
        <v>50000</v>
      </c>
      <c r="G243" s="3231">
        <v>150.22</v>
      </c>
      <c r="H243" s="3231" t="s">
        <v>3438</v>
      </c>
      <c r="I243" s="3230">
        <v>2067774</v>
      </c>
      <c r="J243" s="3229">
        <v>43915</v>
      </c>
      <c r="K243" s="3234">
        <v>3</v>
      </c>
      <c r="L243" s="3230">
        <v>2052774</v>
      </c>
      <c r="M243" s="3235">
        <v>13665.117827186792</v>
      </c>
      <c r="N243" s="3236">
        <v>802774</v>
      </c>
    </row>
    <row r="244" spans="1:14">
      <c r="A244" s="3226">
        <v>245</v>
      </c>
      <c r="B244" s="3250" t="s">
        <v>3808</v>
      </c>
      <c r="C244" s="3227" t="s">
        <v>3333</v>
      </c>
      <c r="D244" s="3251" t="s">
        <v>3809</v>
      </c>
      <c r="E244" s="3229">
        <v>43829</v>
      </c>
      <c r="F244" s="3230">
        <v>50000</v>
      </c>
      <c r="G244" s="3231">
        <v>150.22</v>
      </c>
      <c r="H244" s="3231" t="s">
        <v>3438</v>
      </c>
      <c r="I244" s="3230">
        <v>2075517</v>
      </c>
      <c r="J244" s="3229">
        <v>43860</v>
      </c>
      <c r="K244" s="3234">
        <v>1</v>
      </c>
      <c r="L244" s="3230">
        <v>2070000</v>
      </c>
      <c r="M244" s="3235">
        <v>13779.789641858608</v>
      </c>
      <c r="N244" s="3236">
        <v>571000</v>
      </c>
    </row>
    <row r="245" spans="1:14" ht="24">
      <c r="A245" s="3226">
        <v>246</v>
      </c>
      <c r="B245" s="3250" t="s">
        <v>3810</v>
      </c>
      <c r="C245" s="3227" t="s">
        <v>3333</v>
      </c>
      <c r="D245" s="3251" t="s">
        <v>3811</v>
      </c>
      <c r="E245" s="3229">
        <v>43914</v>
      </c>
      <c r="F245" s="3230">
        <v>50000</v>
      </c>
      <c r="G245" s="3231">
        <v>150.22</v>
      </c>
      <c r="H245" s="3231" t="s">
        <v>3438</v>
      </c>
      <c r="I245" s="3230">
        <v>2083260</v>
      </c>
      <c r="J245" s="3229">
        <v>43921</v>
      </c>
      <c r="K245" s="3234">
        <v>3</v>
      </c>
      <c r="L245" s="3230">
        <v>2078260</v>
      </c>
      <c r="M245" s="3235">
        <v>13834.77566236187</v>
      </c>
      <c r="N245" s="3236">
        <v>758260</v>
      </c>
    </row>
    <row r="246" spans="1:14">
      <c r="A246" s="3226">
        <v>247</v>
      </c>
      <c r="B246" s="3250" t="s">
        <v>3812</v>
      </c>
      <c r="C246" s="3227" t="s">
        <v>3333</v>
      </c>
      <c r="D246" s="3251" t="s">
        <v>3813</v>
      </c>
      <c r="E246" s="3229">
        <v>43811</v>
      </c>
      <c r="F246" s="3230">
        <v>50000</v>
      </c>
      <c r="G246" s="3231">
        <v>150.22</v>
      </c>
      <c r="H246" s="3231" t="s">
        <v>3438</v>
      </c>
      <c r="I246" s="3230">
        <v>2091004</v>
      </c>
      <c r="J246" s="3229">
        <v>43814</v>
      </c>
      <c r="K246" s="3234">
        <v>12</v>
      </c>
      <c r="L246" s="3230">
        <v>2071000</v>
      </c>
      <c r="M246" s="3235">
        <v>13786.446545067234</v>
      </c>
      <c r="N246" s="3236">
        <v>2021000</v>
      </c>
    </row>
    <row r="247" spans="1:14" ht="24">
      <c r="A247" s="3226">
        <v>248</v>
      </c>
      <c r="B247" s="3250" t="s">
        <v>3814</v>
      </c>
      <c r="C247" s="3227" t="s">
        <v>3333</v>
      </c>
      <c r="D247" s="3251" t="s">
        <v>3815</v>
      </c>
      <c r="E247" s="3229">
        <v>43783</v>
      </c>
      <c r="F247" s="3230">
        <v>20000</v>
      </c>
      <c r="G247" s="3231">
        <v>150.22</v>
      </c>
      <c r="H247" s="3231" t="s">
        <v>3438</v>
      </c>
      <c r="I247" s="3230">
        <v>2098747</v>
      </c>
      <c r="J247" s="3229">
        <v>43787</v>
      </c>
      <c r="K247" s="3234">
        <v>11</v>
      </c>
      <c r="L247" s="3230">
        <v>2088747</v>
      </c>
      <c r="M247" s="3235">
        <v>13904.586606310744</v>
      </c>
      <c r="N247" s="3236">
        <v>608747</v>
      </c>
    </row>
    <row r="248" spans="1:14">
      <c r="A248" s="3226">
        <v>249</v>
      </c>
      <c r="B248" s="3250" t="s">
        <v>3816</v>
      </c>
      <c r="C248" s="3227" t="s">
        <v>3333</v>
      </c>
      <c r="D248" s="3251" t="s">
        <v>3817</v>
      </c>
      <c r="E248" s="3229">
        <v>43850</v>
      </c>
      <c r="F248" s="3230">
        <v>50000</v>
      </c>
      <c r="G248" s="3231">
        <v>150.22</v>
      </c>
      <c r="H248" s="3231" t="s">
        <v>3438</v>
      </c>
      <c r="I248" s="3230">
        <v>2013571</v>
      </c>
      <c r="J248" s="3229">
        <v>43851</v>
      </c>
      <c r="K248" s="3234">
        <v>1</v>
      </c>
      <c r="L248" s="3230">
        <v>2010000</v>
      </c>
      <c r="M248" s="3235">
        <v>13380.375449340967</v>
      </c>
      <c r="N248" s="3236">
        <v>1960000</v>
      </c>
    </row>
    <row r="249" spans="1:14" ht="24">
      <c r="A249" s="3226">
        <v>335</v>
      </c>
      <c r="B249" s="3250" t="s">
        <v>3818</v>
      </c>
      <c r="C249" s="3227" t="s">
        <v>3333</v>
      </c>
      <c r="D249" s="3251" t="s">
        <v>3819</v>
      </c>
      <c r="E249" s="3229">
        <v>44032</v>
      </c>
      <c r="F249" s="3230">
        <v>50000</v>
      </c>
      <c r="G249" s="3231">
        <v>150.31</v>
      </c>
      <c r="H249" s="3231" t="s">
        <v>3438</v>
      </c>
      <c r="I249" s="3230">
        <v>2207678</v>
      </c>
      <c r="J249" s="3229">
        <v>44032</v>
      </c>
      <c r="K249" s="3234">
        <v>7</v>
      </c>
      <c r="L249" s="3230">
        <v>2187678</v>
      </c>
      <c r="M249" s="3235">
        <v>14554.440822300579</v>
      </c>
      <c r="N249" s="3236">
        <v>607678</v>
      </c>
    </row>
    <row r="250" spans="1:14" ht="24">
      <c r="A250" s="3226">
        <v>336</v>
      </c>
      <c r="B250" s="3250" t="s">
        <v>3820</v>
      </c>
      <c r="C250" s="3227" t="s">
        <v>3333</v>
      </c>
      <c r="D250" s="3251" t="s">
        <v>3821</v>
      </c>
      <c r="E250" s="3229">
        <v>44023</v>
      </c>
      <c r="F250" s="3230">
        <v>50000</v>
      </c>
      <c r="G250" s="3231">
        <v>150.31</v>
      </c>
      <c r="H250" s="3231" t="s">
        <v>3438</v>
      </c>
      <c r="I250" s="3230">
        <v>2269662</v>
      </c>
      <c r="J250" s="3229">
        <v>44028</v>
      </c>
      <c r="K250" s="3234">
        <v>7</v>
      </c>
      <c r="L250" s="3230">
        <v>2249662</v>
      </c>
      <c r="M250" s="3235">
        <v>14966.81524848646</v>
      </c>
      <c r="N250" s="3236">
        <v>629662</v>
      </c>
    </row>
    <row r="251" spans="1:14">
      <c r="A251" s="3226">
        <v>337</v>
      </c>
      <c r="B251" s="3250" t="s">
        <v>3822</v>
      </c>
      <c r="C251" s="3227" t="s">
        <v>3333</v>
      </c>
      <c r="D251" s="3251" t="s">
        <v>3823</v>
      </c>
      <c r="E251" s="3229">
        <v>44023</v>
      </c>
      <c r="F251" s="3230">
        <v>50000</v>
      </c>
      <c r="G251" s="3231">
        <v>150.31</v>
      </c>
      <c r="H251" s="3231" t="s">
        <v>3438</v>
      </c>
      <c r="I251" s="3230">
        <v>2300654</v>
      </c>
      <c r="J251" s="3229">
        <v>44028</v>
      </c>
      <c r="K251" s="3234">
        <v>7</v>
      </c>
      <c r="L251" s="3230">
        <v>2300654</v>
      </c>
      <c r="M251" s="3235">
        <v>15306.06080766416</v>
      </c>
      <c r="N251" s="3236">
        <v>2250654</v>
      </c>
    </row>
    <row r="252" spans="1:14">
      <c r="A252" s="3226">
        <v>338</v>
      </c>
      <c r="B252" s="3250" t="s">
        <v>3824</v>
      </c>
      <c r="C252" s="3227" t="s">
        <v>3333</v>
      </c>
      <c r="D252" s="3251" t="s">
        <v>3825</v>
      </c>
      <c r="E252" s="3229">
        <v>44023</v>
      </c>
      <c r="F252" s="3230">
        <v>50000</v>
      </c>
      <c r="G252" s="3231">
        <v>150.31</v>
      </c>
      <c r="H252" s="3231" t="s">
        <v>3438</v>
      </c>
      <c r="I252" s="3230">
        <v>2331645</v>
      </c>
      <c r="J252" s="3229">
        <v>44028</v>
      </c>
      <c r="K252" s="3234">
        <v>7</v>
      </c>
      <c r="L252" s="3230">
        <v>2331645</v>
      </c>
      <c r="M252" s="3235">
        <v>15512.241367839797</v>
      </c>
      <c r="N252" s="3236">
        <v>651645</v>
      </c>
    </row>
    <row r="253" spans="1:14">
      <c r="A253" s="3226">
        <v>339</v>
      </c>
      <c r="B253" s="3250" t="s">
        <v>3826</v>
      </c>
      <c r="C253" s="3227" t="s">
        <v>3333</v>
      </c>
      <c r="D253" s="3251" t="s">
        <v>3827</v>
      </c>
      <c r="E253" s="3229">
        <v>44023</v>
      </c>
      <c r="F253" s="3230">
        <v>30000</v>
      </c>
      <c r="G253" s="3231">
        <v>150.31</v>
      </c>
      <c r="H253" s="3231" t="s">
        <v>3438</v>
      </c>
      <c r="I253" s="3230">
        <v>2362637</v>
      </c>
      <c r="J253" s="3229">
        <v>44028</v>
      </c>
      <c r="K253" s="3234">
        <v>7</v>
      </c>
      <c r="L253" s="3230">
        <v>2342637</v>
      </c>
      <c r="M253" s="3235">
        <v>15585.37023484798</v>
      </c>
      <c r="N253" s="3236">
        <v>2312637</v>
      </c>
    </row>
    <row r="254" spans="1:14">
      <c r="A254" s="3226">
        <v>340</v>
      </c>
      <c r="B254" s="3250" t="s">
        <v>3828</v>
      </c>
      <c r="C254" s="3227" t="s">
        <v>3333</v>
      </c>
      <c r="D254" s="3251" t="s">
        <v>3829</v>
      </c>
      <c r="E254" s="3229">
        <v>44035</v>
      </c>
      <c r="F254" s="3230">
        <v>50000</v>
      </c>
      <c r="G254" s="3231">
        <v>150.31</v>
      </c>
      <c r="H254" s="3231" t="s">
        <v>3438</v>
      </c>
      <c r="I254" s="3230">
        <v>2393629</v>
      </c>
      <c r="J254" s="3229">
        <v>44035</v>
      </c>
      <c r="K254" s="3234">
        <v>7</v>
      </c>
      <c r="L254" s="3230">
        <v>2373629</v>
      </c>
      <c r="M254" s="3235">
        <v>15791.557447940922</v>
      </c>
      <c r="N254" s="3236">
        <v>663629</v>
      </c>
    </row>
    <row r="255" spans="1:14" ht="24">
      <c r="A255" s="3226">
        <v>341</v>
      </c>
      <c r="B255" s="3250" t="s">
        <v>3830</v>
      </c>
      <c r="C255" s="3227" t="s">
        <v>3333</v>
      </c>
      <c r="D255" s="3251" t="s">
        <v>3831</v>
      </c>
      <c r="E255" s="3229">
        <v>44029</v>
      </c>
      <c r="F255" s="3230">
        <v>50000</v>
      </c>
      <c r="G255" s="3231">
        <v>150.31</v>
      </c>
      <c r="H255" s="3231" t="s">
        <v>3438</v>
      </c>
      <c r="I255" s="3230">
        <v>2424621</v>
      </c>
      <c r="J255" s="3229">
        <v>44029</v>
      </c>
      <c r="K255" s="3234">
        <v>7</v>
      </c>
      <c r="L255" s="3230">
        <v>2404621</v>
      </c>
      <c r="M255" s="3235">
        <v>15997.744661033863</v>
      </c>
      <c r="N255" s="3236">
        <v>1854621</v>
      </c>
    </row>
    <row r="256" spans="1:14">
      <c r="A256" s="3226">
        <v>342</v>
      </c>
      <c r="B256" s="3250" t="s">
        <v>3832</v>
      </c>
      <c r="C256" s="3227" t="s">
        <v>3333</v>
      </c>
      <c r="D256" s="3251" t="s">
        <v>3833</v>
      </c>
      <c r="E256" s="3229">
        <v>44029</v>
      </c>
      <c r="F256" s="3230">
        <v>50000</v>
      </c>
      <c r="G256" s="3231">
        <v>150.31</v>
      </c>
      <c r="H256" s="3231" t="s">
        <v>3438</v>
      </c>
      <c r="I256" s="3230">
        <v>2455612</v>
      </c>
      <c r="J256" s="3229">
        <v>44029</v>
      </c>
      <c r="K256" s="3234">
        <v>7</v>
      </c>
      <c r="L256" s="3230">
        <v>2455612</v>
      </c>
      <c r="M256" s="3235">
        <v>16336.983567294259</v>
      </c>
      <c r="N256" s="3236">
        <v>955612</v>
      </c>
    </row>
    <row r="257" spans="1:14" ht="24">
      <c r="A257" s="3226">
        <v>343</v>
      </c>
      <c r="B257" s="3250" t="s">
        <v>3834</v>
      </c>
      <c r="C257" s="3227" t="s">
        <v>3333</v>
      </c>
      <c r="D257" s="3251" t="s">
        <v>3835</v>
      </c>
      <c r="E257" s="3229">
        <v>44023</v>
      </c>
      <c r="F257" s="3230">
        <v>50000</v>
      </c>
      <c r="G257" s="3231">
        <v>150.31</v>
      </c>
      <c r="H257" s="3231" t="s">
        <v>3438</v>
      </c>
      <c r="I257" s="3230">
        <v>2486604</v>
      </c>
      <c r="J257" s="3229">
        <v>44026</v>
      </c>
      <c r="K257" s="3234">
        <v>7</v>
      </c>
      <c r="L257" s="3230">
        <v>2466604</v>
      </c>
      <c r="M257" s="3235">
        <v>16410.112434302442</v>
      </c>
      <c r="N257" s="3236">
        <v>696604</v>
      </c>
    </row>
    <row r="258" spans="1:14">
      <c r="A258" s="3226">
        <v>345</v>
      </c>
      <c r="B258" s="3250" t="s">
        <v>3836</v>
      </c>
      <c r="C258" s="3227" t="s">
        <v>3333</v>
      </c>
      <c r="D258" s="3251" t="s">
        <v>3837</v>
      </c>
      <c r="E258" s="3229">
        <v>44023</v>
      </c>
      <c r="F258" s="3230">
        <v>50000</v>
      </c>
      <c r="G258" s="3231">
        <v>134.31</v>
      </c>
      <c r="H258" s="3231" t="s">
        <v>3335</v>
      </c>
      <c r="I258" s="3230">
        <v>2025862</v>
      </c>
      <c r="J258" s="3229">
        <v>44027</v>
      </c>
      <c r="K258" s="3234">
        <v>7</v>
      </c>
      <c r="L258" s="3230">
        <v>2005862</v>
      </c>
      <c r="M258" s="3235">
        <v>14934.569280023825</v>
      </c>
      <c r="N258" s="3236">
        <v>555862</v>
      </c>
    </row>
    <row r="259" spans="1:14">
      <c r="A259" s="3226">
        <v>346</v>
      </c>
      <c r="B259" s="3250" t="s">
        <v>3838</v>
      </c>
      <c r="C259" s="3227" t="s">
        <v>3333</v>
      </c>
      <c r="D259" s="3251" t="s">
        <v>3839</v>
      </c>
      <c r="E259" s="3229">
        <v>44023</v>
      </c>
      <c r="F259" s="3230">
        <v>50000</v>
      </c>
      <c r="G259" s="3231">
        <v>134.31</v>
      </c>
      <c r="H259" s="3231" t="s">
        <v>3335</v>
      </c>
      <c r="I259" s="3230">
        <v>2081247</v>
      </c>
      <c r="J259" s="3229">
        <v>44028</v>
      </c>
      <c r="K259" s="3234">
        <v>7</v>
      </c>
      <c r="L259" s="3230">
        <v>2061247</v>
      </c>
      <c r="M259" s="3235">
        <v>15346.936192390738</v>
      </c>
      <c r="N259" s="3236">
        <v>1771247</v>
      </c>
    </row>
    <row r="260" spans="1:14" ht="24">
      <c r="A260" s="3226">
        <v>347</v>
      </c>
      <c r="B260" s="3250" t="s">
        <v>3840</v>
      </c>
      <c r="C260" s="3227" t="s">
        <v>3333</v>
      </c>
      <c r="D260" s="3251" t="s">
        <v>3841</v>
      </c>
      <c r="E260" s="3229">
        <v>44023</v>
      </c>
      <c r="F260" s="3230">
        <v>50000</v>
      </c>
      <c r="G260" s="3231">
        <v>134.31</v>
      </c>
      <c r="H260" s="3231" t="s">
        <v>3335</v>
      </c>
      <c r="I260" s="3230">
        <v>2108940</v>
      </c>
      <c r="J260" s="3229">
        <v>44028</v>
      </c>
      <c r="K260" s="3234">
        <v>7</v>
      </c>
      <c r="L260" s="3230">
        <v>2088940</v>
      </c>
      <c r="M260" s="3235">
        <v>15553.12337130519</v>
      </c>
      <c r="N260" s="3236">
        <v>2038940</v>
      </c>
    </row>
    <row r="261" spans="1:14">
      <c r="A261" s="3226">
        <v>348</v>
      </c>
      <c r="B261" s="3250" t="s">
        <v>3842</v>
      </c>
      <c r="C261" s="3227" t="s">
        <v>3333</v>
      </c>
      <c r="D261" s="3251" t="s">
        <v>3843</v>
      </c>
      <c r="E261" s="3229">
        <v>44023</v>
      </c>
      <c r="F261" s="3230">
        <v>50000</v>
      </c>
      <c r="G261" s="3231">
        <v>134.31</v>
      </c>
      <c r="H261" s="3231" t="s">
        <v>3335</v>
      </c>
      <c r="I261" s="3230">
        <v>2136633</v>
      </c>
      <c r="J261" s="3229">
        <v>44027</v>
      </c>
      <c r="K261" s="3234">
        <v>7</v>
      </c>
      <c r="L261" s="3230">
        <v>2116633</v>
      </c>
      <c r="M261" s="3235">
        <v>15759.310550219641</v>
      </c>
      <c r="N261" s="3236">
        <v>586633</v>
      </c>
    </row>
    <row r="262" spans="1:14" ht="24">
      <c r="A262" s="3226">
        <v>349</v>
      </c>
      <c r="B262" s="3250" t="s">
        <v>3844</v>
      </c>
      <c r="C262" s="3227" t="s">
        <v>3333</v>
      </c>
      <c r="D262" s="3251" t="s">
        <v>3845</v>
      </c>
      <c r="E262" s="3229">
        <v>44023</v>
      </c>
      <c r="F262" s="3230">
        <v>50000</v>
      </c>
      <c r="G262" s="3231">
        <v>134.31</v>
      </c>
      <c r="H262" s="3231" t="s">
        <v>3335</v>
      </c>
      <c r="I262" s="3230">
        <v>2164326</v>
      </c>
      <c r="J262" s="3229">
        <v>44027</v>
      </c>
      <c r="K262" s="3234">
        <v>7</v>
      </c>
      <c r="L262" s="3230">
        <v>2144326</v>
      </c>
      <c r="M262" s="3235">
        <v>15965.497729134093</v>
      </c>
      <c r="N262" s="3236">
        <v>594326</v>
      </c>
    </row>
    <row r="263" spans="1:14" ht="24">
      <c r="A263" s="3226">
        <v>350</v>
      </c>
      <c r="B263" s="3250" t="s">
        <v>3846</v>
      </c>
      <c r="C263" s="3227" t="s">
        <v>3333</v>
      </c>
      <c r="D263" s="3251" t="s">
        <v>3847</v>
      </c>
      <c r="E263" s="3229">
        <v>44023</v>
      </c>
      <c r="F263" s="3230">
        <v>50000</v>
      </c>
      <c r="G263" s="3231">
        <v>134.31</v>
      </c>
      <c r="H263" s="3231" t="s">
        <v>3335</v>
      </c>
      <c r="I263" s="3230">
        <v>2192019</v>
      </c>
      <c r="J263" s="3229">
        <v>44031</v>
      </c>
      <c r="K263" s="3234">
        <v>7</v>
      </c>
      <c r="L263" s="3230">
        <v>2172019</v>
      </c>
      <c r="M263" s="3235">
        <v>16171.684908048544</v>
      </c>
      <c r="N263" s="3236">
        <v>602019</v>
      </c>
    </row>
    <row r="264" spans="1:14" ht="24">
      <c r="A264" s="3226">
        <v>351</v>
      </c>
      <c r="B264" s="3250" t="s">
        <v>3848</v>
      </c>
      <c r="C264" s="3227" t="s">
        <v>3333</v>
      </c>
      <c r="D264" s="3251" t="s">
        <v>3849</v>
      </c>
      <c r="E264" s="3229">
        <v>44023</v>
      </c>
      <c r="F264" s="3230">
        <v>50000</v>
      </c>
      <c r="G264" s="3231">
        <v>134.31</v>
      </c>
      <c r="H264" s="3231" t="s">
        <v>3335</v>
      </c>
      <c r="I264" s="3230">
        <v>2219711</v>
      </c>
      <c r="J264" s="3229">
        <v>44030</v>
      </c>
      <c r="K264" s="3234">
        <v>7</v>
      </c>
      <c r="L264" s="3230">
        <v>2199711</v>
      </c>
      <c r="M264" s="3235">
        <v>16377.864641501004</v>
      </c>
      <c r="N264" s="3236">
        <v>2149711</v>
      </c>
    </row>
    <row r="265" spans="1:14" ht="24">
      <c r="A265" s="3226">
        <v>352</v>
      </c>
      <c r="B265" s="3250" t="s">
        <v>3850</v>
      </c>
      <c r="C265" s="3227" t="s">
        <v>3333</v>
      </c>
      <c r="D265" s="3251" t="s">
        <v>3851</v>
      </c>
      <c r="E265" s="3229">
        <v>44023</v>
      </c>
      <c r="F265" s="3230">
        <v>50000</v>
      </c>
      <c r="G265" s="3231">
        <v>134.31</v>
      </c>
      <c r="H265" s="3231" t="s">
        <v>3335</v>
      </c>
      <c r="I265" s="3230">
        <v>2247404</v>
      </c>
      <c r="J265" s="3229">
        <v>44026</v>
      </c>
      <c r="K265" s="3234">
        <v>7</v>
      </c>
      <c r="L265" s="3230">
        <v>2227404</v>
      </c>
      <c r="M265" s="3235">
        <v>16584.051820415458</v>
      </c>
      <c r="N265" s="3236">
        <v>627404</v>
      </c>
    </row>
    <row r="266" spans="1:14">
      <c r="A266" s="3226">
        <v>353</v>
      </c>
      <c r="B266" s="3250" t="s">
        <v>3852</v>
      </c>
      <c r="C266" s="3227" t="s">
        <v>3333</v>
      </c>
      <c r="D266" s="3251" t="s">
        <v>3853</v>
      </c>
      <c r="E266" s="3229">
        <v>44029</v>
      </c>
      <c r="F266" s="3230">
        <v>50000</v>
      </c>
      <c r="G266" s="3231">
        <v>134.31</v>
      </c>
      <c r="H266" s="3231" t="s">
        <v>3335</v>
      </c>
      <c r="I266" s="3230">
        <v>2275097</v>
      </c>
      <c r="J266" s="3229">
        <v>44029</v>
      </c>
      <c r="K266" s="3234">
        <v>7</v>
      </c>
      <c r="L266" s="3230">
        <v>2275097</v>
      </c>
      <c r="M266" s="3235">
        <v>16939.148239148239</v>
      </c>
      <c r="N266" s="3236">
        <v>1625097</v>
      </c>
    </row>
    <row r="267" spans="1:14">
      <c r="A267" s="3226">
        <v>354</v>
      </c>
      <c r="B267" s="3250" t="s">
        <v>3854</v>
      </c>
      <c r="C267" s="3227" t="s">
        <v>3333</v>
      </c>
      <c r="D267" s="3251" t="s">
        <v>3855</v>
      </c>
      <c r="E267" s="3229">
        <v>44023</v>
      </c>
      <c r="F267" s="3230">
        <v>50000</v>
      </c>
      <c r="G267" s="3231">
        <v>134.31</v>
      </c>
      <c r="H267" s="3231" t="s">
        <v>3335</v>
      </c>
      <c r="I267" s="3230">
        <v>2178172</v>
      </c>
      <c r="J267" s="3229">
        <v>44026</v>
      </c>
      <c r="K267" s="3234">
        <v>7</v>
      </c>
      <c r="L267" s="3230">
        <v>2158172</v>
      </c>
      <c r="M267" s="3235">
        <v>16068.587595860323</v>
      </c>
      <c r="N267" s="3236">
        <v>808172</v>
      </c>
    </row>
    <row r="268" spans="1:14">
      <c r="A268" s="3226">
        <v>356</v>
      </c>
      <c r="B268" s="3250" t="s">
        <v>3856</v>
      </c>
      <c r="C268" s="3227" t="s">
        <v>3333</v>
      </c>
      <c r="D268" s="3251" t="s">
        <v>3857</v>
      </c>
      <c r="E268" s="3229">
        <v>44033</v>
      </c>
      <c r="F268" s="3230">
        <v>50000</v>
      </c>
      <c r="G268" s="3231">
        <v>134.21</v>
      </c>
      <c r="H268" s="3231" t="s">
        <v>3335</v>
      </c>
      <c r="I268" s="3230">
        <v>2074349</v>
      </c>
      <c r="J268" s="3229">
        <v>44043</v>
      </c>
      <c r="K268" s="3234">
        <v>7</v>
      </c>
      <c r="L268" s="3230">
        <v>2074349</v>
      </c>
      <c r="M268" s="3235">
        <v>15455.994337232694</v>
      </c>
      <c r="N268" s="3236">
        <v>574349</v>
      </c>
    </row>
    <row r="269" spans="1:14">
      <c r="A269" s="3226">
        <v>357</v>
      </c>
      <c r="B269" s="3250" t="s">
        <v>3858</v>
      </c>
      <c r="C269" s="3227" t="s">
        <v>3333</v>
      </c>
      <c r="D269" s="3251" t="s">
        <v>3859</v>
      </c>
      <c r="E269" s="3229">
        <v>44029</v>
      </c>
      <c r="F269" s="3230">
        <v>50000</v>
      </c>
      <c r="G269" s="3231">
        <v>134.31</v>
      </c>
      <c r="H269" s="3231" t="s">
        <v>3335</v>
      </c>
      <c r="I269" s="3230">
        <v>2103572</v>
      </c>
      <c r="J269" s="3229">
        <v>44029</v>
      </c>
      <c r="K269" s="3234">
        <v>7</v>
      </c>
      <c r="L269" s="3230">
        <v>2083572</v>
      </c>
      <c r="M269" s="3235">
        <v>15513.15613133795</v>
      </c>
      <c r="N269" s="3236">
        <v>583572</v>
      </c>
    </row>
    <row r="270" spans="1:14" ht="24">
      <c r="A270" s="3226">
        <v>358</v>
      </c>
      <c r="B270" s="3250" t="s">
        <v>3860</v>
      </c>
      <c r="C270" s="3227" t="s">
        <v>3333</v>
      </c>
      <c r="D270" s="3251" t="s">
        <v>3861</v>
      </c>
      <c r="E270" s="3229">
        <v>44023</v>
      </c>
      <c r="F270" s="3230">
        <v>50000</v>
      </c>
      <c r="G270" s="3231">
        <v>134.31</v>
      </c>
      <c r="H270" s="3231" t="s">
        <v>3335</v>
      </c>
      <c r="I270" s="3230">
        <v>2131265</v>
      </c>
      <c r="J270" s="3229">
        <v>44028</v>
      </c>
      <c r="K270" s="3234">
        <v>7</v>
      </c>
      <c r="L270" s="3230">
        <v>2111265</v>
      </c>
      <c r="M270" s="3235">
        <v>15719.343310252401</v>
      </c>
      <c r="N270" s="3236">
        <v>961265</v>
      </c>
    </row>
    <row r="271" spans="1:14">
      <c r="A271" s="3226">
        <v>359</v>
      </c>
      <c r="B271" s="3250" t="s">
        <v>3862</v>
      </c>
      <c r="C271" s="3227" t="s">
        <v>3333</v>
      </c>
      <c r="D271" s="3251" t="s">
        <v>3863</v>
      </c>
      <c r="E271" s="3229">
        <v>44023</v>
      </c>
      <c r="F271" s="3230">
        <v>50000</v>
      </c>
      <c r="G271" s="3231">
        <v>134.31</v>
      </c>
      <c r="H271" s="3231" t="s">
        <v>3335</v>
      </c>
      <c r="I271" s="3230">
        <v>2158958</v>
      </c>
      <c r="J271" s="3229">
        <v>44028</v>
      </c>
      <c r="K271" s="3234">
        <v>7</v>
      </c>
      <c r="L271" s="3230">
        <v>2158958</v>
      </c>
      <c r="M271" s="3235">
        <v>16074.439728985184</v>
      </c>
      <c r="N271" s="3236">
        <v>598958</v>
      </c>
    </row>
    <row r="272" spans="1:14" ht="24">
      <c r="A272" s="3226">
        <v>360</v>
      </c>
      <c r="B272" s="3250" t="s">
        <v>3864</v>
      </c>
      <c r="C272" s="3227" t="s">
        <v>3333</v>
      </c>
      <c r="D272" s="3251" t="s">
        <v>3865</v>
      </c>
      <c r="E272" s="3229">
        <v>44025</v>
      </c>
      <c r="F272" s="3230">
        <v>50000</v>
      </c>
      <c r="G272" s="3231">
        <v>134.31</v>
      </c>
      <c r="H272" s="3231" t="s">
        <v>3335</v>
      </c>
      <c r="I272" s="3230">
        <v>2186651</v>
      </c>
      <c r="J272" s="3229">
        <v>44029</v>
      </c>
      <c r="K272" s="3234">
        <v>7</v>
      </c>
      <c r="L272" s="3230">
        <v>2166651</v>
      </c>
      <c r="M272" s="3235">
        <v>16131.717668081305</v>
      </c>
      <c r="N272" s="3236">
        <v>756651</v>
      </c>
    </row>
    <row r="273" spans="1:14" ht="24">
      <c r="A273" s="3226">
        <v>361</v>
      </c>
      <c r="B273" s="3250" t="s">
        <v>3866</v>
      </c>
      <c r="C273" s="3227" t="s">
        <v>3333</v>
      </c>
      <c r="D273" s="3251" t="s">
        <v>3867</v>
      </c>
      <c r="E273" s="3229">
        <v>44023</v>
      </c>
      <c r="F273" s="3230">
        <v>50000</v>
      </c>
      <c r="G273" s="3231">
        <v>134.31</v>
      </c>
      <c r="H273" s="3231" t="s">
        <v>3335</v>
      </c>
      <c r="I273" s="3230">
        <v>2214343</v>
      </c>
      <c r="J273" s="3229">
        <v>44029</v>
      </c>
      <c r="K273" s="3234">
        <v>7</v>
      </c>
      <c r="L273" s="3230">
        <v>2194343</v>
      </c>
      <c r="M273" s="3235">
        <v>16337.897401533764</v>
      </c>
      <c r="N273" s="3236">
        <v>1544343</v>
      </c>
    </row>
    <row r="274" spans="1:14" ht="24">
      <c r="A274" s="3226">
        <v>362</v>
      </c>
      <c r="B274" s="3250" t="s">
        <v>3868</v>
      </c>
      <c r="C274" s="3227" t="s">
        <v>3333</v>
      </c>
      <c r="D274" s="3251" t="s">
        <v>3869</v>
      </c>
      <c r="E274" s="3229">
        <v>44023</v>
      </c>
      <c r="F274" s="3230">
        <v>30000</v>
      </c>
      <c r="G274" s="3231">
        <v>134.31</v>
      </c>
      <c r="H274" s="3231" t="s">
        <v>3335</v>
      </c>
      <c r="I274" s="3230">
        <v>2242036</v>
      </c>
      <c r="J274" s="3229">
        <v>44041</v>
      </c>
      <c r="K274" s="3234">
        <v>7</v>
      </c>
      <c r="L274" s="3230">
        <v>2222036</v>
      </c>
      <c r="M274" s="3235">
        <v>16544.084580448216</v>
      </c>
      <c r="N274" s="3236">
        <v>1192036</v>
      </c>
    </row>
    <row r="275" spans="1:14" ht="24">
      <c r="A275" s="3226">
        <v>363</v>
      </c>
      <c r="B275" s="3250" t="s">
        <v>3870</v>
      </c>
      <c r="C275" s="3227" t="s">
        <v>3333</v>
      </c>
      <c r="D275" s="3251" t="s">
        <v>3871</v>
      </c>
      <c r="E275" s="3229">
        <v>44028</v>
      </c>
      <c r="F275" s="3230">
        <v>0</v>
      </c>
      <c r="G275" s="3231">
        <v>134.31</v>
      </c>
      <c r="H275" s="3231" t="s">
        <v>3335</v>
      </c>
      <c r="I275" s="3230">
        <v>2269729</v>
      </c>
      <c r="J275" s="3229">
        <v>44028</v>
      </c>
      <c r="K275" s="3234">
        <v>7</v>
      </c>
      <c r="L275" s="3230">
        <v>2269729</v>
      </c>
      <c r="M275" s="3235">
        <v>16899.180999181001</v>
      </c>
      <c r="N275" s="3236">
        <v>689729</v>
      </c>
    </row>
    <row r="276" spans="1:14">
      <c r="A276" s="3226">
        <v>364</v>
      </c>
      <c r="B276" s="3250" t="s">
        <v>3872</v>
      </c>
      <c r="C276" s="3227" t="s">
        <v>3333</v>
      </c>
      <c r="D276" s="3251" t="s">
        <v>3873</v>
      </c>
      <c r="E276" s="3229">
        <v>44024</v>
      </c>
      <c r="F276" s="3230">
        <v>50000</v>
      </c>
      <c r="G276" s="3231">
        <v>134.31</v>
      </c>
      <c r="H276" s="3231" t="s">
        <v>3335</v>
      </c>
      <c r="I276" s="3230">
        <v>2172804</v>
      </c>
      <c r="J276" s="3229">
        <v>44028</v>
      </c>
      <c r="K276" s="3234">
        <v>7</v>
      </c>
      <c r="L276" s="3230">
        <v>2172804</v>
      </c>
      <c r="M276" s="3235">
        <v>16177.529595711414</v>
      </c>
      <c r="N276" s="3236">
        <v>1042804</v>
      </c>
    </row>
    <row r="277" spans="1:14" ht="24">
      <c r="A277" s="3226">
        <v>365</v>
      </c>
      <c r="B277" s="3250" t="s">
        <v>3874</v>
      </c>
      <c r="C277" s="3227" t="s">
        <v>3333</v>
      </c>
      <c r="D277" s="3251" t="s">
        <v>3875</v>
      </c>
      <c r="E277" s="3229">
        <v>44023</v>
      </c>
      <c r="F277" s="3230">
        <v>50000</v>
      </c>
      <c r="G277" s="3231">
        <v>134.31</v>
      </c>
      <c r="H277" s="3231" t="s">
        <v>3335</v>
      </c>
      <c r="I277" s="3230">
        <v>2015127</v>
      </c>
      <c r="J277" s="3229">
        <v>44027</v>
      </c>
      <c r="K277" s="3234">
        <v>7</v>
      </c>
      <c r="L277" s="3230">
        <v>1995127</v>
      </c>
      <c r="M277" s="3235">
        <v>14854.642245551337</v>
      </c>
      <c r="N277" s="3236">
        <v>555127</v>
      </c>
    </row>
    <row r="278" spans="1:14">
      <c r="A278" s="3226">
        <v>366</v>
      </c>
      <c r="B278" s="3250" t="s">
        <v>3876</v>
      </c>
      <c r="C278" s="3227" t="s">
        <v>3333</v>
      </c>
      <c r="D278" s="3251" t="s">
        <v>3877</v>
      </c>
      <c r="E278" s="3229">
        <v>44023</v>
      </c>
      <c r="F278" s="3230">
        <v>50000</v>
      </c>
      <c r="G278" s="3231">
        <v>134.31</v>
      </c>
      <c r="H278" s="3231" t="s">
        <v>3335</v>
      </c>
      <c r="I278" s="3230">
        <v>2070512</v>
      </c>
      <c r="J278" s="3229">
        <v>44029</v>
      </c>
      <c r="K278" s="3234">
        <v>7</v>
      </c>
      <c r="L278" s="3230">
        <v>2050512</v>
      </c>
      <c r="M278" s="3235">
        <v>15267.009157918248</v>
      </c>
      <c r="N278" s="3236">
        <v>1400512</v>
      </c>
    </row>
    <row r="279" spans="1:14">
      <c r="A279" s="3226">
        <v>367</v>
      </c>
      <c r="B279" s="3250" t="s">
        <v>3878</v>
      </c>
      <c r="C279" s="3227" t="s">
        <v>3333</v>
      </c>
      <c r="D279" s="3251" t="s">
        <v>3879</v>
      </c>
      <c r="E279" s="3229">
        <v>44023</v>
      </c>
      <c r="F279" s="3230">
        <v>50000</v>
      </c>
      <c r="G279" s="3231">
        <v>134.31</v>
      </c>
      <c r="H279" s="3231" t="s">
        <v>3335</v>
      </c>
      <c r="I279" s="3230">
        <v>2098205</v>
      </c>
      <c r="J279" s="3229">
        <v>44028</v>
      </c>
      <c r="K279" s="3234">
        <v>7</v>
      </c>
      <c r="L279" s="3230">
        <v>2078205</v>
      </c>
      <c r="M279" s="3235">
        <v>15473.1963368327</v>
      </c>
      <c r="N279" s="3236">
        <v>578205</v>
      </c>
    </row>
    <row r="280" spans="1:14">
      <c r="A280" s="3226">
        <v>368</v>
      </c>
      <c r="B280" s="3250" t="s">
        <v>3880</v>
      </c>
      <c r="C280" s="3227" t="s">
        <v>3333</v>
      </c>
      <c r="D280" s="3251" t="s">
        <v>3881</v>
      </c>
      <c r="E280" s="3229">
        <v>44024</v>
      </c>
      <c r="F280" s="3230">
        <v>50000</v>
      </c>
      <c r="G280" s="3231">
        <v>134.31</v>
      </c>
      <c r="H280" s="3231" t="s">
        <v>3335</v>
      </c>
      <c r="I280" s="3230">
        <v>2125898</v>
      </c>
      <c r="J280" s="3229">
        <v>44043</v>
      </c>
      <c r="K280" s="3234">
        <v>7</v>
      </c>
      <c r="L280" s="3230">
        <v>2105898</v>
      </c>
      <c r="M280" s="3235">
        <v>15679.383515747151</v>
      </c>
      <c r="N280" s="3236">
        <v>595898</v>
      </c>
    </row>
    <row r="281" spans="1:14">
      <c r="A281" s="3226">
        <v>369</v>
      </c>
      <c r="B281" s="3250" t="s">
        <v>3882</v>
      </c>
      <c r="C281" s="3227" t="s">
        <v>3333</v>
      </c>
      <c r="D281" s="3251" t="s">
        <v>3883</v>
      </c>
      <c r="E281" s="3229">
        <v>44023</v>
      </c>
      <c r="F281" s="3230">
        <v>50000</v>
      </c>
      <c r="G281" s="3231">
        <v>134.31</v>
      </c>
      <c r="H281" s="3231" t="s">
        <v>3335</v>
      </c>
      <c r="I281" s="3230">
        <v>2153591</v>
      </c>
      <c r="J281" s="3229">
        <v>44030</v>
      </c>
      <c r="K281" s="3234">
        <v>7</v>
      </c>
      <c r="L281" s="3230">
        <v>2133591</v>
      </c>
      <c r="M281" s="3235">
        <v>15885.570694661603</v>
      </c>
      <c r="N281" s="3236">
        <v>600000</v>
      </c>
    </row>
    <row r="282" spans="1:14" ht="24">
      <c r="A282" s="3226">
        <v>370</v>
      </c>
      <c r="B282" s="3250" t="s">
        <v>3884</v>
      </c>
      <c r="C282" s="3227" t="s">
        <v>3333</v>
      </c>
      <c r="D282" s="3251" t="s">
        <v>3885</v>
      </c>
      <c r="E282" s="3229">
        <v>44030</v>
      </c>
      <c r="F282" s="3230">
        <v>50000</v>
      </c>
      <c r="G282" s="3231">
        <v>134.31</v>
      </c>
      <c r="H282" s="3231" t="s">
        <v>3335</v>
      </c>
      <c r="I282" s="3230">
        <v>2181284</v>
      </c>
      <c r="J282" s="3229">
        <v>44030</v>
      </c>
      <c r="K282" s="3234">
        <v>7</v>
      </c>
      <c r="L282" s="3230">
        <v>2161284</v>
      </c>
      <c r="M282" s="3235">
        <v>16091.757873576054</v>
      </c>
      <c r="N282" s="3236">
        <v>2111284</v>
      </c>
    </row>
    <row r="283" spans="1:14" ht="24">
      <c r="A283" s="3226">
        <v>371</v>
      </c>
      <c r="B283" s="3250" t="s">
        <v>3886</v>
      </c>
      <c r="C283" s="3227" t="s">
        <v>3333</v>
      </c>
      <c r="D283" s="3251" t="s">
        <v>3887</v>
      </c>
      <c r="E283" s="3229">
        <v>44023</v>
      </c>
      <c r="F283" s="3230">
        <v>30000</v>
      </c>
      <c r="G283" s="3231">
        <v>134.31</v>
      </c>
      <c r="H283" s="3231" t="s">
        <v>3335</v>
      </c>
      <c r="I283" s="3230">
        <v>2208976</v>
      </c>
      <c r="J283" s="3229">
        <v>44035</v>
      </c>
      <c r="K283" s="3234">
        <v>7</v>
      </c>
      <c r="L283" s="3230">
        <v>2188976</v>
      </c>
      <c r="M283" s="3235">
        <v>16297.937607028516</v>
      </c>
      <c r="N283" s="3236">
        <v>628976</v>
      </c>
    </row>
    <row r="284" spans="1:14" ht="24">
      <c r="A284" s="3226">
        <v>372</v>
      </c>
      <c r="B284" s="3250" t="s">
        <v>3888</v>
      </c>
      <c r="C284" s="3227" t="s">
        <v>3333</v>
      </c>
      <c r="D284" s="3251" t="s">
        <v>3889</v>
      </c>
      <c r="E284" s="3229">
        <v>44023</v>
      </c>
      <c r="F284" s="3230">
        <v>50000</v>
      </c>
      <c r="G284" s="3231">
        <v>134.31</v>
      </c>
      <c r="H284" s="3231" t="s">
        <v>3335</v>
      </c>
      <c r="I284" s="3230">
        <v>2236669</v>
      </c>
      <c r="J284" s="3229">
        <v>44030</v>
      </c>
      <c r="K284" s="3234">
        <v>7</v>
      </c>
      <c r="L284" s="3230">
        <v>2216669</v>
      </c>
      <c r="M284" s="3235">
        <v>16504.124785942968</v>
      </c>
      <c r="N284" s="3236">
        <v>616669</v>
      </c>
    </row>
    <row r="285" spans="1:14" ht="24">
      <c r="A285" s="3226">
        <v>373</v>
      </c>
      <c r="B285" s="3250" t="s">
        <v>3890</v>
      </c>
      <c r="C285" s="3227" t="s">
        <v>3333</v>
      </c>
      <c r="D285" s="3251" t="s">
        <v>3891</v>
      </c>
      <c r="E285" s="3229">
        <v>44023</v>
      </c>
      <c r="F285" s="3230">
        <v>50000</v>
      </c>
      <c r="G285" s="3231">
        <v>134.31</v>
      </c>
      <c r="H285" s="3231" t="s">
        <v>3335</v>
      </c>
      <c r="I285" s="3230">
        <v>2264362</v>
      </c>
      <c r="J285" s="3229">
        <v>44029</v>
      </c>
      <c r="K285" s="3234">
        <v>7</v>
      </c>
      <c r="L285" s="3230">
        <v>2244362</v>
      </c>
      <c r="M285" s="3235">
        <v>16710.311964857417</v>
      </c>
      <c r="N285" s="3236">
        <v>1104362</v>
      </c>
    </row>
    <row r="286" spans="1:14">
      <c r="A286" s="3226">
        <v>374</v>
      </c>
      <c r="B286" s="3250" t="s">
        <v>3892</v>
      </c>
      <c r="C286" s="3227" t="s">
        <v>3333</v>
      </c>
      <c r="D286" s="3251" t="s">
        <v>3893</v>
      </c>
      <c r="E286" s="3229">
        <v>44023</v>
      </c>
      <c r="F286" s="3230">
        <v>50000</v>
      </c>
      <c r="G286" s="3231">
        <v>134.31</v>
      </c>
      <c r="H286" s="3231" t="s">
        <v>3335</v>
      </c>
      <c r="I286" s="3230">
        <v>2167437</v>
      </c>
      <c r="J286" s="3229">
        <v>44029</v>
      </c>
      <c r="K286" s="3234">
        <v>7</v>
      </c>
      <c r="L286" s="3230">
        <v>2147437</v>
      </c>
      <c r="M286" s="3235">
        <v>15988.660561387835</v>
      </c>
      <c r="N286" s="3236">
        <v>2097437</v>
      </c>
    </row>
    <row r="287" spans="1:14">
      <c r="A287" s="3226">
        <v>375</v>
      </c>
      <c r="B287" s="3250" t="s">
        <v>3894</v>
      </c>
      <c r="C287" s="3227" t="s">
        <v>3333</v>
      </c>
      <c r="D287" s="3251" t="s">
        <v>3895</v>
      </c>
      <c r="E287" s="3229">
        <v>44029</v>
      </c>
      <c r="F287" s="3230">
        <v>50000</v>
      </c>
      <c r="G287" s="3231">
        <v>134.31</v>
      </c>
      <c r="H287" s="3231" t="s">
        <v>3335</v>
      </c>
      <c r="I287" s="3230">
        <v>2009760</v>
      </c>
      <c r="J287" s="3229">
        <v>44029</v>
      </c>
      <c r="K287" s="3234">
        <v>7</v>
      </c>
      <c r="L287" s="3230">
        <v>1989760</v>
      </c>
      <c r="M287" s="3235">
        <v>14814.682451046086</v>
      </c>
      <c r="N287" s="3236">
        <v>549760</v>
      </c>
    </row>
    <row r="288" spans="1:14">
      <c r="A288" s="3226">
        <v>376</v>
      </c>
      <c r="B288" s="3250" t="s">
        <v>3896</v>
      </c>
      <c r="C288" s="3227" t="s">
        <v>3333</v>
      </c>
      <c r="D288" s="3251" t="s">
        <v>3897</v>
      </c>
      <c r="E288" s="3229">
        <v>44023</v>
      </c>
      <c r="F288" s="3230">
        <v>50000</v>
      </c>
      <c r="G288" s="3231">
        <v>134.31</v>
      </c>
      <c r="H288" s="3231" t="s">
        <v>3335</v>
      </c>
      <c r="I288" s="3230">
        <v>2065145</v>
      </c>
      <c r="J288" s="3229">
        <v>44027</v>
      </c>
      <c r="K288" s="3234">
        <v>7</v>
      </c>
      <c r="L288" s="3230">
        <v>2045145</v>
      </c>
      <c r="M288" s="3235">
        <v>15227.049363413</v>
      </c>
      <c r="N288" s="3236">
        <v>565145</v>
      </c>
    </row>
    <row r="289" spans="1:14">
      <c r="A289" s="3226">
        <v>377</v>
      </c>
      <c r="B289" s="3250" t="s">
        <v>3898</v>
      </c>
      <c r="C289" s="3227" t="s">
        <v>3333</v>
      </c>
      <c r="D289" s="3251" t="s">
        <v>3899</v>
      </c>
      <c r="E289" s="3229">
        <v>44026</v>
      </c>
      <c r="F289" s="3230">
        <v>50000</v>
      </c>
      <c r="G289" s="3231">
        <v>134.31</v>
      </c>
      <c r="H289" s="3231" t="s">
        <v>3335</v>
      </c>
      <c r="I289" s="3230">
        <v>2092838</v>
      </c>
      <c r="J289" s="3229">
        <v>44026</v>
      </c>
      <c r="K289" s="3234">
        <v>7</v>
      </c>
      <c r="L289" s="3230">
        <v>2072838</v>
      </c>
      <c r="M289" s="3235">
        <v>15433.236542327451</v>
      </c>
      <c r="N289" s="3236">
        <v>2022838</v>
      </c>
    </row>
    <row r="290" spans="1:14">
      <c r="A290" s="3226">
        <v>378</v>
      </c>
      <c r="B290" s="3250" t="s">
        <v>3900</v>
      </c>
      <c r="C290" s="3227" t="s">
        <v>3333</v>
      </c>
      <c r="D290" s="3251" t="s">
        <v>3901</v>
      </c>
      <c r="E290" s="3229">
        <v>44023</v>
      </c>
      <c r="F290" s="3230">
        <v>50000</v>
      </c>
      <c r="G290" s="3231">
        <v>134.31</v>
      </c>
      <c r="H290" s="3231" t="s">
        <v>3335</v>
      </c>
      <c r="I290" s="3230">
        <v>2120531</v>
      </c>
      <c r="J290" s="3229">
        <v>44026</v>
      </c>
      <c r="K290" s="3234">
        <v>7</v>
      </c>
      <c r="L290" s="3230">
        <v>2100531</v>
      </c>
      <c r="M290" s="3235">
        <v>15639.423721241903</v>
      </c>
      <c r="N290" s="3236">
        <v>580531</v>
      </c>
    </row>
    <row r="291" spans="1:14" ht="24">
      <c r="A291" s="3226">
        <v>379</v>
      </c>
      <c r="B291" s="3250" t="s">
        <v>3902</v>
      </c>
      <c r="C291" s="3227" t="s">
        <v>3333</v>
      </c>
      <c r="D291" s="3251" t="s">
        <v>3903</v>
      </c>
      <c r="E291" s="3229">
        <v>44023</v>
      </c>
      <c r="F291" s="3230">
        <v>50000</v>
      </c>
      <c r="G291" s="3231">
        <v>134.31</v>
      </c>
      <c r="H291" s="3231" t="s">
        <v>3335</v>
      </c>
      <c r="I291" s="3230">
        <v>2148224</v>
      </c>
      <c r="J291" s="3229">
        <v>44029</v>
      </c>
      <c r="K291" s="3234">
        <v>7</v>
      </c>
      <c r="L291" s="3230">
        <v>2128224</v>
      </c>
      <c r="M291" s="3235">
        <v>15845.610900156355</v>
      </c>
      <c r="N291" s="3236">
        <v>598224</v>
      </c>
    </row>
    <row r="292" spans="1:14">
      <c r="A292" s="3226">
        <v>380</v>
      </c>
      <c r="B292" s="3250" t="s">
        <v>3904</v>
      </c>
      <c r="C292" s="3227" t="s">
        <v>3333</v>
      </c>
      <c r="D292" s="3251" t="s">
        <v>3905</v>
      </c>
      <c r="E292" s="3229">
        <v>44023</v>
      </c>
      <c r="F292" s="3230">
        <v>50000</v>
      </c>
      <c r="G292" s="3231">
        <v>134.31</v>
      </c>
      <c r="H292" s="3231" t="s">
        <v>3335</v>
      </c>
      <c r="I292" s="3230">
        <v>2175916</v>
      </c>
      <c r="J292" s="3229">
        <v>44028</v>
      </c>
      <c r="K292" s="3234">
        <v>7</v>
      </c>
      <c r="L292" s="3230">
        <v>2155916</v>
      </c>
      <c r="M292" s="3235">
        <v>16051.790633608814</v>
      </c>
      <c r="N292" s="3236">
        <v>605916</v>
      </c>
    </row>
    <row r="293" spans="1:14" ht="24">
      <c r="A293" s="3226">
        <v>381</v>
      </c>
      <c r="B293" s="3250" t="s">
        <v>3906</v>
      </c>
      <c r="C293" s="3227" t="s">
        <v>3333</v>
      </c>
      <c r="D293" s="3251" t="s">
        <v>3907</v>
      </c>
      <c r="E293" s="3229">
        <v>44023</v>
      </c>
      <c r="F293" s="3230">
        <v>50000</v>
      </c>
      <c r="G293" s="3231">
        <v>134.31</v>
      </c>
      <c r="H293" s="3231" t="s">
        <v>3335</v>
      </c>
      <c r="I293" s="3230">
        <v>2203609</v>
      </c>
      <c r="J293" s="3229">
        <v>44027</v>
      </c>
      <c r="K293" s="3234">
        <v>7</v>
      </c>
      <c r="L293" s="3230">
        <v>2183609</v>
      </c>
      <c r="M293" s="3235">
        <v>16257.977812523266</v>
      </c>
      <c r="N293" s="3236">
        <v>2133609</v>
      </c>
    </row>
    <row r="294" spans="1:14">
      <c r="A294" s="3226">
        <v>382</v>
      </c>
      <c r="B294" s="3250" t="s">
        <v>3908</v>
      </c>
      <c r="C294" s="3227" t="s">
        <v>3333</v>
      </c>
      <c r="D294" s="3251" t="s">
        <v>3909</v>
      </c>
      <c r="E294" s="3229">
        <v>44023</v>
      </c>
      <c r="F294" s="3230">
        <v>50000</v>
      </c>
      <c r="G294" s="3231">
        <v>134.31</v>
      </c>
      <c r="H294" s="3231" t="s">
        <v>3335</v>
      </c>
      <c r="I294" s="3230">
        <v>2231302</v>
      </c>
      <c r="J294" s="3229">
        <v>44027</v>
      </c>
      <c r="K294" s="3234">
        <v>7</v>
      </c>
      <c r="L294" s="3230">
        <v>2211302</v>
      </c>
      <c r="M294" s="3235">
        <v>16464.164991437719</v>
      </c>
      <c r="N294" s="3236">
        <v>621302</v>
      </c>
    </row>
    <row r="295" spans="1:14">
      <c r="A295" s="3226">
        <v>383</v>
      </c>
      <c r="B295" s="3250" t="s">
        <v>3910</v>
      </c>
      <c r="C295" s="3227" t="s">
        <v>3333</v>
      </c>
      <c r="D295" s="3251" t="s">
        <v>3911</v>
      </c>
      <c r="E295" s="3229">
        <v>44029</v>
      </c>
      <c r="F295" s="3230">
        <v>50000</v>
      </c>
      <c r="G295" s="3231">
        <v>134.31</v>
      </c>
      <c r="H295" s="3231" t="s">
        <v>3335</v>
      </c>
      <c r="I295" s="3230">
        <v>2258995</v>
      </c>
      <c r="J295" s="3229">
        <v>44029</v>
      </c>
      <c r="K295" s="3234">
        <v>7</v>
      </c>
      <c r="L295" s="3230">
        <v>2258995</v>
      </c>
      <c r="M295" s="3235">
        <v>16819.2614101705</v>
      </c>
      <c r="N295" s="3236">
        <v>2208995</v>
      </c>
    </row>
    <row r="296" spans="1:14">
      <c r="A296" s="3226">
        <v>384</v>
      </c>
      <c r="B296" s="3250" t="s">
        <v>3912</v>
      </c>
      <c r="C296" s="3227" t="s">
        <v>3333</v>
      </c>
      <c r="D296" s="3251" t="s">
        <v>3913</v>
      </c>
      <c r="E296" s="3229">
        <v>44023</v>
      </c>
      <c r="F296" s="3230">
        <v>50000</v>
      </c>
      <c r="G296" s="3231">
        <v>134.31</v>
      </c>
      <c r="H296" s="3231" t="s">
        <v>3335</v>
      </c>
      <c r="I296" s="3230">
        <v>2162070</v>
      </c>
      <c r="J296" s="3229">
        <v>44027</v>
      </c>
      <c r="K296" s="3234">
        <v>7</v>
      </c>
      <c r="L296" s="3230">
        <v>2142070</v>
      </c>
      <c r="M296" s="3235">
        <v>15948.700766882585</v>
      </c>
      <c r="N296" s="3236">
        <v>2092070</v>
      </c>
    </row>
    <row r="297" spans="1:14" ht="24">
      <c r="A297" s="3226">
        <v>385</v>
      </c>
      <c r="B297" s="3250" t="s">
        <v>3914</v>
      </c>
      <c r="C297" s="3227" t="s">
        <v>3333</v>
      </c>
      <c r="D297" s="3251" t="s">
        <v>3915</v>
      </c>
      <c r="E297" s="3229">
        <v>44023</v>
      </c>
      <c r="F297" s="3230">
        <v>50000</v>
      </c>
      <c r="G297" s="3231">
        <v>137.22999999999999</v>
      </c>
      <c r="H297" s="3231" t="s">
        <v>3335</v>
      </c>
      <c r="I297" s="3230">
        <v>2189987</v>
      </c>
      <c r="J297" s="3229">
        <v>44028</v>
      </c>
      <c r="K297" s="3234">
        <v>7</v>
      </c>
      <c r="L297" s="3230">
        <v>2169987</v>
      </c>
      <c r="M297" s="3235">
        <v>15812.774174743134</v>
      </c>
      <c r="N297" s="3236">
        <v>619987</v>
      </c>
    </row>
    <row r="298" spans="1:14">
      <c r="A298" s="3226">
        <v>386</v>
      </c>
      <c r="B298" s="3250" t="s">
        <v>3916</v>
      </c>
      <c r="C298" s="3227" t="s">
        <v>3333</v>
      </c>
      <c r="D298" s="3251" t="s">
        <v>3917</v>
      </c>
      <c r="E298" s="3229">
        <v>44023</v>
      </c>
      <c r="F298" s="3230">
        <v>50000</v>
      </c>
      <c r="G298" s="3231">
        <v>137.22999999999999</v>
      </c>
      <c r="H298" s="3231" t="s">
        <v>3335</v>
      </c>
      <c r="I298" s="3230">
        <v>2218281</v>
      </c>
      <c r="J298" s="3229">
        <v>44026</v>
      </c>
      <c r="K298" s="3234">
        <v>7</v>
      </c>
      <c r="L298" s="3230">
        <v>2198281</v>
      </c>
      <c r="M298" s="3235">
        <v>16018.953581578373</v>
      </c>
      <c r="N298" s="3236">
        <v>1548281</v>
      </c>
    </row>
    <row r="299" spans="1:14">
      <c r="A299" s="3226">
        <v>387</v>
      </c>
      <c r="B299" s="3250" t="s">
        <v>3918</v>
      </c>
      <c r="C299" s="3227" t="s">
        <v>3333</v>
      </c>
      <c r="D299" s="3251" t="s">
        <v>3919</v>
      </c>
      <c r="E299" s="3229">
        <v>44023</v>
      </c>
      <c r="F299" s="3230">
        <v>50000</v>
      </c>
      <c r="G299" s="3231">
        <v>137.22999999999999</v>
      </c>
      <c r="H299" s="3231" t="s">
        <v>3335</v>
      </c>
      <c r="I299" s="3230">
        <v>2246576</v>
      </c>
      <c r="J299" s="3229">
        <v>44027</v>
      </c>
      <c r="K299" s="3234">
        <v>7</v>
      </c>
      <c r="L299" s="3230">
        <v>2226576</v>
      </c>
      <c r="M299" s="3235">
        <v>16225.140275449976</v>
      </c>
      <c r="N299" s="3236">
        <v>676576</v>
      </c>
    </row>
    <row r="300" spans="1:14">
      <c r="A300" s="3226">
        <v>388</v>
      </c>
      <c r="B300" s="3250" t="s">
        <v>3920</v>
      </c>
      <c r="C300" s="3227" t="s">
        <v>3333</v>
      </c>
      <c r="D300" s="3251" t="s">
        <v>3921</v>
      </c>
      <c r="E300" s="3229">
        <v>44023</v>
      </c>
      <c r="F300" s="3230">
        <v>50000</v>
      </c>
      <c r="G300" s="3231">
        <v>137.22999999999999</v>
      </c>
      <c r="H300" s="3231" t="s">
        <v>3335</v>
      </c>
      <c r="I300" s="3230">
        <v>2274871</v>
      </c>
      <c r="J300" s="3229">
        <v>44028</v>
      </c>
      <c r="K300" s="3234">
        <v>7</v>
      </c>
      <c r="L300" s="3230">
        <v>2254871</v>
      </c>
      <c r="M300" s="3235">
        <v>16431.326969321577</v>
      </c>
      <c r="N300" s="3236">
        <v>1504871</v>
      </c>
    </row>
    <row r="301" spans="1:14">
      <c r="A301" s="3226">
        <v>389</v>
      </c>
      <c r="B301" s="3250" t="s">
        <v>3922</v>
      </c>
      <c r="C301" s="3227" t="s">
        <v>3333</v>
      </c>
      <c r="D301" s="3251" t="s">
        <v>3923</v>
      </c>
      <c r="E301" s="3229">
        <v>44023</v>
      </c>
      <c r="F301" s="3230">
        <v>50000</v>
      </c>
      <c r="G301" s="3231">
        <v>137.22999999999999</v>
      </c>
      <c r="H301" s="3231" t="s">
        <v>3335</v>
      </c>
      <c r="I301" s="3230">
        <v>2303166</v>
      </c>
      <c r="J301" s="3229">
        <v>44028</v>
      </c>
      <c r="K301" s="3234">
        <v>7</v>
      </c>
      <c r="L301" s="3230">
        <v>2283166</v>
      </c>
      <c r="M301" s="3235">
        <v>16637.513663193182</v>
      </c>
      <c r="N301" s="3236">
        <v>643166</v>
      </c>
    </row>
    <row r="302" spans="1:14">
      <c r="A302" s="3226">
        <v>390</v>
      </c>
      <c r="B302" s="3250" t="s">
        <v>3924</v>
      </c>
      <c r="C302" s="3227" t="s">
        <v>3333</v>
      </c>
      <c r="D302" s="3251" t="s">
        <v>3925</v>
      </c>
      <c r="E302" s="3229">
        <v>44023</v>
      </c>
      <c r="F302" s="3230">
        <v>50000</v>
      </c>
      <c r="G302" s="3231">
        <v>137.22999999999999</v>
      </c>
      <c r="H302" s="3231" t="s">
        <v>3335</v>
      </c>
      <c r="I302" s="3230">
        <v>2331461</v>
      </c>
      <c r="J302" s="3229">
        <v>44028</v>
      </c>
      <c r="K302" s="3234">
        <v>7</v>
      </c>
      <c r="L302" s="3230">
        <v>2311461</v>
      </c>
      <c r="M302" s="3235">
        <v>16843.700357064783</v>
      </c>
      <c r="N302" s="3236">
        <v>711461</v>
      </c>
    </row>
    <row r="303" spans="1:14">
      <c r="A303" s="3226">
        <v>391</v>
      </c>
      <c r="B303" s="3250" t="s">
        <v>3926</v>
      </c>
      <c r="C303" s="3227" t="s">
        <v>3333</v>
      </c>
      <c r="D303" s="3251" t="s">
        <v>3927</v>
      </c>
      <c r="E303" s="3229">
        <v>44023</v>
      </c>
      <c r="F303" s="3230">
        <v>50000</v>
      </c>
      <c r="G303" s="3231">
        <v>137.22999999999999</v>
      </c>
      <c r="H303" s="3231" t="s">
        <v>3335</v>
      </c>
      <c r="I303" s="3230">
        <v>2359756</v>
      </c>
      <c r="J303" s="3229">
        <v>44036</v>
      </c>
      <c r="K303" s="3234">
        <v>7</v>
      </c>
      <c r="L303" s="3230">
        <v>2339756</v>
      </c>
      <c r="M303" s="3235">
        <v>17049.887050936384</v>
      </c>
      <c r="N303" s="3236">
        <v>2289756</v>
      </c>
    </row>
    <row r="304" spans="1:14" ht="24">
      <c r="A304" s="3226">
        <v>392</v>
      </c>
      <c r="B304" s="3250" t="s">
        <v>3928</v>
      </c>
      <c r="C304" s="3227" t="s">
        <v>3333</v>
      </c>
      <c r="D304" s="3251" t="s">
        <v>3929</v>
      </c>
      <c r="E304" s="3229">
        <v>44023</v>
      </c>
      <c r="F304" s="3230">
        <v>50000</v>
      </c>
      <c r="G304" s="3231">
        <v>137.22999999999999</v>
      </c>
      <c r="H304" s="3231" t="s">
        <v>3335</v>
      </c>
      <c r="I304" s="3230">
        <v>2260724</v>
      </c>
      <c r="J304" s="3229">
        <v>44029</v>
      </c>
      <c r="K304" s="3234">
        <v>7</v>
      </c>
      <c r="L304" s="3230">
        <v>2240724</v>
      </c>
      <c r="M304" s="3235">
        <v>16328.237265903957</v>
      </c>
      <c r="N304" s="3236">
        <v>1390724</v>
      </c>
    </row>
    <row r="305" spans="1:14">
      <c r="A305" s="3226">
        <v>393</v>
      </c>
      <c r="B305" s="3250" t="s">
        <v>3930</v>
      </c>
      <c r="C305" s="3227" t="s">
        <v>3333</v>
      </c>
      <c r="D305" s="3251" t="s">
        <v>3931</v>
      </c>
      <c r="E305" s="3229">
        <v>44026</v>
      </c>
      <c r="F305" s="3230">
        <v>50000</v>
      </c>
      <c r="G305" s="3231">
        <v>151.44</v>
      </c>
      <c r="H305" s="3231" t="s">
        <v>3438</v>
      </c>
      <c r="I305" s="3230">
        <v>2177999</v>
      </c>
      <c r="J305" s="3229">
        <v>44026</v>
      </c>
      <c r="K305" s="3234">
        <v>7</v>
      </c>
      <c r="L305" s="3230">
        <v>2157999</v>
      </c>
      <c r="M305" s="3235">
        <v>14249.861331220285</v>
      </c>
      <c r="N305" s="3236">
        <v>597999</v>
      </c>
    </row>
    <row r="306" spans="1:14">
      <c r="A306" s="3226">
        <v>394</v>
      </c>
      <c r="B306" s="3250" t="s">
        <v>3932</v>
      </c>
      <c r="C306" s="3227" t="s">
        <v>3333</v>
      </c>
      <c r="D306" s="3251" t="s">
        <v>3933</v>
      </c>
      <c r="E306" s="3229">
        <v>44023</v>
      </c>
      <c r="F306" s="3230">
        <v>50000</v>
      </c>
      <c r="G306" s="3231">
        <v>151.44</v>
      </c>
      <c r="H306" s="3231" t="s">
        <v>3438</v>
      </c>
      <c r="I306" s="3230">
        <v>2209224</v>
      </c>
      <c r="J306" s="3229">
        <v>44028</v>
      </c>
      <c r="K306" s="3234">
        <v>7</v>
      </c>
      <c r="L306" s="3230">
        <v>2189224</v>
      </c>
      <c r="M306" s="3235">
        <v>14456.048600105652</v>
      </c>
      <c r="N306" s="3236">
        <v>609224</v>
      </c>
    </row>
    <row r="307" spans="1:14" ht="24">
      <c r="A307" s="3226">
        <v>395</v>
      </c>
      <c r="B307" s="3250" t="s">
        <v>3934</v>
      </c>
      <c r="C307" s="3227" t="s">
        <v>3333</v>
      </c>
      <c r="D307" s="3251" t="s">
        <v>3935</v>
      </c>
      <c r="E307" s="3229">
        <v>44023</v>
      </c>
      <c r="F307" s="3230">
        <v>50000</v>
      </c>
      <c r="G307" s="3231">
        <v>151.44</v>
      </c>
      <c r="H307" s="3231" t="s">
        <v>3438</v>
      </c>
      <c r="I307" s="3230">
        <v>2240448</v>
      </c>
      <c r="J307" s="3229">
        <v>44027</v>
      </c>
      <c r="K307" s="3234">
        <v>7</v>
      </c>
      <c r="L307" s="3230">
        <v>2220448</v>
      </c>
      <c r="M307" s="3235">
        <v>14662.229265715796</v>
      </c>
      <c r="N307" s="3236">
        <v>620448</v>
      </c>
    </row>
    <row r="308" spans="1:14" ht="24">
      <c r="A308" s="3226">
        <v>396</v>
      </c>
      <c r="B308" s="3250" t="s">
        <v>3936</v>
      </c>
      <c r="C308" s="3227" t="s">
        <v>3333</v>
      </c>
      <c r="D308" s="3251" t="s">
        <v>3937</v>
      </c>
      <c r="E308" s="3229">
        <v>44023</v>
      </c>
      <c r="F308" s="3230">
        <v>50000</v>
      </c>
      <c r="G308" s="3231">
        <v>151.44</v>
      </c>
      <c r="H308" s="3231" t="s">
        <v>3438</v>
      </c>
      <c r="I308" s="3230">
        <v>2271673</v>
      </c>
      <c r="J308" s="3229">
        <v>44029</v>
      </c>
      <c r="K308" s="3234">
        <v>7</v>
      </c>
      <c r="L308" s="3230">
        <v>2251673</v>
      </c>
      <c r="M308" s="3235">
        <v>14868.416534601163</v>
      </c>
      <c r="N308" s="3236">
        <v>631673</v>
      </c>
    </row>
    <row r="309" spans="1:14">
      <c r="A309" s="3226">
        <v>397</v>
      </c>
      <c r="B309" s="3250" t="s">
        <v>3938</v>
      </c>
      <c r="C309" s="3227" t="s">
        <v>3333</v>
      </c>
      <c r="D309" s="3251" t="s">
        <v>3939</v>
      </c>
      <c r="E309" s="3229">
        <v>44023</v>
      </c>
      <c r="F309" s="3230">
        <v>50000</v>
      </c>
      <c r="G309" s="3231">
        <v>151.44</v>
      </c>
      <c r="H309" s="3231" t="s">
        <v>3438</v>
      </c>
      <c r="I309" s="3230">
        <v>2302898</v>
      </c>
      <c r="J309" s="3229">
        <v>44028</v>
      </c>
      <c r="K309" s="3234">
        <v>7</v>
      </c>
      <c r="L309" s="3230">
        <v>2282898</v>
      </c>
      <c r="M309" s="3235">
        <v>15074.603803486529</v>
      </c>
      <c r="N309" s="3236">
        <v>752898</v>
      </c>
    </row>
    <row r="310" spans="1:14" ht="24">
      <c r="A310" s="3226">
        <v>398</v>
      </c>
      <c r="B310" s="3250" t="s">
        <v>3940</v>
      </c>
      <c r="C310" s="3227" t="s">
        <v>3333</v>
      </c>
      <c r="D310" s="3251" t="s">
        <v>3941</v>
      </c>
      <c r="E310" s="3229">
        <v>44023</v>
      </c>
      <c r="F310" s="3230">
        <v>50000</v>
      </c>
      <c r="G310" s="3231">
        <v>151.44</v>
      </c>
      <c r="H310" s="3231" t="s">
        <v>3438</v>
      </c>
      <c r="I310" s="3230">
        <v>2334123</v>
      </c>
      <c r="J310" s="3229">
        <v>44029</v>
      </c>
      <c r="K310" s="3234">
        <v>7</v>
      </c>
      <c r="L310" s="3230">
        <v>2334123</v>
      </c>
      <c r="M310" s="3235">
        <v>15412.856576862125</v>
      </c>
      <c r="N310" s="3236">
        <v>954123</v>
      </c>
    </row>
    <row r="311" spans="1:14">
      <c r="A311" s="3226">
        <v>399</v>
      </c>
      <c r="B311" s="3250" t="s">
        <v>3942</v>
      </c>
      <c r="C311" s="3227" t="s">
        <v>3333</v>
      </c>
      <c r="D311" s="3251" t="s">
        <v>3943</v>
      </c>
      <c r="E311" s="3229">
        <v>44023</v>
      </c>
      <c r="F311" s="3230">
        <v>50000</v>
      </c>
      <c r="G311" s="3231">
        <v>151.44</v>
      </c>
      <c r="H311" s="3231" t="s">
        <v>3438</v>
      </c>
      <c r="I311" s="3230">
        <v>2365347</v>
      </c>
      <c r="J311" s="3229">
        <v>44028</v>
      </c>
      <c r="K311" s="3234">
        <v>7</v>
      </c>
      <c r="L311" s="3230">
        <v>2345347</v>
      </c>
      <c r="M311" s="3235">
        <v>15486.971737982039</v>
      </c>
      <c r="N311" s="3236">
        <v>955347</v>
      </c>
    </row>
    <row r="312" spans="1:14" ht="24">
      <c r="A312" s="3226">
        <v>400</v>
      </c>
      <c r="B312" s="3250" t="s">
        <v>3944</v>
      </c>
      <c r="C312" s="3227" t="s">
        <v>3333</v>
      </c>
      <c r="D312" s="3251" t="s">
        <v>3945</v>
      </c>
      <c r="E312" s="3229">
        <v>44023</v>
      </c>
      <c r="F312" s="3230">
        <v>50000</v>
      </c>
      <c r="G312" s="3231">
        <v>151.44</v>
      </c>
      <c r="H312" s="3231" t="s">
        <v>3438</v>
      </c>
      <c r="I312" s="3230">
        <v>2396572</v>
      </c>
      <c r="J312" s="3229">
        <v>44027</v>
      </c>
      <c r="K312" s="3234">
        <v>7</v>
      </c>
      <c r="L312" s="3230">
        <v>2376572</v>
      </c>
      <c r="M312" s="3235">
        <v>15693.159006867407</v>
      </c>
      <c r="N312" s="3236">
        <v>936572</v>
      </c>
    </row>
    <row r="313" spans="1:14">
      <c r="A313" s="3226">
        <v>401</v>
      </c>
      <c r="B313" s="3250" t="s">
        <v>3946</v>
      </c>
      <c r="C313" s="3227" t="s">
        <v>3333</v>
      </c>
      <c r="D313" s="3251" t="s">
        <v>3947</v>
      </c>
      <c r="E313" s="3229">
        <v>44024</v>
      </c>
      <c r="F313" s="3230">
        <v>50000</v>
      </c>
      <c r="G313" s="3231">
        <v>151.44</v>
      </c>
      <c r="H313" s="3231" t="s">
        <v>3438</v>
      </c>
      <c r="I313" s="3230">
        <v>2427797</v>
      </c>
      <c r="J313" s="3229">
        <v>44029</v>
      </c>
      <c r="K313" s="3234">
        <v>7</v>
      </c>
      <c r="L313" s="3230">
        <v>2427797</v>
      </c>
      <c r="M313" s="3235">
        <v>16031.411780243001</v>
      </c>
      <c r="N313" s="3236">
        <v>687797</v>
      </c>
    </row>
    <row r="314" spans="1:14">
      <c r="A314" s="3226">
        <v>402</v>
      </c>
      <c r="B314" s="3250" t="s">
        <v>3948</v>
      </c>
      <c r="C314" s="3227" t="s">
        <v>3333</v>
      </c>
      <c r="D314" s="3251" t="s">
        <v>3949</v>
      </c>
      <c r="E314" s="3229">
        <v>44023</v>
      </c>
      <c r="F314" s="3230">
        <v>50000</v>
      </c>
      <c r="G314" s="3231">
        <v>151.44</v>
      </c>
      <c r="H314" s="3231" t="s">
        <v>3438</v>
      </c>
      <c r="I314" s="3230">
        <v>2287286</v>
      </c>
      <c r="J314" s="3229">
        <v>44028</v>
      </c>
      <c r="K314" s="3234">
        <v>7</v>
      </c>
      <c r="L314" s="3230">
        <v>2267286</v>
      </c>
      <c r="M314" s="3235">
        <v>14971.513470681459</v>
      </c>
      <c r="N314" s="3236">
        <v>1117286</v>
      </c>
    </row>
    <row r="315" spans="1:14">
      <c r="A315" s="3226">
        <v>403</v>
      </c>
      <c r="B315" s="3250" t="s">
        <v>3950</v>
      </c>
      <c r="C315" s="3227" t="s">
        <v>3333</v>
      </c>
      <c r="D315" s="3251" t="s">
        <v>3951</v>
      </c>
      <c r="E315" s="3229">
        <v>44023</v>
      </c>
      <c r="F315" s="3230">
        <v>50000</v>
      </c>
      <c r="G315" s="3231">
        <v>135.32</v>
      </c>
      <c r="H315" s="3231" t="s">
        <v>3335</v>
      </c>
      <c r="I315" s="3230">
        <v>1998034</v>
      </c>
      <c r="J315" s="3229">
        <v>44027</v>
      </c>
      <c r="K315" s="3234">
        <v>7</v>
      </c>
      <c r="L315" s="3230">
        <v>1998034</v>
      </c>
      <c r="M315" s="3235">
        <v>14765.252734259533</v>
      </c>
      <c r="N315" s="3236">
        <v>1198034</v>
      </c>
    </row>
    <row r="316" spans="1:14">
      <c r="A316" s="3226">
        <v>404</v>
      </c>
      <c r="B316" s="3250" t="s">
        <v>3952</v>
      </c>
      <c r="C316" s="3227" t="s">
        <v>3333</v>
      </c>
      <c r="D316" s="3251" t="s">
        <v>3953</v>
      </c>
      <c r="E316" s="3229">
        <v>44029</v>
      </c>
      <c r="F316" s="3230">
        <v>0</v>
      </c>
      <c r="G316" s="3231">
        <v>135.32</v>
      </c>
      <c r="H316" s="3231" t="s">
        <v>3335</v>
      </c>
      <c r="I316" s="3230">
        <v>2025935</v>
      </c>
      <c r="J316" s="3229">
        <v>44029</v>
      </c>
      <c r="K316" s="3234">
        <v>7</v>
      </c>
      <c r="L316" s="3230">
        <v>2005935</v>
      </c>
      <c r="M316" s="3235">
        <v>14823.640260124152</v>
      </c>
      <c r="N316" s="3236">
        <v>2005935</v>
      </c>
    </row>
    <row r="317" spans="1:14" ht="24">
      <c r="A317" s="3226">
        <v>405</v>
      </c>
      <c r="B317" s="3250" t="s">
        <v>3954</v>
      </c>
      <c r="C317" s="3227" t="s">
        <v>3333</v>
      </c>
      <c r="D317" s="3251" t="s">
        <v>3955</v>
      </c>
      <c r="E317" s="3229">
        <v>44023</v>
      </c>
      <c r="F317" s="3230">
        <v>50000</v>
      </c>
      <c r="G317" s="3231">
        <v>135.32</v>
      </c>
      <c r="H317" s="3231" t="s">
        <v>3335</v>
      </c>
      <c r="I317" s="3230">
        <v>2053836</v>
      </c>
      <c r="J317" s="3229">
        <v>44026</v>
      </c>
      <c r="K317" s="3234">
        <v>7</v>
      </c>
      <c r="L317" s="3230">
        <v>2033836</v>
      </c>
      <c r="M317" s="3235">
        <v>15029.825598581141</v>
      </c>
      <c r="N317" s="3236">
        <v>563836</v>
      </c>
    </row>
    <row r="318" spans="1:14" ht="24">
      <c r="A318" s="3226">
        <v>406</v>
      </c>
      <c r="B318" s="3250" t="s">
        <v>3956</v>
      </c>
      <c r="C318" s="3227" t="s">
        <v>3333</v>
      </c>
      <c r="D318" s="3251" t="s">
        <v>3957</v>
      </c>
      <c r="E318" s="3229">
        <v>44023</v>
      </c>
      <c r="F318" s="3230">
        <v>20000</v>
      </c>
      <c r="G318" s="3231">
        <v>135.32</v>
      </c>
      <c r="H318" s="3231" t="s">
        <v>3335</v>
      </c>
      <c r="I318" s="3230">
        <v>2081737</v>
      </c>
      <c r="J318" s="3229">
        <v>44032</v>
      </c>
      <c r="K318" s="3234">
        <v>7</v>
      </c>
      <c r="L318" s="3230">
        <v>2061737</v>
      </c>
      <c r="M318" s="3235">
        <v>15236.010937038132</v>
      </c>
      <c r="N318" s="3236">
        <v>601737</v>
      </c>
    </row>
    <row r="319" spans="1:14" ht="24">
      <c r="A319" s="3226">
        <v>407</v>
      </c>
      <c r="B319" s="3250" t="s">
        <v>3958</v>
      </c>
      <c r="C319" s="3227" t="s">
        <v>3333</v>
      </c>
      <c r="D319" s="3251" t="s">
        <v>3959</v>
      </c>
      <c r="E319" s="3229">
        <v>44023</v>
      </c>
      <c r="F319" s="3230">
        <v>50000</v>
      </c>
      <c r="G319" s="3231">
        <v>135.32</v>
      </c>
      <c r="H319" s="3231" t="s">
        <v>3335</v>
      </c>
      <c r="I319" s="3230">
        <v>2109638</v>
      </c>
      <c r="J319" s="3229">
        <v>44029</v>
      </c>
      <c r="K319" s="3234">
        <v>7</v>
      </c>
      <c r="L319" s="3230">
        <v>2089638</v>
      </c>
      <c r="M319" s="3235">
        <v>15442.196275495124</v>
      </c>
      <c r="N319" s="3236">
        <v>939638</v>
      </c>
    </row>
    <row r="320" spans="1:14">
      <c r="A320" s="3226">
        <v>408</v>
      </c>
      <c r="B320" s="3250" t="s">
        <v>3960</v>
      </c>
      <c r="C320" s="3227" t="s">
        <v>3333</v>
      </c>
      <c r="D320" s="3251" t="s">
        <v>3961</v>
      </c>
      <c r="E320" s="3229">
        <v>44023</v>
      </c>
      <c r="F320" s="3230">
        <v>50000</v>
      </c>
      <c r="G320" s="3231">
        <v>135.32</v>
      </c>
      <c r="H320" s="3231" t="s">
        <v>3335</v>
      </c>
      <c r="I320" s="3230">
        <v>2137539</v>
      </c>
      <c r="J320" s="3229">
        <v>44028</v>
      </c>
      <c r="K320" s="3234">
        <v>7</v>
      </c>
      <c r="L320" s="3230">
        <v>2117539</v>
      </c>
      <c r="M320" s="3235">
        <v>15648.381613952115</v>
      </c>
      <c r="N320" s="3236">
        <v>867539</v>
      </c>
    </row>
    <row r="321" spans="1:14">
      <c r="A321" s="3226">
        <v>409</v>
      </c>
      <c r="B321" s="3250" t="s">
        <v>3962</v>
      </c>
      <c r="C321" s="3227" t="s">
        <v>3333</v>
      </c>
      <c r="D321" s="3251" t="s">
        <v>3963</v>
      </c>
      <c r="E321" s="3229">
        <v>44023</v>
      </c>
      <c r="F321" s="3230">
        <v>50000</v>
      </c>
      <c r="G321" s="3231">
        <v>135.32</v>
      </c>
      <c r="H321" s="3231" t="s">
        <v>3335</v>
      </c>
      <c r="I321" s="3230">
        <v>2165440</v>
      </c>
      <c r="J321" s="3229">
        <v>44028</v>
      </c>
      <c r="K321" s="3234">
        <v>7</v>
      </c>
      <c r="L321" s="3230">
        <v>2145440</v>
      </c>
      <c r="M321" s="3235">
        <v>15854.566952409104</v>
      </c>
      <c r="N321" s="3236">
        <v>1095440</v>
      </c>
    </row>
    <row r="322" spans="1:14" ht="36">
      <c r="A322" s="3226">
        <v>410</v>
      </c>
      <c r="B322" s="3250" t="s">
        <v>3964</v>
      </c>
      <c r="C322" s="3227" t="s">
        <v>3333</v>
      </c>
      <c r="D322" s="3251" t="s">
        <v>3965</v>
      </c>
      <c r="E322" s="3229">
        <v>44023</v>
      </c>
      <c r="F322" s="3230">
        <v>50000</v>
      </c>
      <c r="G322" s="3231">
        <v>135.32</v>
      </c>
      <c r="H322" s="3231" t="s">
        <v>3335</v>
      </c>
      <c r="I322" s="3230">
        <v>2193341</v>
      </c>
      <c r="J322" s="3229">
        <v>44027</v>
      </c>
      <c r="K322" s="3234">
        <v>7</v>
      </c>
      <c r="L322" s="3230">
        <v>2173341</v>
      </c>
      <c r="M322" s="3235">
        <v>16060.752290866096</v>
      </c>
      <c r="N322" s="3236">
        <v>1323341</v>
      </c>
    </row>
    <row r="323" spans="1:14">
      <c r="A323" s="3226">
        <v>411</v>
      </c>
      <c r="B323" s="3250" t="s">
        <v>3966</v>
      </c>
      <c r="C323" s="3227" t="s">
        <v>3333</v>
      </c>
      <c r="D323" s="3251" t="s">
        <v>3967</v>
      </c>
      <c r="E323" s="3229">
        <v>44025</v>
      </c>
      <c r="F323" s="3230">
        <v>50000</v>
      </c>
      <c r="G323" s="3231">
        <v>135.32</v>
      </c>
      <c r="H323" s="3231" t="s">
        <v>3335</v>
      </c>
      <c r="I323" s="3230">
        <v>2221242</v>
      </c>
      <c r="J323" s="3229">
        <v>44025</v>
      </c>
      <c r="K323" s="3234">
        <v>7</v>
      </c>
      <c r="L323" s="3230">
        <v>2201242</v>
      </c>
      <c r="M323" s="3235">
        <v>16266.937629323087</v>
      </c>
      <c r="N323" s="3236">
        <v>2151242</v>
      </c>
    </row>
    <row r="324" spans="1:14">
      <c r="A324" s="3226">
        <v>412</v>
      </c>
      <c r="B324" s="3250" t="s">
        <v>3968</v>
      </c>
      <c r="C324" s="3227" t="s">
        <v>3333</v>
      </c>
      <c r="D324" s="3251" t="s">
        <v>3969</v>
      </c>
      <c r="E324" s="3229">
        <v>44031</v>
      </c>
      <c r="F324" s="3230">
        <v>50000</v>
      </c>
      <c r="G324" s="3231">
        <v>135.32</v>
      </c>
      <c r="H324" s="3231" t="s">
        <v>3335</v>
      </c>
      <c r="I324" s="3230">
        <v>2095688</v>
      </c>
      <c r="J324" s="3229">
        <v>44043</v>
      </c>
      <c r="K324" s="3234">
        <v>7</v>
      </c>
      <c r="L324" s="3230">
        <v>2095688</v>
      </c>
      <c r="M324" s="3235">
        <v>15486.905113804316</v>
      </c>
      <c r="N324" s="3236">
        <v>585688</v>
      </c>
    </row>
    <row r="325" spans="1:14">
      <c r="A325" s="3226">
        <v>413</v>
      </c>
      <c r="B325" s="3250" t="s">
        <v>3970</v>
      </c>
      <c r="C325" s="3227" t="s">
        <v>3333</v>
      </c>
      <c r="D325" s="3251" t="s">
        <v>3971</v>
      </c>
      <c r="E325" s="3229">
        <v>44023</v>
      </c>
      <c r="F325" s="3230">
        <v>50000</v>
      </c>
      <c r="G325" s="3231">
        <v>135.22</v>
      </c>
      <c r="H325" s="3231" t="s">
        <v>3335</v>
      </c>
      <c r="I325" s="3230">
        <v>1991415</v>
      </c>
      <c r="J325" s="3229">
        <v>44030</v>
      </c>
      <c r="K325" s="3234">
        <v>7</v>
      </c>
      <c r="L325" s="3230">
        <v>1971415</v>
      </c>
      <c r="M325" s="3235">
        <v>14579.315190060643</v>
      </c>
      <c r="N325" s="3236">
        <v>921415</v>
      </c>
    </row>
    <row r="326" spans="1:14">
      <c r="A326" s="3226">
        <v>414</v>
      </c>
      <c r="B326" s="3250" t="s">
        <v>3972</v>
      </c>
      <c r="C326" s="3227" t="s">
        <v>3333</v>
      </c>
      <c r="D326" s="3251" t="s">
        <v>3973</v>
      </c>
      <c r="E326" s="3229">
        <v>44029</v>
      </c>
      <c r="F326" s="3230">
        <v>50000</v>
      </c>
      <c r="G326" s="3231">
        <v>135.32</v>
      </c>
      <c r="H326" s="3231" t="s">
        <v>3335</v>
      </c>
      <c r="I326" s="3230">
        <v>2020774</v>
      </c>
      <c r="J326" s="3229">
        <v>44029</v>
      </c>
      <c r="K326" s="3234">
        <v>7</v>
      </c>
      <c r="L326" s="3230">
        <v>2000774</v>
      </c>
      <c r="M326" s="3235">
        <v>14785.501034584689</v>
      </c>
      <c r="N326" s="3236">
        <v>550774</v>
      </c>
    </row>
    <row r="327" spans="1:14" ht="24">
      <c r="A327" s="3226">
        <v>415</v>
      </c>
      <c r="B327" s="3250" t="s">
        <v>3974</v>
      </c>
      <c r="C327" s="3227" t="s">
        <v>3333</v>
      </c>
      <c r="D327" s="3251" t="s">
        <v>3975</v>
      </c>
      <c r="E327" s="3229">
        <v>44023</v>
      </c>
      <c r="F327" s="3230">
        <v>50000</v>
      </c>
      <c r="G327" s="3231">
        <v>135.32</v>
      </c>
      <c r="H327" s="3231" t="s">
        <v>3335</v>
      </c>
      <c r="I327" s="3230">
        <v>2048675</v>
      </c>
      <c r="J327" s="3229">
        <v>44030</v>
      </c>
      <c r="K327" s="3234">
        <v>7</v>
      </c>
      <c r="L327" s="3230">
        <v>2028675</v>
      </c>
      <c r="M327" s="3235">
        <v>14991.686373041679</v>
      </c>
      <c r="N327" s="3236">
        <v>558675</v>
      </c>
    </row>
    <row r="328" spans="1:14" ht="24">
      <c r="A328" s="3226">
        <v>416</v>
      </c>
      <c r="B328" s="3250" t="s">
        <v>3976</v>
      </c>
      <c r="C328" s="3227" t="s">
        <v>3333</v>
      </c>
      <c r="D328" s="3251" t="s">
        <v>3977</v>
      </c>
      <c r="E328" s="3229">
        <v>44023</v>
      </c>
      <c r="F328" s="3230">
        <v>50000</v>
      </c>
      <c r="G328" s="3231">
        <v>135.32</v>
      </c>
      <c r="H328" s="3231" t="s">
        <v>3335</v>
      </c>
      <c r="I328" s="3230">
        <v>2076576</v>
      </c>
      <c r="J328" s="3229">
        <v>44028</v>
      </c>
      <c r="K328" s="3234">
        <v>7</v>
      </c>
      <c r="L328" s="3230">
        <v>2056576</v>
      </c>
      <c r="M328" s="3235">
        <v>15197.87171149867</v>
      </c>
      <c r="N328" s="3236">
        <v>1026576</v>
      </c>
    </row>
    <row r="329" spans="1:14">
      <c r="A329" s="3226">
        <v>417</v>
      </c>
      <c r="B329" s="3250" t="s">
        <v>3978</v>
      </c>
      <c r="C329" s="3227" t="s">
        <v>3333</v>
      </c>
      <c r="D329" s="3251" t="s">
        <v>3979</v>
      </c>
      <c r="E329" s="3229">
        <v>44023</v>
      </c>
      <c r="F329" s="3230">
        <v>50000</v>
      </c>
      <c r="G329" s="3231">
        <v>135.32</v>
      </c>
      <c r="H329" s="3231" t="s">
        <v>3335</v>
      </c>
      <c r="I329" s="3230">
        <v>2104477</v>
      </c>
      <c r="J329" s="3229">
        <v>44028</v>
      </c>
      <c r="K329" s="3234">
        <v>7</v>
      </c>
      <c r="L329" s="3230">
        <v>2104477</v>
      </c>
      <c r="M329" s="3235">
        <v>15551.854862548034</v>
      </c>
      <c r="N329" s="3236">
        <v>584477</v>
      </c>
    </row>
    <row r="330" spans="1:14" ht="24">
      <c r="A330" s="3226">
        <v>418</v>
      </c>
      <c r="B330" s="3250" t="s">
        <v>3980</v>
      </c>
      <c r="C330" s="3227" t="s">
        <v>3333</v>
      </c>
      <c r="D330" s="3251" t="s">
        <v>3871</v>
      </c>
      <c r="E330" s="3229">
        <v>44028</v>
      </c>
      <c r="F330" s="3230">
        <v>0</v>
      </c>
      <c r="G330" s="3231">
        <v>135.32</v>
      </c>
      <c r="H330" s="3231" t="s">
        <v>3335</v>
      </c>
      <c r="I330" s="3230">
        <v>2132378</v>
      </c>
      <c r="J330" s="3229">
        <v>44028</v>
      </c>
      <c r="K330" s="3234">
        <v>7</v>
      </c>
      <c r="L330" s="3230">
        <v>2132378</v>
      </c>
      <c r="M330" s="3235">
        <v>15758.040201005026</v>
      </c>
      <c r="N330" s="3236">
        <v>642378</v>
      </c>
    </row>
    <row r="331" spans="1:14" ht="24">
      <c r="A331" s="3226">
        <v>419</v>
      </c>
      <c r="B331" s="3250" t="s">
        <v>3981</v>
      </c>
      <c r="C331" s="3227" t="s">
        <v>3333</v>
      </c>
      <c r="D331" s="3251" t="s">
        <v>3982</v>
      </c>
      <c r="E331" s="3229">
        <v>44023</v>
      </c>
      <c r="F331" s="3230">
        <v>50000</v>
      </c>
      <c r="G331" s="3231">
        <v>135.32</v>
      </c>
      <c r="H331" s="3231" t="s">
        <v>3335</v>
      </c>
      <c r="I331" s="3230">
        <v>2160279</v>
      </c>
      <c r="J331" s="3229">
        <v>44029</v>
      </c>
      <c r="K331" s="3234">
        <v>7</v>
      </c>
      <c r="L331" s="3230">
        <v>2140279</v>
      </c>
      <c r="M331" s="3235">
        <v>15816.427726869642</v>
      </c>
      <c r="N331" s="3236">
        <v>600279</v>
      </c>
    </row>
    <row r="332" spans="1:14">
      <c r="A332" s="3226">
        <v>420</v>
      </c>
      <c r="B332" s="3250" t="s">
        <v>3983</v>
      </c>
      <c r="C332" s="3227" t="s">
        <v>3333</v>
      </c>
      <c r="D332" s="3251" t="s">
        <v>3984</v>
      </c>
      <c r="E332" s="3229">
        <v>44023</v>
      </c>
      <c r="F332" s="3230">
        <v>50000</v>
      </c>
      <c r="G332" s="3231">
        <v>135.32</v>
      </c>
      <c r="H332" s="3231" t="s">
        <v>3335</v>
      </c>
      <c r="I332" s="3230">
        <v>2188180</v>
      </c>
      <c r="J332" s="3229">
        <v>44029</v>
      </c>
      <c r="K332" s="3234">
        <v>7</v>
      </c>
      <c r="L332" s="3230">
        <v>2168180</v>
      </c>
      <c r="M332" s="3235">
        <v>16022.613065326634</v>
      </c>
      <c r="N332" s="3236">
        <v>2118180</v>
      </c>
    </row>
    <row r="333" spans="1:14" ht="24">
      <c r="A333" s="3226">
        <v>421</v>
      </c>
      <c r="B333" s="3250" t="s">
        <v>3985</v>
      </c>
      <c r="C333" s="3227" t="s">
        <v>3333</v>
      </c>
      <c r="D333" s="3251" t="s">
        <v>3986</v>
      </c>
      <c r="E333" s="3229">
        <v>44023</v>
      </c>
      <c r="F333" s="3230">
        <v>50000</v>
      </c>
      <c r="G333" s="3231">
        <v>135.32</v>
      </c>
      <c r="H333" s="3231" t="s">
        <v>3335</v>
      </c>
      <c r="I333" s="3230">
        <v>2216081</v>
      </c>
      <c r="J333" s="3229">
        <v>44029</v>
      </c>
      <c r="K333" s="3234">
        <v>7</v>
      </c>
      <c r="L333" s="3230">
        <v>2196081</v>
      </c>
      <c r="M333" s="3235">
        <v>16228.798403783625</v>
      </c>
      <c r="N333" s="3236">
        <v>1146081</v>
      </c>
    </row>
    <row r="334" spans="1:14" ht="24">
      <c r="A334" s="3226">
        <v>422</v>
      </c>
      <c r="B334" s="3250" t="s">
        <v>3987</v>
      </c>
      <c r="C334" s="3227" t="s">
        <v>3333</v>
      </c>
      <c r="D334" s="3251" t="s">
        <v>3988</v>
      </c>
      <c r="E334" s="3229">
        <v>44023</v>
      </c>
      <c r="F334" s="3230">
        <v>50000</v>
      </c>
      <c r="G334" s="3231">
        <v>135.32</v>
      </c>
      <c r="H334" s="3231" t="s">
        <v>3335</v>
      </c>
      <c r="I334" s="3230">
        <v>2090527</v>
      </c>
      <c r="J334" s="3229">
        <v>44028</v>
      </c>
      <c r="K334" s="3234">
        <v>7</v>
      </c>
      <c r="L334" s="3230">
        <v>2070527</v>
      </c>
      <c r="M334" s="3235">
        <v>15300.968075672481</v>
      </c>
      <c r="N334" s="3236">
        <v>680527</v>
      </c>
    </row>
    <row r="335" spans="1:14">
      <c r="A335" s="3226">
        <v>423</v>
      </c>
      <c r="B335" s="3250" t="s">
        <v>3989</v>
      </c>
      <c r="C335" s="3227" t="s">
        <v>3333</v>
      </c>
      <c r="D335" s="3251" t="s">
        <v>3990</v>
      </c>
      <c r="E335" s="3229">
        <v>44023</v>
      </c>
      <c r="F335" s="3230">
        <v>50000</v>
      </c>
      <c r="G335" s="3231">
        <v>135.32</v>
      </c>
      <c r="H335" s="3231" t="s">
        <v>3335</v>
      </c>
      <c r="I335" s="3230">
        <v>1987711</v>
      </c>
      <c r="J335" s="3229">
        <v>44029</v>
      </c>
      <c r="K335" s="3234">
        <v>7</v>
      </c>
      <c r="L335" s="3230">
        <v>1987711</v>
      </c>
      <c r="M335" s="3235">
        <v>14688.96689328998</v>
      </c>
      <c r="N335" s="3236">
        <v>547711</v>
      </c>
    </row>
    <row r="336" spans="1:14">
      <c r="A336" s="3226">
        <v>424</v>
      </c>
      <c r="B336" s="3250" t="s">
        <v>3991</v>
      </c>
      <c r="C336" s="3227" t="s">
        <v>3333</v>
      </c>
      <c r="D336" s="3251" t="s">
        <v>3992</v>
      </c>
      <c r="E336" s="3229">
        <v>44023</v>
      </c>
      <c r="F336" s="3230">
        <v>50000</v>
      </c>
      <c r="G336" s="3231">
        <v>135.32</v>
      </c>
      <c r="H336" s="3231" t="s">
        <v>3335</v>
      </c>
      <c r="I336" s="3230">
        <v>2015612</v>
      </c>
      <c r="J336" s="3229">
        <v>44028</v>
      </c>
      <c r="K336" s="3234">
        <v>7</v>
      </c>
      <c r="L336" s="3230">
        <v>1995612</v>
      </c>
      <c r="M336" s="3235">
        <v>14747.354419154597</v>
      </c>
      <c r="N336" s="3236">
        <v>555612</v>
      </c>
    </row>
    <row r="337" spans="1:14">
      <c r="A337" s="3226">
        <v>425</v>
      </c>
      <c r="B337" s="3250" t="s">
        <v>3993</v>
      </c>
      <c r="C337" s="3227" t="s">
        <v>3333</v>
      </c>
      <c r="D337" s="3251" t="s">
        <v>3994</v>
      </c>
      <c r="E337" s="3229">
        <v>44029</v>
      </c>
      <c r="F337" s="3230">
        <v>50000</v>
      </c>
      <c r="G337" s="3231">
        <v>135.32</v>
      </c>
      <c r="H337" s="3231" t="s">
        <v>3335</v>
      </c>
      <c r="I337" s="3230">
        <v>2043513</v>
      </c>
      <c r="J337" s="3229">
        <v>44029</v>
      </c>
      <c r="K337" s="3234">
        <v>7</v>
      </c>
      <c r="L337" s="3230">
        <v>2023513</v>
      </c>
      <c r="M337" s="3235">
        <v>14953.539757611588</v>
      </c>
      <c r="N337" s="3236">
        <v>573513</v>
      </c>
    </row>
    <row r="338" spans="1:14">
      <c r="A338" s="3226">
        <v>426</v>
      </c>
      <c r="B338" s="3250" t="s">
        <v>3995</v>
      </c>
      <c r="C338" s="3227" t="s">
        <v>3333</v>
      </c>
      <c r="D338" s="3251" t="s">
        <v>3996</v>
      </c>
      <c r="E338" s="3229">
        <v>44023</v>
      </c>
      <c r="F338" s="3230">
        <v>50000</v>
      </c>
      <c r="G338" s="3231">
        <v>135.32</v>
      </c>
      <c r="H338" s="3231" t="s">
        <v>3335</v>
      </c>
      <c r="I338" s="3230">
        <v>2071414</v>
      </c>
      <c r="J338" s="3229">
        <v>44029</v>
      </c>
      <c r="K338" s="3234">
        <v>7</v>
      </c>
      <c r="L338" s="3230">
        <v>2071414</v>
      </c>
      <c r="M338" s="3235">
        <v>15307.522908660952</v>
      </c>
      <c r="N338" s="3236">
        <v>1421414</v>
      </c>
    </row>
    <row r="339" spans="1:14">
      <c r="A339" s="3226">
        <v>427</v>
      </c>
      <c r="B339" s="3250" t="s">
        <v>3997</v>
      </c>
      <c r="C339" s="3227" t="s">
        <v>3333</v>
      </c>
      <c r="D339" s="3251" t="s">
        <v>3998</v>
      </c>
      <c r="E339" s="3229">
        <v>44023</v>
      </c>
      <c r="F339" s="3230">
        <v>50000</v>
      </c>
      <c r="G339" s="3231">
        <v>135.32</v>
      </c>
      <c r="H339" s="3231" t="s">
        <v>3335</v>
      </c>
      <c r="I339" s="3230">
        <v>2099315</v>
      </c>
      <c r="J339" s="3229">
        <v>44028</v>
      </c>
      <c r="K339" s="3234">
        <v>7</v>
      </c>
      <c r="L339" s="3230">
        <v>2079315</v>
      </c>
      <c r="M339" s="3235">
        <v>15365.910434525569</v>
      </c>
      <c r="N339" s="3236">
        <v>729315</v>
      </c>
    </row>
    <row r="340" spans="1:14">
      <c r="A340" s="3226">
        <v>428</v>
      </c>
      <c r="B340" s="3250" t="s">
        <v>3999</v>
      </c>
      <c r="C340" s="3227" t="s">
        <v>3333</v>
      </c>
      <c r="D340" s="3251" t="s">
        <v>4000</v>
      </c>
      <c r="E340" s="3229">
        <v>44023</v>
      </c>
      <c r="F340" s="3230">
        <v>50000</v>
      </c>
      <c r="G340" s="3231">
        <v>135.32</v>
      </c>
      <c r="H340" s="3231" t="s">
        <v>3335</v>
      </c>
      <c r="I340" s="3230">
        <v>2127216</v>
      </c>
      <c r="J340" s="3229">
        <v>44028</v>
      </c>
      <c r="K340" s="3234">
        <v>7</v>
      </c>
      <c r="L340" s="3230">
        <v>2107216</v>
      </c>
      <c r="M340" s="3235">
        <v>15572.09577298256</v>
      </c>
      <c r="N340" s="3236">
        <v>1557216</v>
      </c>
    </row>
    <row r="341" spans="1:14" ht="24">
      <c r="A341" s="3226">
        <v>429</v>
      </c>
      <c r="B341" s="3250" t="s">
        <v>4001</v>
      </c>
      <c r="C341" s="3227" t="s">
        <v>3333</v>
      </c>
      <c r="D341" s="3251" t="s">
        <v>4002</v>
      </c>
      <c r="E341" s="3229">
        <v>44023</v>
      </c>
      <c r="F341" s="3230">
        <v>50000</v>
      </c>
      <c r="G341" s="3231">
        <v>135.32</v>
      </c>
      <c r="H341" s="3231" t="s">
        <v>3335</v>
      </c>
      <c r="I341" s="3230">
        <v>2155118</v>
      </c>
      <c r="J341" s="3229">
        <v>44027</v>
      </c>
      <c r="K341" s="3234">
        <v>7</v>
      </c>
      <c r="L341" s="3230">
        <v>2135118</v>
      </c>
      <c r="M341" s="3235">
        <v>15778.28850133018</v>
      </c>
      <c r="N341" s="3236">
        <v>885118</v>
      </c>
    </row>
    <row r="342" spans="1:14" ht="24">
      <c r="A342" s="3226">
        <v>430</v>
      </c>
      <c r="B342" s="3250" t="s">
        <v>4003</v>
      </c>
      <c r="C342" s="3227" t="s">
        <v>3333</v>
      </c>
      <c r="D342" s="3251" t="s">
        <v>4004</v>
      </c>
      <c r="E342" s="3229">
        <v>44023</v>
      </c>
      <c r="F342" s="3230">
        <v>50000</v>
      </c>
      <c r="G342" s="3231">
        <v>135.32</v>
      </c>
      <c r="H342" s="3231" t="s">
        <v>3335</v>
      </c>
      <c r="I342" s="3230">
        <v>2183019</v>
      </c>
      <c r="J342" s="3229">
        <v>44028</v>
      </c>
      <c r="K342" s="3234">
        <v>7</v>
      </c>
      <c r="L342" s="3230">
        <v>2163019</v>
      </c>
      <c r="M342" s="3235">
        <v>15984.473839787172</v>
      </c>
      <c r="N342" s="3236">
        <v>1313019</v>
      </c>
    </row>
    <row r="343" spans="1:14">
      <c r="A343" s="3226">
        <v>431</v>
      </c>
      <c r="B343" s="3250" t="s">
        <v>4005</v>
      </c>
      <c r="C343" s="3227" t="s">
        <v>3333</v>
      </c>
      <c r="D343" s="3251" t="s">
        <v>4006</v>
      </c>
      <c r="E343" s="3229">
        <v>44024</v>
      </c>
      <c r="F343" s="3230">
        <v>50000</v>
      </c>
      <c r="G343" s="3231">
        <v>135.32</v>
      </c>
      <c r="H343" s="3231" t="s">
        <v>3335</v>
      </c>
      <c r="I343" s="3230">
        <v>2210920</v>
      </c>
      <c r="J343" s="3229">
        <v>44029</v>
      </c>
      <c r="K343" s="3234">
        <v>7</v>
      </c>
      <c r="L343" s="3230">
        <v>2210920</v>
      </c>
      <c r="M343" s="3235">
        <v>16338.456990836536</v>
      </c>
      <c r="N343" s="3236">
        <v>620920</v>
      </c>
    </row>
    <row r="344" spans="1:14">
      <c r="A344" s="3226">
        <v>432</v>
      </c>
      <c r="B344" s="3250" t="s">
        <v>4007</v>
      </c>
      <c r="C344" s="3227" t="s">
        <v>3333</v>
      </c>
      <c r="D344" s="3251" t="s">
        <v>4008</v>
      </c>
      <c r="E344" s="3229">
        <v>44029</v>
      </c>
      <c r="F344" s="3230">
        <v>50000</v>
      </c>
      <c r="G344" s="3231">
        <v>135.32</v>
      </c>
      <c r="H344" s="3231" t="s">
        <v>3335</v>
      </c>
      <c r="I344" s="3230">
        <v>2085365</v>
      </c>
      <c r="J344" s="3229">
        <v>44029</v>
      </c>
      <c r="K344" s="3234">
        <v>7</v>
      </c>
      <c r="L344" s="3230">
        <v>2065365</v>
      </c>
      <c r="M344" s="3235">
        <v>15262.821460242389</v>
      </c>
      <c r="N344" s="3236">
        <v>575365</v>
      </c>
    </row>
    <row r="345" spans="1:14">
      <c r="A345" s="3226">
        <v>433</v>
      </c>
      <c r="B345" s="3250" t="s">
        <v>4009</v>
      </c>
      <c r="C345" s="3227" t="s">
        <v>3333</v>
      </c>
      <c r="D345" s="3251" t="s">
        <v>4010</v>
      </c>
      <c r="E345" s="3229">
        <v>44023</v>
      </c>
      <c r="F345" s="3230">
        <v>50000</v>
      </c>
      <c r="G345" s="3231">
        <v>135.32</v>
      </c>
      <c r="H345" s="3231" t="s">
        <v>3335</v>
      </c>
      <c r="I345" s="3230">
        <v>1982549</v>
      </c>
      <c r="J345" s="3229">
        <v>44029</v>
      </c>
      <c r="K345" s="3234">
        <v>7</v>
      </c>
      <c r="L345" s="3230">
        <v>1962549</v>
      </c>
      <c r="M345" s="3235">
        <v>14503.022465267515</v>
      </c>
      <c r="N345" s="3236">
        <v>1312549</v>
      </c>
    </row>
    <row r="346" spans="1:14">
      <c r="A346" s="3226">
        <v>434</v>
      </c>
      <c r="B346" s="3250" t="s">
        <v>4011</v>
      </c>
      <c r="C346" s="3227" t="s">
        <v>3333</v>
      </c>
      <c r="D346" s="3251" t="s">
        <v>3953</v>
      </c>
      <c r="E346" s="3229">
        <v>44029</v>
      </c>
      <c r="F346" s="3230">
        <v>0</v>
      </c>
      <c r="G346" s="3231">
        <v>135.32</v>
      </c>
      <c r="H346" s="3231" t="s">
        <v>3335</v>
      </c>
      <c r="I346" s="3230">
        <v>2010451</v>
      </c>
      <c r="J346" s="3229">
        <v>44029</v>
      </c>
      <c r="K346" s="3234">
        <v>7</v>
      </c>
      <c r="L346" s="3230">
        <v>1990451</v>
      </c>
      <c r="M346" s="3235">
        <v>14709.215193615135</v>
      </c>
      <c r="N346" s="3236">
        <v>1990451</v>
      </c>
    </row>
    <row r="347" spans="1:14" ht="24">
      <c r="A347" s="3226">
        <v>435</v>
      </c>
      <c r="B347" s="3250" t="s">
        <v>4012</v>
      </c>
      <c r="C347" s="3227" t="s">
        <v>3333</v>
      </c>
      <c r="D347" s="3251" t="s">
        <v>4013</v>
      </c>
      <c r="E347" s="3229">
        <v>44023</v>
      </c>
      <c r="F347" s="3230">
        <v>50000</v>
      </c>
      <c r="G347" s="3231">
        <v>135.32</v>
      </c>
      <c r="H347" s="3231" t="s">
        <v>3335</v>
      </c>
      <c r="I347" s="3230">
        <v>2038352</v>
      </c>
      <c r="J347" s="3229">
        <v>44028</v>
      </c>
      <c r="K347" s="3234">
        <v>7</v>
      </c>
      <c r="L347" s="3230">
        <v>2018352</v>
      </c>
      <c r="M347" s="3235">
        <v>14915.400532072126</v>
      </c>
      <c r="N347" s="3236">
        <v>1358352</v>
      </c>
    </row>
    <row r="348" spans="1:14" ht="24">
      <c r="A348" s="3226">
        <v>436</v>
      </c>
      <c r="B348" s="3250" t="s">
        <v>4014</v>
      </c>
      <c r="C348" s="3227" t="s">
        <v>3333</v>
      </c>
      <c r="D348" s="3251" t="s">
        <v>4015</v>
      </c>
      <c r="E348" s="3229">
        <v>44023</v>
      </c>
      <c r="F348" s="3230">
        <v>50000</v>
      </c>
      <c r="G348" s="3231">
        <v>135.32</v>
      </c>
      <c r="H348" s="3231" t="s">
        <v>3335</v>
      </c>
      <c r="I348" s="3230">
        <v>2066253</v>
      </c>
      <c r="J348" s="3229">
        <v>44028</v>
      </c>
      <c r="K348" s="3234">
        <v>7</v>
      </c>
      <c r="L348" s="3230">
        <v>2046253</v>
      </c>
      <c r="M348" s="3235">
        <v>15121.585870529118</v>
      </c>
      <c r="N348" s="3236">
        <v>1996253</v>
      </c>
    </row>
    <row r="349" spans="1:14" ht="24">
      <c r="A349" s="3226">
        <v>437</v>
      </c>
      <c r="B349" s="3250" t="s">
        <v>4016</v>
      </c>
      <c r="C349" s="3227" t="s">
        <v>3333</v>
      </c>
      <c r="D349" s="3251" t="s">
        <v>4017</v>
      </c>
      <c r="E349" s="3229">
        <v>44023</v>
      </c>
      <c r="F349" s="3230">
        <v>50000</v>
      </c>
      <c r="G349" s="3231">
        <v>135.32</v>
      </c>
      <c r="H349" s="3231" t="s">
        <v>3335</v>
      </c>
      <c r="I349" s="3230">
        <v>2094154</v>
      </c>
      <c r="J349" s="3229">
        <v>44025</v>
      </c>
      <c r="K349" s="3234">
        <v>7</v>
      </c>
      <c r="L349" s="3230">
        <v>2074154</v>
      </c>
      <c r="M349" s="3235">
        <v>15327.771208986107</v>
      </c>
      <c r="N349" s="3236">
        <v>924154</v>
      </c>
    </row>
    <row r="350" spans="1:14" ht="24">
      <c r="A350" s="3226">
        <v>438</v>
      </c>
      <c r="B350" s="3250" t="s">
        <v>4018</v>
      </c>
      <c r="C350" s="3227" t="s">
        <v>3333</v>
      </c>
      <c r="D350" s="3251" t="s">
        <v>4019</v>
      </c>
      <c r="E350" s="3229">
        <v>44023</v>
      </c>
      <c r="F350" s="3230">
        <v>50000</v>
      </c>
      <c r="G350" s="3231">
        <v>135.32</v>
      </c>
      <c r="H350" s="3231" t="s">
        <v>3335</v>
      </c>
      <c r="I350" s="3230">
        <v>2122055</v>
      </c>
      <c r="J350" s="3229">
        <v>44027</v>
      </c>
      <c r="K350" s="3234">
        <v>7</v>
      </c>
      <c r="L350" s="3230">
        <v>2102055</v>
      </c>
      <c r="M350" s="3235">
        <v>15533.956547443098</v>
      </c>
      <c r="N350" s="3236">
        <v>1602055</v>
      </c>
    </row>
    <row r="351" spans="1:14">
      <c r="A351" s="3226">
        <v>439</v>
      </c>
      <c r="B351" s="3250" t="s">
        <v>4020</v>
      </c>
      <c r="C351" s="3227" t="s">
        <v>3333</v>
      </c>
      <c r="D351" s="3251" t="s">
        <v>4021</v>
      </c>
      <c r="E351" s="3229">
        <v>44023</v>
      </c>
      <c r="F351" s="3230">
        <v>50000</v>
      </c>
      <c r="G351" s="3231">
        <v>135.32</v>
      </c>
      <c r="H351" s="3231" t="s">
        <v>3335</v>
      </c>
      <c r="I351" s="3230">
        <v>2149956</v>
      </c>
      <c r="J351" s="3229">
        <v>44026</v>
      </c>
      <c r="K351" s="3234">
        <v>7</v>
      </c>
      <c r="L351" s="3230">
        <v>2129956</v>
      </c>
      <c r="M351" s="3235">
        <v>15740.14188590009</v>
      </c>
      <c r="N351" s="3236">
        <v>589956</v>
      </c>
    </row>
    <row r="352" spans="1:14" ht="24">
      <c r="A352" s="3226">
        <v>440</v>
      </c>
      <c r="B352" s="3250" t="s">
        <v>4022</v>
      </c>
      <c r="C352" s="3227" t="s">
        <v>3333</v>
      </c>
      <c r="D352" s="3251" t="s">
        <v>4023</v>
      </c>
      <c r="E352" s="3229">
        <v>44023</v>
      </c>
      <c r="F352" s="3230">
        <v>50000</v>
      </c>
      <c r="G352" s="3231">
        <v>135.32</v>
      </c>
      <c r="H352" s="3231" t="s">
        <v>3335</v>
      </c>
      <c r="I352" s="3230">
        <v>2177857</v>
      </c>
      <c r="J352" s="3229">
        <v>44029</v>
      </c>
      <c r="K352" s="3234">
        <v>7</v>
      </c>
      <c r="L352" s="3230">
        <v>2177857</v>
      </c>
      <c r="M352" s="3235">
        <v>16094.125036949454</v>
      </c>
      <c r="N352" s="3236">
        <v>1127857</v>
      </c>
    </row>
    <row r="353" spans="1:14">
      <c r="A353" s="3226">
        <v>441</v>
      </c>
      <c r="B353" s="3250" t="s">
        <v>4024</v>
      </c>
      <c r="C353" s="3227" t="s">
        <v>3333</v>
      </c>
      <c r="D353" s="3251" t="s">
        <v>3648</v>
      </c>
      <c r="E353" s="3229">
        <v>44027</v>
      </c>
      <c r="F353" s="3230">
        <v>0</v>
      </c>
      <c r="G353" s="3231">
        <v>135.32</v>
      </c>
      <c r="H353" s="3231" t="s">
        <v>3335</v>
      </c>
      <c r="I353" s="3230">
        <v>2205758</v>
      </c>
      <c r="J353" s="3229">
        <v>44027</v>
      </c>
      <c r="K353" s="3234">
        <v>7</v>
      </c>
      <c r="L353" s="3230">
        <v>2185758</v>
      </c>
      <c r="M353" s="3235">
        <v>16152.51256281407</v>
      </c>
      <c r="N353" s="3236">
        <v>635758</v>
      </c>
    </row>
    <row r="354" spans="1:14">
      <c r="A354" s="3226">
        <v>442</v>
      </c>
      <c r="B354" s="3250" t="s">
        <v>4025</v>
      </c>
      <c r="C354" s="3227" t="s">
        <v>3333</v>
      </c>
      <c r="D354" s="3251" t="s">
        <v>4026</v>
      </c>
      <c r="E354" s="3229">
        <v>44023</v>
      </c>
      <c r="F354" s="3230">
        <v>50000</v>
      </c>
      <c r="G354" s="3231">
        <v>135.32</v>
      </c>
      <c r="H354" s="3231" t="s">
        <v>3335</v>
      </c>
      <c r="I354" s="3230">
        <v>2080203</v>
      </c>
      <c r="J354" s="3229">
        <v>44025</v>
      </c>
      <c r="K354" s="3234">
        <v>7</v>
      </c>
      <c r="L354" s="3230">
        <v>2060203</v>
      </c>
      <c r="M354" s="3235">
        <v>15224.674844812298</v>
      </c>
      <c r="N354" s="3236">
        <v>570203</v>
      </c>
    </row>
    <row r="355" spans="1:14" ht="24">
      <c r="A355" s="3226">
        <v>443</v>
      </c>
      <c r="B355" s="3250" t="s">
        <v>4027</v>
      </c>
      <c r="C355" s="3227" t="s">
        <v>3333</v>
      </c>
      <c r="D355" s="3251" t="s">
        <v>4028</v>
      </c>
      <c r="E355" s="3229">
        <v>44023</v>
      </c>
      <c r="F355" s="3230">
        <v>50000</v>
      </c>
      <c r="G355" s="3231">
        <v>138.25</v>
      </c>
      <c r="H355" s="3231" t="s">
        <v>3335</v>
      </c>
      <c r="I355" s="3230">
        <v>2103633</v>
      </c>
      <c r="J355" s="3229">
        <v>44029</v>
      </c>
      <c r="K355" s="3234">
        <v>7</v>
      </c>
      <c r="L355" s="3230">
        <v>2083633</v>
      </c>
      <c r="M355" s="3235">
        <v>15071.486437613019</v>
      </c>
      <c r="N355" s="3236">
        <v>733633</v>
      </c>
    </row>
    <row r="356" spans="1:14" ht="24">
      <c r="A356" s="3226">
        <v>444</v>
      </c>
      <c r="B356" s="3250" t="s">
        <v>4029</v>
      </c>
      <c r="C356" s="3227" t="s">
        <v>3333</v>
      </c>
      <c r="D356" s="3251" t="s">
        <v>4030</v>
      </c>
      <c r="E356" s="3229">
        <v>44023</v>
      </c>
      <c r="F356" s="3230">
        <v>50000</v>
      </c>
      <c r="G356" s="3231">
        <v>138.25</v>
      </c>
      <c r="H356" s="3231" t="s">
        <v>3335</v>
      </c>
      <c r="I356" s="3230">
        <v>2132138</v>
      </c>
      <c r="J356" s="3229">
        <v>44028</v>
      </c>
      <c r="K356" s="3234">
        <v>7</v>
      </c>
      <c r="L356" s="3230">
        <v>2112138</v>
      </c>
      <c r="M356" s="3235">
        <v>15277.67088607595</v>
      </c>
      <c r="N356" s="3236">
        <v>584138</v>
      </c>
    </row>
    <row r="357" spans="1:14" ht="24">
      <c r="A357" s="3226">
        <v>445</v>
      </c>
      <c r="B357" s="3250" t="s">
        <v>4031</v>
      </c>
      <c r="C357" s="3227" t="s">
        <v>3333</v>
      </c>
      <c r="D357" s="3251" t="s">
        <v>4032</v>
      </c>
      <c r="E357" s="3229">
        <v>44023</v>
      </c>
      <c r="F357" s="3230">
        <v>50000</v>
      </c>
      <c r="G357" s="3231">
        <v>138.25</v>
      </c>
      <c r="H357" s="3231" t="s">
        <v>3335</v>
      </c>
      <c r="I357" s="3230">
        <v>2160643</v>
      </c>
      <c r="J357" s="3229">
        <v>44028</v>
      </c>
      <c r="K357" s="3234">
        <v>7</v>
      </c>
      <c r="L357" s="3230">
        <v>2140643</v>
      </c>
      <c r="M357" s="3235">
        <v>15483.855334538879</v>
      </c>
      <c r="N357" s="3236">
        <v>610643</v>
      </c>
    </row>
    <row r="358" spans="1:14">
      <c r="A358" s="3226">
        <v>446</v>
      </c>
      <c r="B358" s="3250" t="s">
        <v>4033</v>
      </c>
      <c r="C358" s="3227" t="s">
        <v>3333</v>
      </c>
      <c r="D358" s="3251" t="s">
        <v>4034</v>
      </c>
      <c r="E358" s="3229">
        <v>44023</v>
      </c>
      <c r="F358" s="3230">
        <v>50000</v>
      </c>
      <c r="G358" s="3231">
        <v>138.25</v>
      </c>
      <c r="H358" s="3231" t="s">
        <v>3335</v>
      </c>
      <c r="I358" s="3230">
        <v>2189148</v>
      </c>
      <c r="J358" s="3229">
        <v>44029</v>
      </c>
      <c r="K358" s="3234">
        <v>7</v>
      </c>
      <c r="L358" s="3230">
        <v>2169148</v>
      </c>
      <c r="M358" s="3235">
        <v>15690.039783001808</v>
      </c>
      <c r="N358" s="3236">
        <v>609148</v>
      </c>
    </row>
    <row r="359" spans="1:14">
      <c r="A359" s="3226">
        <v>447</v>
      </c>
      <c r="B359" s="3250" t="s">
        <v>4035</v>
      </c>
      <c r="C359" s="3227" t="s">
        <v>3333</v>
      </c>
      <c r="D359" s="3251" t="s">
        <v>4036</v>
      </c>
      <c r="E359" s="3229">
        <v>44023</v>
      </c>
      <c r="F359" s="3230">
        <v>50000</v>
      </c>
      <c r="G359" s="3231">
        <v>138.25</v>
      </c>
      <c r="H359" s="3231" t="s">
        <v>3335</v>
      </c>
      <c r="I359" s="3230">
        <v>2217654</v>
      </c>
      <c r="J359" s="3229">
        <v>44029</v>
      </c>
      <c r="K359" s="3234">
        <v>7</v>
      </c>
      <c r="L359" s="3230">
        <v>2197654</v>
      </c>
      <c r="M359" s="3235">
        <v>15896.231464737793</v>
      </c>
      <c r="N359" s="3236">
        <v>617654</v>
      </c>
    </row>
    <row r="360" spans="1:14">
      <c r="A360" s="3226">
        <v>448</v>
      </c>
      <c r="B360" s="3250" t="s">
        <v>4037</v>
      </c>
      <c r="C360" s="3227" t="s">
        <v>3333</v>
      </c>
      <c r="D360" s="3251" t="s">
        <v>4038</v>
      </c>
      <c r="E360" s="3229">
        <v>44037</v>
      </c>
      <c r="F360" s="3230">
        <v>0</v>
      </c>
      <c r="G360" s="3231">
        <v>138.25</v>
      </c>
      <c r="H360" s="3231" t="s">
        <v>3335</v>
      </c>
      <c r="I360" s="3230">
        <v>2246159</v>
      </c>
      <c r="J360" s="3229">
        <v>44037</v>
      </c>
      <c r="K360" s="3234">
        <v>7</v>
      </c>
      <c r="L360" s="3230">
        <v>2226159</v>
      </c>
      <c r="M360" s="3235">
        <v>16102.415913200723</v>
      </c>
      <c r="N360" s="3236">
        <v>726159</v>
      </c>
    </row>
    <row r="361" spans="1:14" ht="24">
      <c r="A361" s="3226">
        <v>449</v>
      </c>
      <c r="B361" s="3250" t="s">
        <v>4039</v>
      </c>
      <c r="C361" s="3227" t="s">
        <v>3333</v>
      </c>
      <c r="D361" s="3251" t="s">
        <v>4040</v>
      </c>
      <c r="E361" s="3229">
        <v>44027</v>
      </c>
      <c r="F361" s="3230">
        <v>50000</v>
      </c>
      <c r="G361" s="3231">
        <v>138.25</v>
      </c>
      <c r="H361" s="3231" t="s">
        <v>3335</v>
      </c>
      <c r="I361" s="3230">
        <v>2274664</v>
      </c>
      <c r="J361" s="3229">
        <v>44027</v>
      </c>
      <c r="K361" s="3234">
        <v>7</v>
      </c>
      <c r="L361" s="3230">
        <v>2254664</v>
      </c>
      <c r="M361" s="3235">
        <v>16308.600361663654</v>
      </c>
      <c r="N361" s="3236">
        <v>634664</v>
      </c>
    </row>
    <row r="362" spans="1:14">
      <c r="A362" s="3226">
        <v>450</v>
      </c>
      <c r="B362" s="3250" t="s">
        <v>4041</v>
      </c>
      <c r="C362" s="3227" t="s">
        <v>3333</v>
      </c>
      <c r="D362" s="3251" t="s">
        <v>4042</v>
      </c>
      <c r="E362" s="3229">
        <v>44023</v>
      </c>
      <c r="F362" s="3230">
        <v>50000</v>
      </c>
      <c r="G362" s="3231">
        <v>138.25</v>
      </c>
      <c r="H362" s="3231" t="s">
        <v>3335</v>
      </c>
      <c r="I362" s="3230">
        <v>2303169</v>
      </c>
      <c r="J362" s="3229">
        <v>44027</v>
      </c>
      <c r="K362" s="3234">
        <v>7</v>
      </c>
      <c r="L362" s="3230">
        <v>2283169</v>
      </c>
      <c r="M362" s="3235">
        <v>16514.784810126581</v>
      </c>
      <c r="N362" s="3236">
        <v>643169</v>
      </c>
    </row>
    <row r="363" spans="1:14" ht="24">
      <c r="A363" s="3226">
        <v>451</v>
      </c>
      <c r="B363" s="3250" t="s">
        <v>4043</v>
      </c>
      <c r="C363" s="3227" t="s">
        <v>3333</v>
      </c>
      <c r="D363" s="3251" t="s">
        <v>4044</v>
      </c>
      <c r="E363" s="3229">
        <v>44023</v>
      </c>
      <c r="F363" s="3230">
        <v>50000</v>
      </c>
      <c r="G363" s="3231">
        <v>138.25</v>
      </c>
      <c r="H363" s="3231" t="s">
        <v>3335</v>
      </c>
      <c r="I363" s="3230">
        <v>2174896</v>
      </c>
      <c r="J363" s="3229">
        <v>44028</v>
      </c>
      <c r="K363" s="3234">
        <v>7</v>
      </c>
      <c r="L363" s="3230">
        <v>2154896</v>
      </c>
      <c r="M363" s="3235">
        <v>15586.951175406872</v>
      </c>
      <c r="N363" s="3236">
        <v>604896</v>
      </c>
    </row>
    <row r="364" spans="1:14">
      <c r="A364" s="3226">
        <v>494</v>
      </c>
      <c r="B364" s="3250" t="s">
        <v>4045</v>
      </c>
      <c r="C364" s="3227" t="s">
        <v>920</v>
      </c>
      <c r="D364" s="3251" t="s">
        <v>4046</v>
      </c>
      <c r="E364" s="3229">
        <v>44044</v>
      </c>
      <c r="F364" s="3230">
        <v>50000</v>
      </c>
      <c r="G364" s="3231">
        <v>151.06</v>
      </c>
      <c r="H364" s="3231" t="s">
        <v>3438</v>
      </c>
      <c r="I364" s="3230">
        <v>2293901</v>
      </c>
      <c r="J364" s="3229">
        <v>44047</v>
      </c>
      <c r="K364" s="3234">
        <v>8</v>
      </c>
      <c r="L364" s="3230">
        <v>2293901</v>
      </c>
      <c r="M364" s="3235">
        <v>15185.363431748974</v>
      </c>
      <c r="N364" s="3236">
        <v>643901</v>
      </c>
    </row>
    <row r="365" spans="1:14">
      <c r="A365" s="3226">
        <v>495</v>
      </c>
      <c r="B365" s="3250" t="s">
        <v>4047</v>
      </c>
      <c r="C365" s="3227" t="s">
        <v>920</v>
      </c>
      <c r="D365" s="3251" t="s">
        <v>4048</v>
      </c>
      <c r="E365" s="3229">
        <v>44044</v>
      </c>
      <c r="F365" s="3230">
        <v>20000</v>
      </c>
      <c r="G365" s="3231">
        <v>151.06</v>
      </c>
      <c r="H365" s="3231" t="s">
        <v>3438</v>
      </c>
      <c r="I365" s="3230">
        <v>2325047</v>
      </c>
      <c r="J365" s="3229">
        <v>44046</v>
      </c>
      <c r="K365" s="3234">
        <v>8</v>
      </c>
      <c r="L365" s="3230">
        <v>2325047</v>
      </c>
      <c r="M365" s="3235">
        <v>15391.546405401827</v>
      </c>
      <c r="N365" s="3236">
        <v>685047</v>
      </c>
    </row>
    <row r="366" spans="1:14">
      <c r="A366" s="3226">
        <v>496</v>
      </c>
      <c r="B366" s="3250" t="s">
        <v>4049</v>
      </c>
      <c r="C366" s="3227" t="s">
        <v>920</v>
      </c>
      <c r="D366" s="3251" t="s">
        <v>4050</v>
      </c>
      <c r="E366" s="3229">
        <v>44044</v>
      </c>
      <c r="F366" s="3230">
        <v>50000</v>
      </c>
      <c r="G366" s="3231">
        <v>151.06</v>
      </c>
      <c r="H366" s="3231" t="s">
        <v>3438</v>
      </c>
      <c r="I366" s="3230">
        <v>2356194</v>
      </c>
      <c r="J366" s="3229">
        <v>44045</v>
      </c>
      <c r="K366" s="3234">
        <v>8</v>
      </c>
      <c r="L366" s="3230">
        <v>2356194</v>
      </c>
      <c r="M366" s="3235">
        <v>15597.735998940818</v>
      </c>
      <c r="N366" s="3236">
        <v>666194</v>
      </c>
    </row>
    <row r="367" spans="1:14">
      <c r="A367" s="3226">
        <v>498</v>
      </c>
      <c r="B367" s="3250" t="s">
        <v>4051</v>
      </c>
      <c r="C367" s="3227" t="s">
        <v>920</v>
      </c>
      <c r="D367" s="3251" t="s">
        <v>4052</v>
      </c>
      <c r="E367" s="3229">
        <v>44044</v>
      </c>
      <c r="F367" s="3230">
        <v>50000</v>
      </c>
      <c r="G367" s="3231">
        <v>151.06</v>
      </c>
      <c r="H367" s="3231" t="s">
        <v>3438</v>
      </c>
      <c r="I367" s="3230">
        <v>2418487</v>
      </c>
      <c r="J367" s="3229">
        <v>44047</v>
      </c>
      <c r="K367" s="3234">
        <v>8</v>
      </c>
      <c r="L367" s="3230">
        <v>2418487</v>
      </c>
      <c r="M367" s="3235">
        <v>16010.108566132662</v>
      </c>
      <c r="N367" s="3236">
        <v>678487</v>
      </c>
    </row>
    <row r="368" spans="1:14">
      <c r="A368" s="3226">
        <v>500</v>
      </c>
      <c r="B368" s="3250" t="s">
        <v>4053</v>
      </c>
      <c r="C368" s="3227" t="s">
        <v>920</v>
      </c>
      <c r="D368" s="3251" t="s">
        <v>4054</v>
      </c>
      <c r="E368" s="3229">
        <v>44044</v>
      </c>
      <c r="F368" s="3230">
        <v>50000</v>
      </c>
      <c r="G368" s="3231">
        <v>151.06</v>
      </c>
      <c r="H368" s="3231" t="s">
        <v>3438</v>
      </c>
      <c r="I368" s="3230">
        <v>2480779</v>
      </c>
      <c r="J368" s="3229">
        <v>44044</v>
      </c>
      <c r="K368" s="3234">
        <v>8</v>
      </c>
      <c r="L368" s="3230">
        <v>2480779</v>
      </c>
      <c r="M368" s="3235">
        <v>16422.47451343837</v>
      </c>
      <c r="N368" s="3236">
        <v>2430779</v>
      </c>
    </row>
    <row r="369" spans="1:14">
      <c r="A369" s="3226">
        <v>502</v>
      </c>
      <c r="B369" s="3250" t="s">
        <v>4055</v>
      </c>
      <c r="C369" s="3227" t="s">
        <v>920</v>
      </c>
      <c r="D369" s="3251" t="s">
        <v>4056</v>
      </c>
      <c r="E369" s="3229">
        <v>44044</v>
      </c>
      <c r="F369" s="3230">
        <v>50000</v>
      </c>
      <c r="G369" s="3231">
        <v>151.06</v>
      </c>
      <c r="H369" s="3231" t="s">
        <v>3438</v>
      </c>
      <c r="I369" s="3230">
        <v>2543072</v>
      </c>
      <c r="J369" s="3229">
        <v>44046</v>
      </c>
      <c r="K369" s="3234">
        <v>8</v>
      </c>
      <c r="L369" s="3230">
        <v>2543072</v>
      </c>
      <c r="M369" s="3235">
        <v>16834.847080630214</v>
      </c>
      <c r="N369" s="3236">
        <v>2493072</v>
      </c>
    </row>
    <row r="370" spans="1:14" ht="24">
      <c r="A370" s="3226">
        <v>503</v>
      </c>
      <c r="B370" s="3250" t="s">
        <v>4057</v>
      </c>
      <c r="C370" s="3227" t="s">
        <v>920</v>
      </c>
      <c r="D370" s="3251" t="s">
        <v>4058</v>
      </c>
      <c r="E370" s="3229">
        <v>44044</v>
      </c>
      <c r="F370" s="3230">
        <v>250000</v>
      </c>
      <c r="G370" s="3231">
        <v>151.06</v>
      </c>
      <c r="H370" s="3231" t="s">
        <v>3438</v>
      </c>
      <c r="I370" s="3230">
        <v>2402913</v>
      </c>
      <c r="J370" s="3229">
        <v>44047</v>
      </c>
      <c r="K370" s="3234">
        <v>8</v>
      </c>
      <c r="L370" s="3230">
        <v>2402913</v>
      </c>
      <c r="M370" s="3235">
        <v>15907.010459420098</v>
      </c>
      <c r="N370" s="3236">
        <v>472913</v>
      </c>
    </row>
    <row r="371" spans="1:14">
      <c r="A371" s="3226">
        <v>504</v>
      </c>
      <c r="B371" s="3250" t="s">
        <v>4059</v>
      </c>
      <c r="C371" s="3227" t="s">
        <v>920</v>
      </c>
      <c r="D371" s="3251" t="s">
        <v>4060</v>
      </c>
      <c r="E371" s="3229">
        <v>44044</v>
      </c>
      <c r="F371" s="3230">
        <v>50000</v>
      </c>
      <c r="G371" s="3231">
        <v>134.97999999999999</v>
      </c>
      <c r="H371" s="3231" t="s">
        <v>3335</v>
      </c>
      <c r="I371" s="3230">
        <v>2038759</v>
      </c>
      <c r="J371" s="3229">
        <v>44047</v>
      </c>
      <c r="K371" s="3234">
        <v>8</v>
      </c>
      <c r="L371" s="3230">
        <v>2038759</v>
      </c>
      <c r="M371" s="3235">
        <v>15104.156171284636</v>
      </c>
      <c r="N371" s="3236">
        <v>568759</v>
      </c>
    </row>
    <row r="372" spans="1:14" ht="24">
      <c r="A372" s="3226">
        <v>505</v>
      </c>
      <c r="B372" s="3250" t="s">
        <v>4061</v>
      </c>
      <c r="C372" s="3227" t="s">
        <v>920</v>
      </c>
      <c r="D372" s="3251" t="s">
        <v>4062</v>
      </c>
      <c r="E372" s="3229">
        <v>44044</v>
      </c>
      <c r="F372" s="3230">
        <v>200000</v>
      </c>
      <c r="G372" s="3231">
        <v>134.97999999999999</v>
      </c>
      <c r="H372" s="3231" t="s">
        <v>3335</v>
      </c>
      <c r="I372" s="3230">
        <v>2066590</v>
      </c>
      <c r="J372" s="3229">
        <v>44047</v>
      </c>
      <c r="K372" s="3234">
        <v>8</v>
      </c>
      <c r="L372" s="3230">
        <v>2066590</v>
      </c>
      <c r="M372" s="3235">
        <v>15310.342272929323</v>
      </c>
      <c r="N372" s="3236">
        <v>466590</v>
      </c>
    </row>
    <row r="373" spans="1:14">
      <c r="A373" s="3226">
        <v>506</v>
      </c>
      <c r="B373" s="3250" t="s">
        <v>4063</v>
      </c>
      <c r="C373" s="3227" t="s">
        <v>920</v>
      </c>
      <c r="D373" s="3251" t="s">
        <v>4064</v>
      </c>
      <c r="E373" s="3229">
        <v>44044</v>
      </c>
      <c r="F373" s="3230">
        <v>50000</v>
      </c>
      <c r="G373" s="3231">
        <v>134.97999999999999</v>
      </c>
      <c r="H373" s="3231" t="s">
        <v>3335</v>
      </c>
      <c r="I373" s="3230">
        <v>2094421</v>
      </c>
      <c r="J373" s="3229">
        <v>44046</v>
      </c>
      <c r="K373" s="3234">
        <v>8</v>
      </c>
      <c r="L373" s="3230">
        <v>2094421</v>
      </c>
      <c r="M373" s="3235">
        <v>15516.528374574013</v>
      </c>
      <c r="N373" s="3236">
        <v>374421</v>
      </c>
    </row>
    <row r="374" spans="1:14">
      <c r="A374" s="3226">
        <v>507</v>
      </c>
      <c r="B374" s="3250" t="s">
        <v>4065</v>
      </c>
      <c r="C374" s="3227" t="s">
        <v>920</v>
      </c>
      <c r="D374" s="3251" t="s">
        <v>4066</v>
      </c>
      <c r="E374" s="3229">
        <v>44044</v>
      </c>
      <c r="F374" s="3230">
        <v>50000</v>
      </c>
      <c r="G374" s="3231">
        <v>134.97999999999999</v>
      </c>
      <c r="H374" s="3231" t="s">
        <v>3335</v>
      </c>
      <c r="I374" s="3230">
        <v>2122252</v>
      </c>
      <c r="J374" s="3229">
        <v>44047</v>
      </c>
      <c r="K374" s="3234">
        <v>8</v>
      </c>
      <c r="L374" s="3230">
        <v>2122252</v>
      </c>
      <c r="M374" s="3235">
        <v>15722.7144762187</v>
      </c>
      <c r="N374" s="3236">
        <v>592252</v>
      </c>
    </row>
    <row r="375" spans="1:14">
      <c r="A375" s="3226">
        <v>508</v>
      </c>
      <c r="B375" s="3250" t="s">
        <v>4067</v>
      </c>
      <c r="C375" s="3227" t="s">
        <v>920</v>
      </c>
      <c r="D375" s="3251" t="s">
        <v>4068</v>
      </c>
      <c r="E375" s="3229">
        <v>44044</v>
      </c>
      <c r="F375" s="3230">
        <v>50000</v>
      </c>
      <c r="G375" s="3231">
        <v>134.97999999999999</v>
      </c>
      <c r="H375" s="3231" t="s">
        <v>3335</v>
      </c>
      <c r="I375" s="3230">
        <v>2150082</v>
      </c>
      <c r="J375" s="3229">
        <v>44048</v>
      </c>
      <c r="K375" s="3234">
        <v>8</v>
      </c>
      <c r="L375" s="3230">
        <v>2150082</v>
      </c>
      <c r="M375" s="3235">
        <v>15928.893169358425</v>
      </c>
      <c r="N375" s="3236">
        <v>750082</v>
      </c>
    </row>
    <row r="376" spans="1:14">
      <c r="A376" s="3226">
        <v>510</v>
      </c>
      <c r="B376" s="3250" t="s">
        <v>4069</v>
      </c>
      <c r="C376" s="3227" t="s">
        <v>920</v>
      </c>
      <c r="D376" s="3251" t="s">
        <v>4070</v>
      </c>
      <c r="E376" s="3229">
        <v>44044</v>
      </c>
      <c r="F376" s="3230">
        <v>50000</v>
      </c>
      <c r="G376" s="3231">
        <v>134.97999999999999</v>
      </c>
      <c r="H376" s="3231" t="s">
        <v>3335</v>
      </c>
      <c r="I376" s="3230">
        <v>2205744</v>
      </c>
      <c r="J376" s="3229">
        <v>44047</v>
      </c>
      <c r="K376" s="3234">
        <v>8</v>
      </c>
      <c r="L376" s="3230">
        <v>2205744</v>
      </c>
      <c r="M376" s="3235">
        <v>16341.2653726478</v>
      </c>
      <c r="N376" s="3236">
        <v>615744</v>
      </c>
    </row>
    <row r="377" spans="1:14">
      <c r="A377" s="3226">
        <v>511</v>
      </c>
      <c r="B377" s="3250" t="s">
        <v>4071</v>
      </c>
      <c r="C377" s="3227" t="s">
        <v>920</v>
      </c>
      <c r="D377" s="3251" t="s">
        <v>4072</v>
      </c>
      <c r="E377" s="3229">
        <v>44044</v>
      </c>
      <c r="F377" s="3230">
        <v>50000</v>
      </c>
      <c r="G377" s="3231">
        <v>134.97999999999999</v>
      </c>
      <c r="H377" s="3231" t="s">
        <v>3335</v>
      </c>
      <c r="I377" s="3230">
        <v>2233575</v>
      </c>
      <c r="J377" s="3229">
        <v>44047</v>
      </c>
      <c r="K377" s="3234">
        <v>8</v>
      </c>
      <c r="L377" s="3230">
        <v>2233575</v>
      </c>
      <c r="M377" s="3235">
        <v>16547.451474292488</v>
      </c>
      <c r="N377" s="3236">
        <v>683575</v>
      </c>
    </row>
    <row r="378" spans="1:14" ht="24">
      <c r="A378" s="3226">
        <v>512</v>
      </c>
      <c r="B378" s="3250" t="s">
        <v>4073</v>
      </c>
      <c r="C378" s="3227" t="s">
        <v>920</v>
      </c>
      <c r="D378" s="3251" t="s">
        <v>4074</v>
      </c>
      <c r="E378" s="3229">
        <v>44044</v>
      </c>
      <c r="F378" s="3230">
        <v>50000</v>
      </c>
      <c r="G378" s="3231">
        <v>134.97999999999999</v>
      </c>
      <c r="H378" s="3231" t="s">
        <v>3335</v>
      </c>
      <c r="I378" s="3230">
        <v>2261406</v>
      </c>
      <c r="J378" s="3229">
        <v>44048</v>
      </c>
      <c r="K378" s="3234">
        <v>8</v>
      </c>
      <c r="L378" s="3230">
        <v>2261406</v>
      </c>
      <c r="M378" s="3235">
        <v>16753.637575937177</v>
      </c>
      <c r="N378" s="3236">
        <v>1011406</v>
      </c>
    </row>
    <row r="379" spans="1:14" ht="24">
      <c r="A379" s="3226">
        <v>513</v>
      </c>
      <c r="B379" s="3250" t="s">
        <v>4075</v>
      </c>
      <c r="C379" s="3227" t="s">
        <v>920</v>
      </c>
      <c r="D379" s="3251" t="s">
        <v>4076</v>
      </c>
      <c r="E379" s="3229">
        <v>44044</v>
      </c>
      <c r="F379" s="3230">
        <v>50000</v>
      </c>
      <c r="G379" s="3231">
        <v>134.97999999999999</v>
      </c>
      <c r="H379" s="3231" t="s">
        <v>3335</v>
      </c>
      <c r="I379" s="3230">
        <v>2136167</v>
      </c>
      <c r="J379" s="3229">
        <v>44047</v>
      </c>
      <c r="K379" s="3234">
        <v>8</v>
      </c>
      <c r="L379" s="3230">
        <v>2136167</v>
      </c>
      <c r="M379" s="3235">
        <v>15825.803822788563</v>
      </c>
      <c r="N379" s="3236">
        <v>966167</v>
      </c>
    </row>
    <row r="380" spans="1:14" ht="24">
      <c r="A380" s="3226">
        <v>514</v>
      </c>
      <c r="B380" s="3250" t="s">
        <v>4077</v>
      </c>
      <c r="C380" s="3227" t="s">
        <v>920</v>
      </c>
      <c r="D380" s="3251" t="s">
        <v>4078</v>
      </c>
      <c r="E380" s="3229">
        <v>44044</v>
      </c>
      <c r="F380" s="3230">
        <v>50000</v>
      </c>
      <c r="G380" s="3231">
        <v>134.97999999999999</v>
      </c>
      <c r="H380" s="3231" t="s">
        <v>3335</v>
      </c>
      <c r="I380" s="3230">
        <v>2033497</v>
      </c>
      <c r="J380" s="3229">
        <v>44046</v>
      </c>
      <c r="K380" s="3234">
        <v>8</v>
      </c>
      <c r="L380" s="3230">
        <v>2033497</v>
      </c>
      <c r="M380" s="3235">
        <v>15065.172618165656</v>
      </c>
      <c r="N380" s="3236">
        <v>583497</v>
      </c>
    </row>
    <row r="381" spans="1:14">
      <c r="A381" s="3226">
        <v>516</v>
      </c>
      <c r="B381" s="3250" t="s">
        <v>4079</v>
      </c>
      <c r="C381" s="3227" t="s">
        <v>920</v>
      </c>
      <c r="D381" s="3251" t="s">
        <v>4080</v>
      </c>
      <c r="E381" s="3229">
        <v>44044</v>
      </c>
      <c r="F381" s="3230">
        <v>50000</v>
      </c>
      <c r="G381" s="3231">
        <v>134.97999999999999</v>
      </c>
      <c r="H381" s="3231" t="s">
        <v>3335</v>
      </c>
      <c r="I381" s="3230">
        <v>2089159</v>
      </c>
      <c r="J381" s="3229">
        <v>44047</v>
      </c>
      <c r="K381" s="3234">
        <v>8</v>
      </c>
      <c r="L381" s="3230">
        <v>2089159</v>
      </c>
      <c r="M381" s="3235">
        <v>15477.544821455032</v>
      </c>
      <c r="N381" s="3236">
        <v>579159</v>
      </c>
    </row>
    <row r="382" spans="1:14">
      <c r="A382" s="3226">
        <v>518</v>
      </c>
      <c r="B382" s="3250" t="s">
        <v>4081</v>
      </c>
      <c r="C382" s="3227" t="s">
        <v>920</v>
      </c>
      <c r="D382" s="3251" t="s">
        <v>4082</v>
      </c>
      <c r="E382" s="3229">
        <v>44044</v>
      </c>
      <c r="F382" s="3230">
        <v>50000</v>
      </c>
      <c r="G382" s="3231">
        <v>134.97999999999999</v>
      </c>
      <c r="H382" s="3231" t="s">
        <v>3335</v>
      </c>
      <c r="I382" s="3230">
        <v>2144821</v>
      </c>
      <c r="J382" s="3229">
        <v>44047</v>
      </c>
      <c r="K382" s="3234">
        <v>8</v>
      </c>
      <c r="L382" s="3230">
        <v>2144821</v>
      </c>
      <c r="M382" s="3235">
        <v>15889.917024744407</v>
      </c>
      <c r="N382" s="3236">
        <v>594821</v>
      </c>
    </row>
    <row r="383" spans="1:14">
      <c r="A383" s="3226">
        <v>520</v>
      </c>
      <c r="B383" s="3250" t="s">
        <v>4083</v>
      </c>
      <c r="C383" s="3227" t="s">
        <v>920</v>
      </c>
      <c r="D383" s="3251" t="s">
        <v>4084</v>
      </c>
      <c r="E383" s="3229">
        <v>44044</v>
      </c>
      <c r="F383" s="3230">
        <v>50000</v>
      </c>
      <c r="G383" s="3231">
        <v>134.97999999999999</v>
      </c>
      <c r="H383" s="3231" t="s">
        <v>3335</v>
      </c>
      <c r="I383" s="3230">
        <v>2200482</v>
      </c>
      <c r="J383" s="3229">
        <v>44047</v>
      </c>
      <c r="K383" s="3234">
        <v>8</v>
      </c>
      <c r="L383" s="3230">
        <v>2200482</v>
      </c>
      <c r="M383" s="3235">
        <v>16302.28181952882</v>
      </c>
      <c r="N383" s="3236">
        <v>610482</v>
      </c>
    </row>
    <row r="384" spans="1:14" ht="24">
      <c r="A384" s="3226">
        <v>521</v>
      </c>
      <c r="B384" s="3250" t="s">
        <v>4085</v>
      </c>
      <c r="C384" s="3227" t="s">
        <v>920</v>
      </c>
      <c r="D384" s="3251" t="s">
        <v>4086</v>
      </c>
      <c r="E384" s="3229">
        <v>44044</v>
      </c>
      <c r="F384" s="3230">
        <v>50000</v>
      </c>
      <c r="G384" s="3231">
        <v>134.97999999999999</v>
      </c>
      <c r="H384" s="3231" t="s">
        <v>3335</v>
      </c>
      <c r="I384" s="3230">
        <v>2228313</v>
      </c>
      <c r="J384" s="3229">
        <v>44047</v>
      </c>
      <c r="K384" s="3234">
        <v>8</v>
      </c>
      <c r="L384" s="3230">
        <v>2228313</v>
      </c>
      <c r="M384" s="3235">
        <v>16508.467921173509</v>
      </c>
      <c r="N384" s="3236">
        <v>628313</v>
      </c>
    </row>
    <row r="385" spans="1:14" ht="24">
      <c r="A385" s="3226">
        <v>522</v>
      </c>
      <c r="B385" s="3250" t="s">
        <v>4087</v>
      </c>
      <c r="C385" s="3227" t="s">
        <v>920</v>
      </c>
      <c r="D385" s="3251" t="s">
        <v>4088</v>
      </c>
      <c r="E385" s="3229">
        <v>44044</v>
      </c>
      <c r="F385" s="3230">
        <v>50000</v>
      </c>
      <c r="G385" s="3231">
        <v>134.97999999999999</v>
      </c>
      <c r="H385" s="3231" t="s">
        <v>3335</v>
      </c>
      <c r="I385" s="3230">
        <v>2256144</v>
      </c>
      <c r="J385" s="3229">
        <v>44045</v>
      </c>
      <c r="K385" s="3234">
        <v>8</v>
      </c>
      <c r="L385" s="3230">
        <v>2256144</v>
      </c>
      <c r="M385" s="3235">
        <v>16714.654022818195</v>
      </c>
      <c r="N385" s="3236">
        <v>656144</v>
      </c>
    </row>
    <row r="386" spans="1:14">
      <c r="A386" s="3226">
        <v>523</v>
      </c>
      <c r="B386" s="3250" t="s">
        <v>4089</v>
      </c>
      <c r="C386" s="3227" t="s">
        <v>920</v>
      </c>
      <c r="D386" s="3251" t="s">
        <v>4090</v>
      </c>
      <c r="E386" s="3229">
        <v>44044</v>
      </c>
      <c r="F386" s="3230">
        <v>50000</v>
      </c>
      <c r="G386" s="3231">
        <v>134.97999999999999</v>
      </c>
      <c r="H386" s="3231" t="s">
        <v>3335</v>
      </c>
      <c r="I386" s="3230">
        <v>2130905</v>
      </c>
      <c r="J386" s="3229">
        <v>44047</v>
      </c>
      <c r="K386" s="3234">
        <v>8</v>
      </c>
      <c r="L386" s="3230">
        <v>2130905</v>
      </c>
      <c r="M386" s="3235">
        <v>15786.820269669583</v>
      </c>
      <c r="N386" s="3236">
        <v>590905</v>
      </c>
    </row>
    <row r="387" spans="1:14">
      <c r="A387" s="3226">
        <v>524</v>
      </c>
      <c r="B387" s="3250" t="s">
        <v>4091</v>
      </c>
      <c r="C387" s="3227" t="s">
        <v>920</v>
      </c>
      <c r="D387" s="3251" t="s">
        <v>4092</v>
      </c>
      <c r="E387" s="3229">
        <v>44045</v>
      </c>
      <c r="F387" s="3230">
        <v>50000</v>
      </c>
      <c r="G387" s="3231">
        <v>134.97999999999999</v>
      </c>
      <c r="H387" s="3231" t="s">
        <v>3335</v>
      </c>
      <c r="I387" s="3230">
        <v>2028234</v>
      </c>
      <c r="J387" s="3229">
        <v>44045</v>
      </c>
      <c r="K387" s="3234">
        <v>8</v>
      </c>
      <c r="L387" s="3230">
        <v>2028234</v>
      </c>
      <c r="M387" s="3235">
        <v>15026.18165654171</v>
      </c>
      <c r="N387" s="3236">
        <v>1978234</v>
      </c>
    </row>
    <row r="388" spans="1:14" ht="24">
      <c r="A388" s="3226">
        <v>525</v>
      </c>
      <c r="B388" s="3250" t="s">
        <v>4093</v>
      </c>
      <c r="C388" s="3227" t="s">
        <v>920</v>
      </c>
      <c r="D388" s="3251" t="s">
        <v>4094</v>
      </c>
      <c r="E388" s="3229">
        <v>44044</v>
      </c>
      <c r="F388" s="3230">
        <v>50000</v>
      </c>
      <c r="G388" s="3231">
        <v>134.97999999999999</v>
      </c>
      <c r="H388" s="3231" t="s">
        <v>3335</v>
      </c>
      <c r="I388" s="3230">
        <v>2056065</v>
      </c>
      <c r="J388" s="3229">
        <v>44047</v>
      </c>
      <c r="K388" s="3234">
        <v>8</v>
      </c>
      <c r="L388" s="3230">
        <v>2056065</v>
      </c>
      <c r="M388" s="3235">
        <v>15232.367758186399</v>
      </c>
      <c r="N388" s="3236">
        <v>806065</v>
      </c>
    </row>
    <row r="389" spans="1:14">
      <c r="A389" s="3226">
        <v>527</v>
      </c>
      <c r="B389" s="3250" t="s">
        <v>4095</v>
      </c>
      <c r="C389" s="3227" t="s">
        <v>920</v>
      </c>
      <c r="D389" s="3251" t="s">
        <v>4096</v>
      </c>
      <c r="E389" s="3229">
        <v>44044</v>
      </c>
      <c r="F389" s="3230">
        <v>50000</v>
      </c>
      <c r="G389" s="3231">
        <v>134.97999999999999</v>
      </c>
      <c r="H389" s="3231" t="s">
        <v>3335</v>
      </c>
      <c r="I389" s="3230">
        <v>2111727</v>
      </c>
      <c r="J389" s="3229">
        <v>44047</v>
      </c>
      <c r="K389" s="3234">
        <v>8</v>
      </c>
      <c r="L389" s="3230">
        <v>2111727</v>
      </c>
      <c r="M389" s="3235">
        <v>15644.739961475776</v>
      </c>
      <c r="N389" s="3236">
        <v>2061727</v>
      </c>
    </row>
    <row r="390" spans="1:14">
      <c r="A390" s="3226">
        <v>530</v>
      </c>
      <c r="B390" s="3250" t="s">
        <v>4097</v>
      </c>
      <c r="C390" s="3227" t="s">
        <v>920</v>
      </c>
      <c r="D390" s="3251" t="s">
        <v>4098</v>
      </c>
      <c r="E390" s="3229">
        <v>44044</v>
      </c>
      <c r="F390" s="3230">
        <v>50000</v>
      </c>
      <c r="G390" s="3231">
        <v>134.97999999999999</v>
      </c>
      <c r="H390" s="3231" t="s">
        <v>3335</v>
      </c>
      <c r="I390" s="3230">
        <v>2195220</v>
      </c>
      <c r="J390" s="3229">
        <v>44046</v>
      </c>
      <c r="K390" s="3234">
        <v>8</v>
      </c>
      <c r="L390" s="3230">
        <v>2195220</v>
      </c>
      <c r="M390" s="3235">
        <v>16263.29826640984</v>
      </c>
      <c r="N390" s="3236">
        <v>705220</v>
      </c>
    </row>
    <row r="391" spans="1:14">
      <c r="A391" s="3226">
        <v>531</v>
      </c>
      <c r="B391" s="3250" t="s">
        <v>4099</v>
      </c>
      <c r="C391" s="3227" t="s">
        <v>920</v>
      </c>
      <c r="D391" s="3251" t="s">
        <v>4100</v>
      </c>
      <c r="E391" s="3229">
        <v>44044</v>
      </c>
      <c r="F391" s="3230">
        <v>50000</v>
      </c>
      <c r="G391" s="3231">
        <v>134.97999999999999</v>
      </c>
      <c r="H391" s="3231" t="s">
        <v>3335</v>
      </c>
      <c r="I391" s="3230">
        <v>2223051</v>
      </c>
      <c r="J391" s="3229">
        <v>44045</v>
      </c>
      <c r="K391" s="3234">
        <v>8</v>
      </c>
      <c r="L391" s="3230">
        <v>2223051</v>
      </c>
      <c r="M391" s="3235">
        <v>16469.484368054527</v>
      </c>
      <c r="N391" s="3236">
        <v>1273051</v>
      </c>
    </row>
    <row r="392" spans="1:14" ht="24">
      <c r="A392" s="3226">
        <v>533</v>
      </c>
      <c r="B392" s="3250" t="s">
        <v>4101</v>
      </c>
      <c r="C392" s="3227" t="s">
        <v>920</v>
      </c>
      <c r="D392" s="3251" t="s">
        <v>4102</v>
      </c>
      <c r="E392" s="3229">
        <v>44044</v>
      </c>
      <c r="F392" s="3230">
        <v>50000</v>
      </c>
      <c r="G392" s="3231">
        <v>134.97999999999999</v>
      </c>
      <c r="H392" s="3231" t="s">
        <v>3335</v>
      </c>
      <c r="I392" s="3230">
        <v>2125642</v>
      </c>
      <c r="J392" s="3229">
        <v>44047</v>
      </c>
      <c r="K392" s="3234">
        <v>8</v>
      </c>
      <c r="L392" s="3230">
        <v>2125642</v>
      </c>
      <c r="M392" s="3235">
        <v>15747.829308045637</v>
      </c>
      <c r="N392" s="3236">
        <v>595642</v>
      </c>
    </row>
    <row r="393" spans="1:14">
      <c r="A393" s="3226">
        <v>534</v>
      </c>
      <c r="B393" s="3250" t="s">
        <v>4103</v>
      </c>
      <c r="C393" s="3227" t="s">
        <v>920</v>
      </c>
      <c r="D393" s="3251" t="s">
        <v>4104</v>
      </c>
      <c r="E393" s="3229">
        <v>44044</v>
      </c>
      <c r="F393" s="3230">
        <v>50000</v>
      </c>
      <c r="G393" s="3231">
        <v>134.97999999999999</v>
      </c>
      <c r="H393" s="3231" t="s">
        <v>3335</v>
      </c>
      <c r="I393" s="3230">
        <v>2022972</v>
      </c>
      <c r="J393" s="3229">
        <v>44047</v>
      </c>
      <c r="K393" s="3234">
        <v>8</v>
      </c>
      <c r="L393" s="3230">
        <v>2022972</v>
      </c>
      <c r="M393" s="3235">
        <v>14987.19810342273</v>
      </c>
      <c r="N393" s="3236">
        <v>1472972</v>
      </c>
    </row>
    <row r="394" spans="1:14">
      <c r="A394" s="3226">
        <v>535</v>
      </c>
      <c r="B394" s="3250" t="s">
        <v>4105</v>
      </c>
      <c r="C394" s="3227" t="s">
        <v>920</v>
      </c>
      <c r="D394" s="3251" t="s">
        <v>4106</v>
      </c>
      <c r="E394" s="3229">
        <v>44044</v>
      </c>
      <c r="F394" s="3230">
        <v>50000</v>
      </c>
      <c r="G394" s="3231">
        <v>134.97999999999999</v>
      </c>
      <c r="H394" s="3231" t="s">
        <v>3335</v>
      </c>
      <c r="I394" s="3230">
        <v>2050803</v>
      </c>
      <c r="J394" s="3229">
        <v>44047</v>
      </c>
      <c r="K394" s="3234">
        <v>8</v>
      </c>
      <c r="L394" s="3230">
        <v>2050803</v>
      </c>
      <c r="M394" s="3235">
        <v>15193.384205067419</v>
      </c>
      <c r="N394" s="3236">
        <v>2000803</v>
      </c>
    </row>
    <row r="395" spans="1:14" ht="24">
      <c r="A395" s="3226">
        <v>536</v>
      </c>
      <c r="B395" s="3250" t="s">
        <v>4107</v>
      </c>
      <c r="C395" s="3227" t="s">
        <v>920</v>
      </c>
      <c r="D395" s="3251" t="s">
        <v>4108</v>
      </c>
      <c r="E395" s="3229">
        <v>44044</v>
      </c>
      <c r="F395" s="3230">
        <v>50000</v>
      </c>
      <c r="G395" s="3231">
        <v>134.97999999999999</v>
      </c>
      <c r="H395" s="3231" t="s">
        <v>3335</v>
      </c>
      <c r="I395" s="3230">
        <v>2078634</v>
      </c>
      <c r="J395" s="3229">
        <v>44045</v>
      </c>
      <c r="K395" s="3234">
        <v>8</v>
      </c>
      <c r="L395" s="3230">
        <v>2078634</v>
      </c>
      <c r="M395" s="3235">
        <v>15399.570306712107</v>
      </c>
      <c r="N395" s="3236">
        <v>578634</v>
      </c>
    </row>
    <row r="396" spans="1:14">
      <c r="A396" s="3226">
        <v>538</v>
      </c>
      <c r="B396" s="3250" t="s">
        <v>4109</v>
      </c>
      <c r="C396" s="3227" t="s">
        <v>920</v>
      </c>
      <c r="D396" s="3251" t="s">
        <v>4110</v>
      </c>
      <c r="E396" s="3229">
        <v>44044</v>
      </c>
      <c r="F396" s="3230">
        <v>50000</v>
      </c>
      <c r="G396" s="3231">
        <v>134.97999999999999</v>
      </c>
      <c r="H396" s="3231" t="s">
        <v>3335</v>
      </c>
      <c r="I396" s="3230">
        <v>2134296</v>
      </c>
      <c r="J396" s="3229">
        <v>44047</v>
      </c>
      <c r="K396" s="3234">
        <v>8</v>
      </c>
      <c r="L396" s="3230">
        <v>2134296</v>
      </c>
      <c r="M396" s="3235">
        <v>15811.942510001483</v>
      </c>
      <c r="N396" s="3236">
        <v>594296</v>
      </c>
    </row>
    <row r="397" spans="1:14">
      <c r="A397" s="3226">
        <v>539</v>
      </c>
      <c r="B397" s="3250" t="s">
        <v>4111</v>
      </c>
      <c r="C397" s="3227" t="s">
        <v>920</v>
      </c>
      <c r="D397" s="3251" t="s">
        <v>4112</v>
      </c>
      <c r="E397" s="3229">
        <v>44044</v>
      </c>
      <c r="F397" s="3230">
        <v>70000</v>
      </c>
      <c r="G397" s="3231">
        <v>134.97999999999999</v>
      </c>
      <c r="H397" s="3231" t="s">
        <v>3335</v>
      </c>
      <c r="I397" s="3230">
        <v>2162127</v>
      </c>
      <c r="J397" s="3229">
        <v>44047</v>
      </c>
      <c r="K397" s="3234">
        <v>8</v>
      </c>
      <c r="L397" s="3230">
        <v>2162127</v>
      </c>
      <c r="M397" s="3235">
        <v>16018.128611646171</v>
      </c>
      <c r="N397" s="3236">
        <v>582127</v>
      </c>
    </row>
    <row r="398" spans="1:14">
      <c r="A398" s="3226">
        <v>541</v>
      </c>
      <c r="B398" s="3250" t="s">
        <v>4113</v>
      </c>
      <c r="C398" s="3227" t="s">
        <v>920</v>
      </c>
      <c r="D398" s="3251" t="s">
        <v>4114</v>
      </c>
      <c r="E398" s="3229">
        <v>44044</v>
      </c>
      <c r="F398" s="3230">
        <v>50000</v>
      </c>
      <c r="G398" s="3231">
        <v>134.97999999999999</v>
      </c>
      <c r="H398" s="3231" t="s">
        <v>3335</v>
      </c>
      <c r="I398" s="3230">
        <v>2217789</v>
      </c>
      <c r="J398" s="3229">
        <v>44047</v>
      </c>
      <c r="K398" s="3234">
        <v>8</v>
      </c>
      <c r="L398" s="3230">
        <v>2217789</v>
      </c>
      <c r="M398" s="3235">
        <v>16430.500814935549</v>
      </c>
      <c r="N398" s="3236">
        <v>2167789</v>
      </c>
    </row>
    <row r="399" spans="1:14" ht="24">
      <c r="A399" s="3226">
        <v>542</v>
      </c>
      <c r="B399" s="3250" t="s">
        <v>4115</v>
      </c>
      <c r="C399" s="3227" t="s">
        <v>920</v>
      </c>
      <c r="D399" s="3251" t="s">
        <v>4116</v>
      </c>
      <c r="E399" s="3229">
        <v>44044</v>
      </c>
      <c r="F399" s="3230">
        <v>50000</v>
      </c>
      <c r="G399" s="3231">
        <v>134.97999999999999</v>
      </c>
      <c r="H399" s="3231" t="s">
        <v>3335</v>
      </c>
      <c r="I399" s="3230">
        <v>2245620</v>
      </c>
      <c r="J399" s="3229">
        <v>44047</v>
      </c>
      <c r="K399" s="3234">
        <v>8</v>
      </c>
      <c r="L399" s="3230">
        <v>2245620</v>
      </c>
      <c r="M399" s="3235">
        <v>16636.686916580235</v>
      </c>
      <c r="N399" s="3236">
        <v>1695620</v>
      </c>
    </row>
    <row r="400" spans="1:14" ht="36">
      <c r="A400" s="3226">
        <v>543</v>
      </c>
      <c r="B400" s="3250" t="s">
        <v>4117</v>
      </c>
      <c r="C400" s="3227" t="s">
        <v>920</v>
      </c>
      <c r="D400" s="3251" t="s">
        <v>4118</v>
      </c>
      <c r="E400" s="3229">
        <v>44044</v>
      </c>
      <c r="F400" s="3230">
        <v>50000</v>
      </c>
      <c r="G400" s="3231">
        <v>134.97999999999999</v>
      </c>
      <c r="H400" s="3231" t="s">
        <v>3335</v>
      </c>
      <c r="I400" s="3230">
        <v>2120380</v>
      </c>
      <c r="J400" s="3229">
        <v>44045</v>
      </c>
      <c r="K400" s="3234">
        <v>8</v>
      </c>
      <c r="L400" s="3230">
        <v>2120380</v>
      </c>
      <c r="M400" s="3235">
        <v>15708.845754926657</v>
      </c>
      <c r="N400" s="3236">
        <v>590380</v>
      </c>
    </row>
    <row r="401" spans="1:14" ht="24">
      <c r="A401" s="3226">
        <v>544</v>
      </c>
      <c r="B401" s="3250" t="s">
        <v>4119</v>
      </c>
      <c r="C401" s="3227" t="s">
        <v>920</v>
      </c>
      <c r="D401" s="3251" t="s">
        <v>4120</v>
      </c>
      <c r="E401" s="3229">
        <v>44044</v>
      </c>
      <c r="F401" s="3230">
        <v>50000</v>
      </c>
      <c r="G401" s="3231">
        <v>151.06</v>
      </c>
      <c r="H401" s="3231" t="s">
        <v>3438</v>
      </c>
      <c r="I401" s="3230">
        <v>2223228</v>
      </c>
      <c r="J401" s="3229">
        <v>44047</v>
      </c>
      <c r="K401" s="3234">
        <v>8</v>
      </c>
      <c r="L401" s="3230">
        <v>2223228</v>
      </c>
      <c r="M401" s="3235">
        <v>14717.516218721037</v>
      </c>
      <c r="N401" s="3236">
        <v>623228</v>
      </c>
    </row>
    <row r="402" spans="1:14">
      <c r="A402" s="3226">
        <v>545</v>
      </c>
      <c r="B402" s="3250" t="s">
        <v>4121</v>
      </c>
      <c r="C402" s="3227" t="s">
        <v>920</v>
      </c>
      <c r="D402" s="3251" t="s">
        <v>4122</v>
      </c>
      <c r="E402" s="3229">
        <v>44044</v>
      </c>
      <c r="F402" s="3230">
        <v>50000</v>
      </c>
      <c r="G402" s="3231">
        <v>151.06</v>
      </c>
      <c r="H402" s="3231" t="s">
        <v>3438</v>
      </c>
      <c r="I402" s="3230">
        <v>2254374</v>
      </c>
      <c r="J402" s="3229">
        <v>44047</v>
      </c>
      <c r="K402" s="3234">
        <v>8</v>
      </c>
      <c r="L402" s="3230">
        <v>2254374</v>
      </c>
      <c r="M402" s="3235">
        <v>14923.699192373891</v>
      </c>
      <c r="N402" s="3236">
        <v>634374</v>
      </c>
    </row>
    <row r="403" spans="1:14" ht="24">
      <c r="A403" s="3226">
        <v>546</v>
      </c>
      <c r="B403" s="3250" t="s">
        <v>4123</v>
      </c>
      <c r="C403" s="3227" t="s">
        <v>920</v>
      </c>
      <c r="D403" s="3251" t="s">
        <v>4124</v>
      </c>
      <c r="E403" s="3229">
        <v>44044</v>
      </c>
      <c r="F403" s="3230">
        <v>50000</v>
      </c>
      <c r="G403" s="3231">
        <v>151.06</v>
      </c>
      <c r="H403" s="3231" t="s">
        <v>3438</v>
      </c>
      <c r="I403" s="3230">
        <v>2285521</v>
      </c>
      <c r="J403" s="3229">
        <v>44048</v>
      </c>
      <c r="K403" s="3234">
        <v>8</v>
      </c>
      <c r="L403" s="3230">
        <v>2285521</v>
      </c>
      <c r="M403" s="3235">
        <v>15129.888785912883</v>
      </c>
      <c r="N403" s="3236">
        <v>1435521</v>
      </c>
    </row>
    <row r="404" spans="1:14">
      <c r="A404" s="3226">
        <v>547</v>
      </c>
      <c r="B404" s="3250" t="s">
        <v>4125</v>
      </c>
      <c r="C404" s="3227" t="s">
        <v>920</v>
      </c>
      <c r="D404" s="3251" t="s">
        <v>4126</v>
      </c>
      <c r="E404" s="3229">
        <v>44044</v>
      </c>
      <c r="F404" s="3230">
        <v>50000</v>
      </c>
      <c r="G404" s="3231">
        <v>151.06</v>
      </c>
      <c r="H404" s="3231" t="s">
        <v>3438</v>
      </c>
      <c r="I404" s="3230">
        <v>2316667</v>
      </c>
      <c r="J404" s="3229">
        <v>44046</v>
      </c>
      <c r="K404" s="3234">
        <v>8</v>
      </c>
      <c r="L404" s="3230">
        <v>2316667</v>
      </c>
      <c r="M404" s="3235">
        <v>15336.071759565735</v>
      </c>
      <c r="N404" s="3236">
        <v>646667</v>
      </c>
    </row>
    <row r="405" spans="1:14">
      <c r="A405" s="3226">
        <v>549</v>
      </c>
      <c r="B405" s="3250" t="s">
        <v>4127</v>
      </c>
      <c r="C405" s="3227" t="s">
        <v>920</v>
      </c>
      <c r="D405" s="3251" t="s">
        <v>4128</v>
      </c>
      <c r="E405" s="3229">
        <v>44044</v>
      </c>
      <c r="F405" s="3230">
        <v>50000</v>
      </c>
      <c r="G405" s="3231">
        <v>151.06</v>
      </c>
      <c r="H405" s="3231" t="s">
        <v>3438</v>
      </c>
      <c r="I405" s="3230">
        <v>2378960</v>
      </c>
      <c r="J405" s="3229">
        <v>44047</v>
      </c>
      <c r="K405" s="3234">
        <v>8</v>
      </c>
      <c r="L405" s="3230">
        <v>2378960</v>
      </c>
      <c r="M405" s="3235">
        <v>15748.444326757579</v>
      </c>
      <c r="N405" s="3236">
        <v>668960</v>
      </c>
    </row>
    <row r="406" spans="1:14">
      <c r="A406" s="3226">
        <v>550</v>
      </c>
      <c r="B406" s="3250" t="s">
        <v>4129</v>
      </c>
      <c r="C406" s="3227" t="s">
        <v>920</v>
      </c>
      <c r="D406" s="3251" t="s">
        <v>4130</v>
      </c>
      <c r="E406" s="3229">
        <v>44044</v>
      </c>
      <c r="F406" s="3230">
        <v>50000</v>
      </c>
      <c r="G406" s="3231">
        <v>151.06</v>
      </c>
      <c r="H406" s="3231" t="s">
        <v>3438</v>
      </c>
      <c r="I406" s="3230">
        <v>2410106</v>
      </c>
      <c r="J406" s="3229">
        <v>44046</v>
      </c>
      <c r="K406" s="3234">
        <v>8</v>
      </c>
      <c r="L406" s="3230">
        <v>2410106</v>
      </c>
      <c r="M406" s="3235">
        <v>15954.627300410433</v>
      </c>
      <c r="N406" s="3236">
        <v>1360106</v>
      </c>
    </row>
    <row r="407" spans="1:14" ht="24">
      <c r="A407" s="3226">
        <v>551</v>
      </c>
      <c r="B407" s="3250" t="s">
        <v>4131</v>
      </c>
      <c r="C407" s="3227" t="s">
        <v>920</v>
      </c>
      <c r="D407" s="3251" t="s">
        <v>4132</v>
      </c>
      <c r="E407" s="3229">
        <v>44044</v>
      </c>
      <c r="F407" s="3230">
        <v>50000</v>
      </c>
      <c r="G407" s="3231">
        <v>151.06</v>
      </c>
      <c r="H407" s="3231" t="s">
        <v>3438</v>
      </c>
      <c r="I407" s="3230">
        <v>2441253</v>
      </c>
      <c r="J407" s="3229">
        <v>44047</v>
      </c>
      <c r="K407" s="3234">
        <v>8</v>
      </c>
      <c r="L407" s="3230">
        <v>2441253</v>
      </c>
      <c r="M407" s="3235">
        <v>16160.816893949424</v>
      </c>
      <c r="N407" s="3236">
        <v>691253</v>
      </c>
    </row>
    <row r="408" spans="1:14" ht="24">
      <c r="A408" s="3226">
        <v>552</v>
      </c>
      <c r="B408" s="3250" t="s">
        <v>4133</v>
      </c>
      <c r="C408" s="3227" t="s">
        <v>920</v>
      </c>
      <c r="D408" s="3251" t="s">
        <v>4134</v>
      </c>
      <c r="E408" s="3229">
        <v>44044</v>
      </c>
      <c r="F408" s="3230">
        <v>50000</v>
      </c>
      <c r="G408" s="3231">
        <v>151.06</v>
      </c>
      <c r="H408" s="3231" t="s">
        <v>3438</v>
      </c>
      <c r="I408" s="3230">
        <v>2472399</v>
      </c>
      <c r="J408" s="3229">
        <v>44047</v>
      </c>
      <c r="K408" s="3234">
        <v>8</v>
      </c>
      <c r="L408" s="3230">
        <v>2472399</v>
      </c>
      <c r="M408" s="3235">
        <v>16366.999867602277</v>
      </c>
      <c r="N408" s="3236">
        <v>2422399</v>
      </c>
    </row>
    <row r="409" spans="1:14" ht="24">
      <c r="A409" s="3226">
        <v>553</v>
      </c>
      <c r="B409" s="3250" t="s">
        <v>4135</v>
      </c>
      <c r="C409" s="3227" t="s">
        <v>920</v>
      </c>
      <c r="D409" s="3251" t="s">
        <v>4136</v>
      </c>
      <c r="E409" s="3229">
        <v>44044</v>
      </c>
      <c r="F409" s="3230">
        <v>50000</v>
      </c>
      <c r="G409" s="3231">
        <v>151.06</v>
      </c>
      <c r="H409" s="3231" t="s">
        <v>3438</v>
      </c>
      <c r="I409" s="3230">
        <v>2332240</v>
      </c>
      <c r="J409" s="3229">
        <v>44045</v>
      </c>
      <c r="K409" s="3234">
        <v>8</v>
      </c>
      <c r="L409" s="3230">
        <v>2332240</v>
      </c>
      <c r="M409" s="3235">
        <v>15439.163246392161</v>
      </c>
      <c r="N409" s="3236">
        <v>652240</v>
      </c>
    </row>
    <row r="410" spans="1:14">
      <c r="G410" s="3215">
        <f>SUM(G3:G409)</f>
        <v>55526.580000000104</v>
      </c>
      <c r="L410" s="3264">
        <f>SUM(L3:L409)</f>
        <v>811748336</v>
      </c>
      <c r="M410" s="3215">
        <f>L410/G410</f>
        <v>14619.094783075034</v>
      </c>
    </row>
  </sheetData>
  <mergeCells count="3">
    <mergeCell ref="A1:D1"/>
    <mergeCell ref="E1:I1"/>
    <mergeCell ref="J1:N1"/>
  </mergeCells>
  <phoneticPr fontId="228" type="noConversion"/>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topLeftCell="A84" workbookViewId="0">
      <selection activeCell="N121" sqref="N121"/>
    </sheetView>
  </sheetViews>
  <sheetFormatPr defaultRowHeight="13.5"/>
  <cols>
    <col min="1" max="11" width="9" style="3215"/>
    <col min="12" max="12" width="11" style="3215" bestFit="1" customWidth="1"/>
    <col min="13" max="267" width="9" style="3215"/>
    <col min="268" max="268" width="11" style="3215" bestFit="1" customWidth="1"/>
    <col min="269" max="523" width="9" style="3215"/>
    <col min="524" max="524" width="11" style="3215" bestFit="1" customWidth="1"/>
    <col min="525" max="779" width="9" style="3215"/>
    <col min="780" max="780" width="11" style="3215" bestFit="1" customWidth="1"/>
    <col min="781" max="1035" width="9" style="3215"/>
    <col min="1036" max="1036" width="11" style="3215" bestFit="1" customWidth="1"/>
    <col min="1037" max="1291" width="9" style="3215"/>
    <col min="1292" max="1292" width="11" style="3215" bestFit="1" customWidth="1"/>
    <col min="1293" max="1547" width="9" style="3215"/>
    <col min="1548" max="1548" width="11" style="3215" bestFit="1" customWidth="1"/>
    <col min="1549" max="1803" width="9" style="3215"/>
    <col min="1804" max="1804" width="11" style="3215" bestFit="1" customWidth="1"/>
    <col min="1805" max="2059" width="9" style="3215"/>
    <col min="2060" max="2060" width="11" style="3215" bestFit="1" customWidth="1"/>
    <col min="2061" max="2315" width="9" style="3215"/>
    <col min="2316" max="2316" width="11" style="3215" bestFit="1" customWidth="1"/>
    <col min="2317" max="2571" width="9" style="3215"/>
    <col min="2572" max="2572" width="11" style="3215" bestFit="1" customWidth="1"/>
    <col min="2573" max="2827" width="9" style="3215"/>
    <col min="2828" max="2828" width="11" style="3215" bestFit="1" customWidth="1"/>
    <col min="2829" max="3083" width="9" style="3215"/>
    <col min="3084" max="3084" width="11" style="3215" bestFit="1" customWidth="1"/>
    <col min="3085" max="3339" width="9" style="3215"/>
    <col min="3340" max="3340" width="11" style="3215" bestFit="1" customWidth="1"/>
    <col min="3341" max="3595" width="9" style="3215"/>
    <col min="3596" max="3596" width="11" style="3215" bestFit="1" customWidth="1"/>
    <col min="3597" max="3851" width="9" style="3215"/>
    <col min="3852" max="3852" width="11" style="3215" bestFit="1" customWidth="1"/>
    <col min="3853" max="4107" width="9" style="3215"/>
    <col min="4108" max="4108" width="11" style="3215" bestFit="1" customWidth="1"/>
    <col min="4109" max="4363" width="9" style="3215"/>
    <col min="4364" max="4364" width="11" style="3215" bestFit="1" customWidth="1"/>
    <col min="4365" max="4619" width="9" style="3215"/>
    <col min="4620" max="4620" width="11" style="3215" bestFit="1" customWidth="1"/>
    <col min="4621" max="4875" width="9" style="3215"/>
    <col min="4876" max="4876" width="11" style="3215" bestFit="1" customWidth="1"/>
    <col min="4877" max="5131" width="9" style="3215"/>
    <col min="5132" max="5132" width="11" style="3215" bestFit="1" customWidth="1"/>
    <col min="5133" max="5387" width="9" style="3215"/>
    <col min="5388" max="5388" width="11" style="3215" bestFit="1" customWidth="1"/>
    <col min="5389" max="5643" width="9" style="3215"/>
    <col min="5644" max="5644" width="11" style="3215" bestFit="1" customWidth="1"/>
    <col min="5645" max="5899" width="9" style="3215"/>
    <col min="5900" max="5900" width="11" style="3215" bestFit="1" customWidth="1"/>
    <col min="5901" max="6155" width="9" style="3215"/>
    <col min="6156" max="6156" width="11" style="3215" bestFit="1" customWidth="1"/>
    <col min="6157" max="6411" width="9" style="3215"/>
    <col min="6412" max="6412" width="11" style="3215" bestFit="1" customWidth="1"/>
    <col min="6413" max="6667" width="9" style="3215"/>
    <col min="6668" max="6668" width="11" style="3215" bestFit="1" customWidth="1"/>
    <col min="6669" max="6923" width="9" style="3215"/>
    <col min="6924" max="6924" width="11" style="3215" bestFit="1" customWidth="1"/>
    <col min="6925" max="7179" width="9" style="3215"/>
    <col min="7180" max="7180" width="11" style="3215" bestFit="1" customWidth="1"/>
    <col min="7181" max="7435" width="9" style="3215"/>
    <col min="7436" max="7436" width="11" style="3215" bestFit="1" customWidth="1"/>
    <col min="7437" max="7691" width="9" style="3215"/>
    <col min="7692" max="7692" width="11" style="3215" bestFit="1" customWidth="1"/>
    <col min="7693" max="7947" width="9" style="3215"/>
    <col min="7948" max="7948" width="11" style="3215" bestFit="1" customWidth="1"/>
    <col min="7949" max="8203" width="9" style="3215"/>
    <col min="8204" max="8204" width="11" style="3215" bestFit="1" customWidth="1"/>
    <col min="8205" max="8459" width="9" style="3215"/>
    <col min="8460" max="8460" width="11" style="3215" bestFit="1" customWidth="1"/>
    <col min="8461" max="8715" width="9" style="3215"/>
    <col min="8716" max="8716" width="11" style="3215" bestFit="1" customWidth="1"/>
    <col min="8717" max="8971" width="9" style="3215"/>
    <col min="8972" max="8972" width="11" style="3215" bestFit="1" customWidth="1"/>
    <col min="8973" max="9227" width="9" style="3215"/>
    <col min="9228" max="9228" width="11" style="3215" bestFit="1" customWidth="1"/>
    <col min="9229" max="9483" width="9" style="3215"/>
    <col min="9484" max="9484" width="11" style="3215" bestFit="1" customWidth="1"/>
    <col min="9485" max="9739" width="9" style="3215"/>
    <col min="9740" max="9740" width="11" style="3215" bestFit="1" customWidth="1"/>
    <col min="9741" max="9995" width="9" style="3215"/>
    <col min="9996" max="9996" width="11" style="3215" bestFit="1" customWidth="1"/>
    <col min="9997" max="10251" width="9" style="3215"/>
    <col min="10252" max="10252" width="11" style="3215" bestFit="1" customWidth="1"/>
    <col min="10253" max="10507" width="9" style="3215"/>
    <col min="10508" max="10508" width="11" style="3215" bestFit="1" customWidth="1"/>
    <col min="10509" max="10763" width="9" style="3215"/>
    <col min="10764" max="10764" width="11" style="3215" bestFit="1" customWidth="1"/>
    <col min="10765" max="11019" width="9" style="3215"/>
    <col min="11020" max="11020" width="11" style="3215" bestFit="1" customWidth="1"/>
    <col min="11021" max="11275" width="9" style="3215"/>
    <col min="11276" max="11276" width="11" style="3215" bestFit="1" customWidth="1"/>
    <col min="11277" max="11531" width="9" style="3215"/>
    <col min="11532" max="11532" width="11" style="3215" bestFit="1" customWidth="1"/>
    <col min="11533" max="11787" width="9" style="3215"/>
    <col min="11788" max="11788" width="11" style="3215" bestFit="1" customWidth="1"/>
    <col min="11789" max="12043" width="9" style="3215"/>
    <col min="12044" max="12044" width="11" style="3215" bestFit="1" customWidth="1"/>
    <col min="12045" max="12299" width="9" style="3215"/>
    <col min="12300" max="12300" width="11" style="3215" bestFit="1" customWidth="1"/>
    <col min="12301" max="12555" width="9" style="3215"/>
    <col min="12556" max="12556" width="11" style="3215" bestFit="1" customWidth="1"/>
    <col min="12557" max="12811" width="9" style="3215"/>
    <col min="12812" max="12812" width="11" style="3215" bestFit="1" customWidth="1"/>
    <col min="12813" max="13067" width="9" style="3215"/>
    <col min="13068" max="13068" width="11" style="3215" bestFit="1" customWidth="1"/>
    <col min="13069" max="13323" width="9" style="3215"/>
    <col min="13324" max="13324" width="11" style="3215" bestFit="1" customWidth="1"/>
    <col min="13325" max="13579" width="9" style="3215"/>
    <col min="13580" max="13580" width="11" style="3215" bestFit="1" customWidth="1"/>
    <col min="13581" max="13835" width="9" style="3215"/>
    <col min="13836" max="13836" width="11" style="3215" bestFit="1" customWidth="1"/>
    <col min="13837" max="14091" width="9" style="3215"/>
    <col min="14092" max="14092" width="11" style="3215" bestFit="1" customWidth="1"/>
    <col min="14093" max="14347" width="9" style="3215"/>
    <col min="14348" max="14348" width="11" style="3215" bestFit="1" customWidth="1"/>
    <col min="14349" max="14603" width="9" style="3215"/>
    <col min="14604" max="14604" width="11" style="3215" bestFit="1" customWidth="1"/>
    <col min="14605" max="14859" width="9" style="3215"/>
    <col min="14860" max="14860" width="11" style="3215" bestFit="1" customWidth="1"/>
    <col min="14861" max="15115" width="9" style="3215"/>
    <col min="15116" max="15116" width="11" style="3215" bestFit="1" customWidth="1"/>
    <col min="15117" max="15371" width="9" style="3215"/>
    <col min="15372" max="15372" width="11" style="3215" bestFit="1" customWidth="1"/>
    <col min="15373" max="15627" width="9" style="3215"/>
    <col min="15628" max="15628" width="11" style="3215" bestFit="1" customWidth="1"/>
    <col min="15629" max="15883" width="9" style="3215"/>
    <col min="15884" max="15884" width="11" style="3215" bestFit="1" customWidth="1"/>
    <col min="15885" max="16139" width="9" style="3215"/>
    <col min="16140" max="16140" width="11" style="3215" bestFit="1" customWidth="1"/>
    <col min="16141" max="16384" width="9" style="3215"/>
  </cols>
  <sheetData>
    <row r="1" spans="1:14">
      <c r="A1" s="3657" t="s">
        <v>3317</v>
      </c>
      <c r="B1" s="3657"/>
      <c r="C1" s="3658"/>
      <c r="D1" s="3659"/>
      <c r="E1" s="3660" t="s">
        <v>3318</v>
      </c>
      <c r="F1" s="3661"/>
      <c r="G1" s="3662"/>
      <c r="H1" s="3662"/>
      <c r="I1" s="3661"/>
      <c r="J1" s="3663" t="s">
        <v>3319</v>
      </c>
      <c r="K1" s="3664"/>
      <c r="L1" s="3665"/>
      <c r="M1" s="3665"/>
      <c r="N1" s="3665"/>
    </row>
    <row r="2" spans="1:14">
      <c r="A2" s="3216" t="s">
        <v>2366</v>
      </c>
      <c r="B2" s="3216" t="s">
        <v>3320</v>
      </c>
      <c r="C2" s="3217" t="s">
        <v>3321</v>
      </c>
      <c r="D2" s="3218" t="s">
        <v>3322</v>
      </c>
      <c r="E2" s="3219" t="s">
        <v>3323</v>
      </c>
      <c r="F2" s="3220" t="s">
        <v>3324</v>
      </c>
      <c r="G2" s="3221" t="s">
        <v>3325</v>
      </c>
      <c r="H2" s="3221" t="s">
        <v>3321</v>
      </c>
      <c r="I2" s="3220" t="s">
        <v>3326</v>
      </c>
      <c r="J2" s="3222" t="s">
        <v>3327</v>
      </c>
      <c r="K2" s="3223" t="s">
        <v>3328</v>
      </c>
      <c r="L2" s="3224" t="s">
        <v>3329</v>
      </c>
      <c r="M2" s="3224" t="s">
        <v>3330</v>
      </c>
      <c r="N2" s="3225" t="s">
        <v>3331</v>
      </c>
    </row>
    <row r="3" spans="1:14" ht="24">
      <c r="A3" s="3226">
        <v>269</v>
      </c>
      <c r="B3" s="3250" t="s">
        <v>4137</v>
      </c>
      <c r="C3" s="3250" t="s">
        <v>3009</v>
      </c>
      <c r="D3" s="3251" t="s">
        <v>4138</v>
      </c>
      <c r="E3" s="3229">
        <v>44003</v>
      </c>
      <c r="F3" s="3230">
        <v>200000</v>
      </c>
      <c r="G3" s="3231">
        <v>216.96</v>
      </c>
      <c r="H3" s="3231" t="s">
        <v>3438</v>
      </c>
      <c r="I3" s="3230">
        <v>5616855</v>
      </c>
      <c r="J3" s="3229">
        <v>44007</v>
      </c>
      <c r="K3" s="3234">
        <v>6</v>
      </c>
      <c r="L3" s="3230">
        <v>5428519</v>
      </c>
      <c r="M3" s="3235">
        <v>25020.828724188788</v>
      </c>
      <c r="N3" s="3236">
        <v>5228519</v>
      </c>
    </row>
    <row r="4" spans="1:14">
      <c r="A4" s="3226">
        <v>270</v>
      </c>
      <c r="B4" s="3250" t="s">
        <v>4139</v>
      </c>
      <c r="C4" s="3250" t="s">
        <v>3009</v>
      </c>
      <c r="D4" s="3251" t="s">
        <v>4140</v>
      </c>
      <c r="E4" s="3229">
        <v>44003</v>
      </c>
      <c r="F4" s="3230">
        <v>200000</v>
      </c>
      <c r="G4" s="3231">
        <v>186.59</v>
      </c>
      <c r="H4" s="3231" t="s">
        <v>3438</v>
      </c>
      <c r="I4" s="3230">
        <v>4618082</v>
      </c>
      <c r="J4" s="3229">
        <v>44010</v>
      </c>
      <c r="K4" s="3234">
        <v>6</v>
      </c>
      <c r="L4" s="3230">
        <v>4477177</v>
      </c>
      <c r="M4" s="3235">
        <v>23994.731764831984</v>
      </c>
      <c r="N4" s="3236">
        <v>1147177</v>
      </c>
    </row>
    <row r="5" spans="1:14">
      <c r="A5" s="3226">
        <v>271</v>
      </c>
      <c r="B5" s="3250" t="s">
        <v>4141</v>
      </c>
      <c r="C5" s="3250" t="s">
        <v>3009</v>
      </c>
      <c r="D5" s="3251" t="s">
        <v>4142</v>
      </c>
      <c r="E5" s="3229">
        <v>44005</v>
      </c>
      <c r="F5" s="3230">
        <v>200000</v>
      </c>
      <c r="G5" s="3231">
        <v>186.59</v>
      </c>
      <c r="H5" s="3231" t="s">
        <v>3438</v>
      </c>
      <c r="I5" s="3230">
        <v>4650353</v>
      </c>
      <c r="J5" s="3229">
        <v>44005</v>
      </c>
      <c r="K5" s="3234">
        <v>6</v>
      </c>
      <c r="L5" s="3230">
        <v>4508806</v>
      </c>
      <c r="M5" s="3235">
        <v>24164.242456723296</v>
      </c>
      <c r="N5" s="3236">
        <v>1158806</v>
      </c>
    </row>
    <row r="6" spans="1:14">
      <c r="A6" s="3226">
        <v>272</v>
      </c>
      <c r="B6" s="3250" t="s">
        <v>4143</v>
      </c>
      <c r="C6" s="3250" t="s">
        <v>3009</v>
      </c>
      <c r="D6" s="3251" t="s">
        <v>4144</v>
      </c>
      <c r="E6" s="3229">
        <v>44004</v>
      </c>
      <c r="F6" s="3230">
        <v>200000</v>
      </c>
      <c r="G6" s="3231">
        <v>186.59</v>
      </c>
      <c r="H6" s="3231" t="s">
        <v>3438</v>
      </c>
      <c r="I6" s="3230">
        <v>4683170</v>
      </c>
      <c r="J6" s="3229">
        <v>44006</v>
      </c>
      <c r="K6" s="3234">
        <v>6</v>
      </c>
      <c r="L6" s="3230">
        <v>4540970</v>
      </c>
      <c r="M6" s="3235">
        <v>24336.620397663326</v>
      </c>
      <c r="N6" s="3236">
        <v>1340970</v>
      </c>
    </row>
    <row r="7" spans="1:14" ht="24">
      <c r="A7" s="3226">
        <v>273</v>
      </c>
      <c r="B7" s="3250" t="s">
        <v>4145</v>
      </c>
      <c r="C7" s="3250" t="s">
        <v>3009</v>
      </c>
      <c r="D7" s="3251" t="s">
        <v>4146</v>
      </c>
      <c r="E7" s="3229">
        <v>44005</v>
      </c>
      <c r="F7" s="3230">
        <v>200000</v>
      </c>
      <c r="G7" s="3231">
        <v>186.59</v>
      </c>
      <c r="H7" s="3231" t="s">
        <v>3438</v>
      </c>
      <c r="I7" s="3230">
        <v>4715441</v>
      </c>
      <c r="J7" s="3229">
        <v>44010</v>
      </c>
      <c r="K7" s="3234">
        <v>6</v>
      </c>
      <c r="L7" s="3230">
        <v>4648487</v>
      </c>
      <c r="M7" s="3235">
        <v>24912.840988263037</v>
      </c>
      <c r="N7" s="3236">
        <v>1448487</v>
      </c>
    </row>
    <row r="8" spans="1:14">
      <c r="A8" s="3226">
        <v>274</v>
      </c>
      <c r="B8" s="3250" t="s">
        <v>4147</v>
      </c>
      <c r="C8" s="3250" t="s">
        <v>3009</v>
      </c>
      <c r="D8" s="3251" t="s">
        <v>3435</v>
      </c>
      <c r="E8" s="3229">
        <v>44003</v>
      </c>
      <c r="F8" s="3230">
        <v>200000</v>
      </c>
      <c r="G8" s="3231">
        <v>228.7</v>
      </c>
      <c r="H8" s="3231" t="s">
        <v>3438</v>
      </c>
      <c r="I8" s="3230">
        <v>5635413</v>
      </c>
      <c r="J8" s="3229">
        <v>44011</v>
      </c>
      <c r="K8" s="3234">
        <v>6</v>
      </c>
      <c r="L8" s="3230">
        <v>5446615</v>
      </c>
      <c r="M8" s="3235">
        <v>23815.544381285526</v>
      </c>
      <c r="N8" s="3236">
        <v>800000</v>
      </c>
    </row>
    <row r="9" spans="1:14" ht="24">
      <c r="A9" s="3226">
        <v>275</v>
      </c>
      <c r="B9" s="3250" t="s">
        <v>4148</v>
      </c>
      <c r="C9" s="3250" t="s">
        <v>3009</v>
      </c>
      <c r="D9" s="3251" t="s">
        <v>4149</v>
      </c>
      <c r="E9" s="3229">
        <v>44010</v>
      </c>
      <c r="F9" s="3230">
        <v>200000</v>
      </c>
      <c r="G9" s="3231">
        <v>208.42</v>
      </c>
      <c r="H9" s="3231" t="s">
        <v>3438</v>
      </c>
      <c r="I9" s="3230">
        <v>4199404</v>
      </c>
      <c r="J9" s="3229">
        <v>44010</v>
      </c>
      <c r="K9" s="3234">
        <v>6</v>
      </c>
      <c r="L9" s="3230">
        <v>4066831</v>
      </c>
      <c r="M9" s="3235">
        <v>19512.671528644085</v>
      </c>
      <c r="N9" s="3236">
        <v>2616831</v>
      </c>
    </row>
    <row r="10" spans="1:14">
      <c r="A10" s="3226">
        <v>276</v>
      </c>
      <c r="B10" s="3250" t="s">
        <v>4150</v>
      </c>
      <c r="C10" s="3250" t="s">
        <v>3009</v>
      </c>
      <c r="D10" s="3251" t="s">
        <v>4151</v>
      </c>
      <c r="E10" s="3229">
        <v>44003</v>
      </c>
      <c r="F10" s="3230">
        <v>200000</v>
      </c>
      <c r="G10" s="3231">
        <v>180.62</v>
      </c>
      <c r="H10" s="3231" t="s">
        <v>3438</v>
      </c>
      <c r="I10" s="3230">
        <v>3704686</v>
      </c>
      <c r="J10" s="3229">
        <v>44010</v>
      </c>
      <c r="K10" s="3234">
        <v>6</v>
      </c>
      <c r="L10" s="3230">
        <v>3581958</v>
      </c>
      <c r="M10" s="3235">
        <v>19831.458310264643</v>
      </c>
      <c r="N10" s="3236">
        <v>881958</v>
      </c>
    </row>
    <row r="11" spans="1:14" ht="24">
      <c r="A11" s="3226">
        <v>277</v>
      </c>
      <c r="B11" s="3250" t="s">
        <v>4152</v>
      </c>
      <c r="C11" s="3250" t="s">
        <v>3009</v>
      </c>
      <c r="D11" s="3251" t="s">
        <v>4153</v>
      </c>
      <c r="E11" s="3229">
        <v>44003</v>
      </c>
      <c r="F11" s="3230">
        <v>200000</v>
      </c>
      <c r="G11" s="3231">
        <v>180.62</v>
      </c>
      <c r="H11" s="3231" t="s">
        <v>3438</v>
      </c>
      <c r="I11" s="3230">
        <v>3738170</v>
      </c>
      <c r="J11" s="3229">
        <v>44007</v>
      </c>
      <c r="K11" s="3234">
        <v>6</v>
      </c>
      <c r="L11" s="3230">
        <v>3614775</v>
      </c>
      <c r="M11" s="3235">
        <v>20013.149152917726</v>
      </c>
      <c r="N11" s="3236">
        <v>1414775</v>
      </c>
    </row>
    <row r="12" spans="1:14">
      <c r="A12" s="3226">
        <v>278</v>
      </c>
      <c r="B12" s="3250" t="s">
        <v>4154</v>
      </c>
      <c r="C12" s="3250" t="s">
        <v>3009</v>
      </c>
      <c r="D12" s="3251" t="s">
        <v>4155</v>
      </c>
      <c r="E12" s="3229">
        <v>44003</v>
      </c>
      <c r="F12" s="3230">
        <v>200000</v>
      </c>
      <c r="G12" s="3231">
        <v>180.62</v>
      </c>
      <c r="H12" s="3231" t="s">
        <v>3438</v>
      </c>
      <c r="I12" s="3230">
        <v>3772196</v>
      </c>
      <c r="J12" s="3229">
        <v>44010</v>
      </c>
      <c r="K12" s="3234">
        <v>6</v>
      </c>
      <c r="L12" s="3230">
        <v>3629699</v>
      </c>
      <c r="M12" s="3235">
        <v>20095.775661610009</v>
      </c>
      <c r="N12" s="3236">
        <v>3429699</v>
      </c>
    </row>
    <row r="13" spans="1:14">
      <c r="A13" s="3226">
        <v>279</v>
      </c>
      <c r="B13" s="3250" t="s">
        <v>4156</v>
      </c>
      <c r="C13" s="3250" t="s">
        <v>3009</v>
      </c>
      <c r="D13" s="3251" t="s">
        <v>4157</v>
      </c>
      <c r="E13" s="3229">
        <v>44003</v>
      </c>
      <c r="F13" s="3230">
        <v>200000</v>
      </c>
      <c r="G13" s="3231">
        <v>180.55</v>
      </c>
      <c r="H13" s="3231" t="s">
        <v>3438</v>
      </c>
      <c r="I13" s="3230">
        <v>3804755</v>
      </c>
      <c r="J13" s="3229">
        <v>44010</v>
      </c>
      <c r="K13" s="3234">
        <v>6</v>
      </c>
      <c r="L13" s="3230">
        <v>3680035</v>
      </c>
      <c r="M13" s="3235">
        <v>20382.359457214068</v>
      </c>
      <c r="N13" s="3236">
        <v>910035</v>
      </c>
    </row>
    <row r="14" spans="1:14">
      <c r="A14" s="3226">
        <v>280</v>
      </c>
      <c r="B14" s="3250" t="s">
        <v>4158</v>
      </c>
      <c r="C14" s="3250" t="s">
        <v>3009</v>
      </c>
      <c r="D14" s="3251" t="s">
        <v>3341</v>
      </c>
      <c r="E14" s="3229">
        <v>44003</v>
      </c>
      <c r="F14" s="3230">
        <v>200000</v>
      </c>
      <c r="G14" s="3231">
        <v>203.45</v>
      </c>
      <c r="H14" s="3231" t="s">
        <v>3438</v>
      </c>
      <c r="I14" s="3230">
        <v>4168641</v>
      </c>
      <c r="J14" s="3229">
        <v>44011</v>
      </c>
      <c r="K14" s="3234">
        <v>6</v>
      </c>
      <c r="L14" s="3230">
        <v>4016293</v>
      </c>
      <c r="M14" s="3235">
        <v>19740.933890390759</v>
      </c>
      <c r="N14" s="3236">
        <v>1100000</v>
      </c>
    </row>
    <row r="15" spans="1:14">
      <c r="A15" s="3226">
        <v>282</v>
      </c>
      <c r="B15" s="3250" t="s">
        <v>4159</v>
      </c>
      <c r="C15" s="3250" t="s">
        <v>3009</v>
      </c>
      <c r="D15" s="3251" t="s">
        <v>4160</v>
      </c>
      <c r="E15" s="3229">
        <v>44006</v>
      </c>
      <c r="F15" s="3230">
        <v>200000</v>
      </c>
      <c r="G15" s="3231">
        <v>233.56</v>
      </c>
      <c r="H15" s="3231" t="s">
        <v>3438</v>
      </c>
      <c r="I15" s="3230">
        <v>5239027</v>
      </c>
      <c r="J15" s="3229">
        <v>44013</v>
      </c>
      <c r="K15" s="3234">
        <v>7</v>
      </c>
      <c r="L15" s="3230">
        <v>5166837</v>
      </c>
      <c r="M15" s="3235">
        <v>22122.097105668778</v>
      </c>
      <c r="N15" s="3236">
        <v>1356837</v>
      </c>
    </row>
    <row r="16" spans="1:14" ht="24">
      <c r="A16" s="3226">
        <v>284</v>
      </c>
      <c r="B16" s="3250" t="s">
        <v>4161</v>
      </c>
      <c r="C16" s="3250" t="s">
        <v>3009</v>
      </c>
      <c r="D16" s="3251" t="s">
        <v>4162</v>
      </c>
      <c r="E16" s="3229">
        <v>44003</v>
      </c>
      <c r="F16" s="3230">
        <v>200000</v>
      </c>
      <c r="G16" s="3231">
        <v>183.65</v>
      </c>
      <c r="H16" s="3231" t="s">
        <v>3438</v>
      </c>
      <c r="I16" s="3230">
        <v>4533088</v>
      </c>
      <c r="J16" s="3229">
        <v>44006</v>
      </c>
      <c r="K16" s="3234">
        <v>6</v>
      </c>
      <c r="L16" s="3230">
        <v>4393875</v>
      </c>
      <c r="M16" s="3235">
        <v>23925.265450585353</v>
      </c>
      <c r="N16" s="3236">
        <v>2693875</v>
      </c>
    </row>
    <row r="17" spans="1:14">
      <c r="A17" s="3226">
        <v>285</v>
      </c>
      <c r="B17" s="3250" t="s">
        <v>4163</v>
      </c>
      <c r="C17" s="3250" t="s">
        <v>3009</v>
      </c>
      <c r="D17" s="3251" t="s">
        <v>4164</v>
      </c>
      <c r="E17" s="3229">
        <v>44003</v>
      </c>
      <c r="F17" s="3230">
        <v>200000</v>
      </c>
      <c r="G17" s="3231">
        <v>214.82</v>
      </c>
      <c r="H17" s="3231" t="s">
        <v>3438</v>
      </c>
      <c r="I17" s="3230">
        <v>5395173</v>
      </c>
      <c r="J17" s="3229">
        <v>44007</v>
      </c>
      <c r="K17" s="3234">
        <v>6</v>
      </c>
      <c r="L17" s="3230">
        <v>5212345</v>
      </c>
      <c r="M17" s="3235">
        <v>24263.778977748814</v>
      </c>
      <c r="N17" s="3236">
        <v>5012345</v>
      </c>
    </row>
    <row r="18" spans="1:14" ht="24">
      <c r="A18" s="3226">
        <v>286</v>
      </c>
      <c r="B18" s="3250" t="s">
        <v>4165</v>
      </c>
      <c r="C18" s="3250" t="s">
        <v>3009</v>
      </c>
      <c r="D18" s="3251" t="s">
        <v>4166</v>
      </c>
      <c r="E18" s="3229">
        <v>44003</v>
      </c>
      <c r="F18" s="3230">
        <v>200000</v>
      </c>
      <c r="G18" s="3231">
        <v>203.19</v>
      </c>
      <c r="H18" s="3231" t="s">
        <v>3438</v>
      </c>
      <c r="I18" s="3230">
        <v>3909010</v>
      </c>
      <c r="J18" s="3229">
        <v>44008</v>
      </c>
      <c r="K18" s="3234">
        <v>6</v>
      </c>
      <c r="L18" s="3230">
        <v>3782216</v>
      </c>
      <c r="M18" s="3235">
        <v>18614.183768886265</v>
      </c>
      <c r="N18" s="3236">
        <v>942216</v>
      </c>
    </row>
    <row r="19" spans="1:14" ht="36">
      <c r="A19" s="3226">
        <v>287</v>
      </c>
      <c r="B19" s="3250" t="s">
        <v>4167</v>
      </c>
      <c r="C19" s="3250" t="s">
        <v>3009</v>
      </c>
      <c r="D19" s="3251" t="s">
        <v>4168</v>
      </c>
      <c r="E19" s="3229">
        <v>44003</v>
      </c>
      <c r="F19" s="3230">
        <v>200000</v>
      </c>
      <c r="G19" s="3231">
        <v>177.77</v>
      </c>
      <c r="H19" s="3231" t="s">
        <v>3438</v>
      </c>
      <c r="I19" s="3230">
        <v>3591335</v>
      </c>
      <c r="J19" s="3229">
        <v>44008</v>
      </c>
      <c r="K19" s="3234">
        <v>6</v>
      </c>
      <c r="L19" s="3230">
        <v>3470862</v>
      </c>
      <c r="M19" s="3235">
        <v>19524.452944816334</v>
      </c>
      <c r="N19" s="3236">
        <v>1220862</v>
      </c>
    </row>
    <row r="20" spans="1:14">
      <c r="A20" s="3226">
        <v>288</v>
      </c>
      <c r="B20" s="3250" t="s">
        <v>4169</v>
      </c>
      <c r="C20" s="3250" t="s">
        <v>3009</v>
      </c>
      <c r="D20" s="3251" t="s">
        <v>4170</v>
      </c>
      <c r="E20" s="3229">
        <v>44003</v>
      </c>
      <c r="F20" s="3230">
        <v>200000</v>
      </c>
      <c r="G20" s="3231">
        <v>177.77</v>
      </c>
      <c r="H20" s="3231" t="s">
        <v>3438</v>
      </c>
      <c r="I20" s="3230">
        <v>3644975</v>
      </c>
      <c r="J20" s="3229">
        <v>44014</v>
      </c>
      <c r="K20" s="3234">
        <v>7</v>
      </c>
      <c r="L20" s="3230">
        <v>3503435</v>
      </c>
      <c r="M20" s="3235">
        <v>19707.684086178768</v>
      </c>
      <c r="N20" s="3236">
        <v>903435</v>
      </c>
    </row>
    <row r="21" spans="1:14" ht="24">
      <c r="A21" s="3226">
        <v>289</v>
      </c>
      <c r="B21" s="3250" t="s">
        <v>4171</v>
      </c>
      <c r="C21" s="3250" t="s">
        <v>3009</v>
      </c>
      <c r="D21" s="3251" t="s">
        <v>4172</v>
      </c>
      <c r="E21" s="3229">
        <v>44003</v>
      </c>
      <c r="F21" s="3230">
        <v>200000</v>
      </c>
      <c r="G21" s="3231">
        <v>203.19</v>
      </c>
      <c r="H21" s="3231" t="s">
        <v>3438</v>
      </c>
      <c r="I21" s="3230">
        <v>4049697</v>
      </c>
      <c r="J21" s="3229">
        <v>44008</v>
      </c>
      <c r="K21" s="3234">
        <v>6</v>
      </c>
      <c r="L21" s="3230">
        <v>3900305</v>
      </c>
      <c r="M21" s="3235">
        <v>19195.359023573994</v>
      </c>
      <c r="N21" s="3236">
        <v>3700305</v>
      </c>
    </row>
    <row r="22" spans="1:14">
      <c r="A22" s="3226">
        <v>290</v>
      </c>
      <c r="B22" s="3250" t="s">
        <v>4173</v>
      </c>
      <c r="C22" s="3250" t="s">
        <v>3009</v>
      </c>
      <c r="D22" s="3251" t="s">
        <v>4174</v>
      </c>
      <c r="E22" s="3229">
        <v>44003</v>
      </c>
      <c r="F22" s="3230">
        <v>200000</v>
      </c>
      <c r="G22" s="3231">
        <v>216.67</v>
      </c>
      <c r="H22" s="3231" t="s">
        <v>3438</v>
      </c>
      <c r="I22" s="3230">
        <v>5478397</v>
      </c>
      <c r="J22" s="3229">
        <v>44007</v>
      </c>
      <c r="K22" s="3234">
        <v>6</v>
      </c>
      <c r="L22" s="3230">
        <v>5293501</v>
      </c>
      <c r="M22" s="3235">
        <v>24431.167212812114</v>
      </c>
      <c r="N22" s="3236">
        <v>5093501</v>
      </c>
    </row>
    <row r="23" spans="1:14" ht="24">
      <c r="A23" s="3226">
        <v>291</v>
      </c>
      <c r="B23" s="3250" t="s">
        <v>4175</v>
      </c>
      <c r="C23" s="3250" t="s">
        <v>3009</v>
      </c>
      <c r="D23" s="3251" t="s">
        <v>4176</v>
      </c>
      <c r="E23" s="3229">
        <v>44003</v>
      </c>
      <c r="F23" s="3230">
        <v>200000</v>
      </c>
      <c r="G23" s="3231">
        <v>186.34</v>
      </c>
      <c r="H23" s="3231" t="s">
        <v>3438</v>
      </c>
      <c r="I23" s="3230">
        <v>4519388</v>
      </c>
      <c r="J23" s="3229">
        <v>44007</v>
      </c>
      <c r="K23" s="3234">
        <v>6</v>
      </c>
      <c r="L23" s="3230">
        <v>4380447</v>
      </c>
      <c r="M23" s="3235">
        <v>23507.81904046367</v>
      </c>
      <c r="N23" s="3236">
        <v>2980447</v>
      </c>
    </row>
    <row r="24" spans="1:14" ht="24">
      <c r="A24" s="3226">
        <v>292</v>
      </c>
      <c r="B24" s="3250" t="s">
        <v>4177</v>
      </c>
      <c r="C24" s="3250" t="s">
        <v>3009</v>
      </c>
      <c r="D24" s="3251" t="s">
        <v>4178</v>
      </c>
      <c r="E24" s="3229">
        <v>44003</v>
      </c>
      <c r="F24" s="3230">
        <v>200000</v>
      </c>
      <c r="G24" s="3231">
        <v>186.34</v>
      </c>
      <c r="H24" s="3231" t="s">
        <v>3438</v>
      </c>
      <c r="I24" s="3230">
        <v>4573832</v>
      </c>
      <c r="J24" s="3229">
        <v>44007</v>
      </c>
      <c r="K24" s="3234">
        <v>6</v>
      </c>
      <c r="L24" s="3230">
        <v>4433808</v>
      </c>
      <c r="M24" s="3235">
        <v>23794.182676827306</v>
      </c>
      <c r="N24" s="3236">
        <v>1233808</v>
      </c>
    </row>
    <row r="25" spans="1:14" ht="48">
      <c r="A25" s="3226">
        <v>293</v>
      </c>
      <c r="B25" s="3250" t="s">
        <v>4179</v>
      </c>
      <c r="C25" s="3250" t="s">
        <v>3009</v>
      </c>
      <c r="D25" s="3251" t="s">
        <v>4180</v>
      </c>
      <c r="E25" s="3229">
        <v>44003</v>
      </c>
      <c r="F25" s="3230">
        <v>200000</v>
      </c>
      <c r="G25" s="3231">
        <v>216.67</v>
      </c>
      <c r="H25" s="3231" t="s">
        <v>3438</v>
      </c>
      <c r="I25" s="3230">
        <v>5501859</v>
      </c>
      <c r="J25" s="3229">
        <v>44009</v>
      </c>
      <c r="K25" s="3234">
        <v>6</v>
      </c>
      <c r="L25" s="3230">
        <v>5343367</v>
      </c>
      <c r="M25" s="3235">
        <v>24661.314441316288</v>
      </c>
      <c r="N25" s="3236">
        <v>2143367</v>
      </c>
    </row>
    <row r="26" spans="1:14">
      <c r="A26" s="3226">
        <v>294</v>
      </c>
      <c r="B26" s="3250" t="s">
        <v>4181</v>
      </c>
      <c r="C26" s="3250" t="s">
        <v>3009</v>
      </c>
      <c r="D26" s="3251" t="s">
        <v>4182</v>
      </c>
      <c r="E26" s="3229">
        <v>44003</v>
      </c>
      <c r="F26" s="3230">
        <v>200000</v>
      </c>
      <c r="G26" s="3231">
        <v>208.14</v>
      </c>
      <c r="H26" s="3231" t="s">
        <v>3438</v>
      </c>
      <c r="I26" s="3230">
        <v>4066929</v>
      </c>
      <c r="J26" s="3229">
        <v>44007</v>
      </c>
      <c r="K26" s="3234">
        <v>6</v>
      </c>
      <c r="L26" s="3230">
        <v>3917108</v>
      </c>
      <c r="M26" s="3235">
        <v>18819.582972998945</v>
      </c>
      <c r="N26" s="3236">
        <v>3717108</v>
      </c>
    </row>
    <row r="27" spans="1:14" ht="24">
      <c r="A27" s="3226">
        <v>295</v>
      </c>
      <c r="B27" s="3250" t="s">
        <v>4183</v>
      </c>
      <c r="C27" s="3250" t="s">
        <v>3009</v>
      </c>
      <c r="D27" s="3251" t="s">
        <v>4184</v>
      </c>
      <c r="E27" s="3229">
        <v>44003</v>
      </c>
      <c r="F27" s="3230">
        <v>200000</v>
      </c>
      <c r="G27" s="3231">
        <v>180.37</v>
      </c>
      <c r="H27" s="3231" t="s">
        <v>3438</v>
      </c>
      <c r="I27" s="3230">
        <v>3674060</v>
      </c>
      <c r="J27" s="3229">
        <v>44010</v>
      </c>
      <c r="K27" s="3234">
        <v>6</v>
      </c>
      <c r="L27" s="3230">
        <v>3551941</v>
      </c>
      <c r="M27" s="3235">
        <v>19692.526473360314</v>
      </c>
      <c r="N27" s="3236">
        <v>1051941</v>
      </c>
    </row>
    <row r="28" spans="1:14">
      <c r="A28" s="3226">
        <v>296</v>
      </c>
      <c r="B28" s="3250" t="s">
        <v>4185</v>
      </c>
      <c r="C28" s="3250" t="s">
        <v>3009</v>
      </c>
      <c r="D28" s="3251" t="s">
        <v>4186</v>
      </c>
      <c r="E28" s="3229">
        <v>44003</v>
      </c>
      <c r="F28" s="3230">
        <v>200000</v>
      </c>
      <c r="G28" s="3231">
        <v>180.37</v>
      </c>
      <c r="H28" s="3231" t="s">
        <v>3438</v>
      </c>
      <c r="I28" s="3230">
        <v>3727942</v>
      </c>
      <c r="J28" s="3229">
        <v>44009</v>
      </c>
      <c r="K28" s="3234">
        <v>6</v>
      </c>
      <c r="L28" s="3230">
        <v>3604751</v>
      </c>
      <c r="M28" s="3235">
        <v>19985.313522204357</v>
      </c>
      <c r="N28" s="3236">
        <v>904751</v>
      </c>
    </row>
    <row r="29" spans="1:14" ht="48">
      <c r="A29" s="3226">
        <v>297</v>
      </c>
      <c r="B29" s="3250" t="s">
        <v>4187</v>
      </c>
      <c r="C29" s="3250" t="s">
        <v>3009</v>
      </c>
      <c r="D29" s="3251" t="s">
        <v>4180</v>
      </c>
      <c r="E29" s="3229">
        <v>44003</v>
      </c>
      <c r="F29" s="3230">
        <v>200000</v>
      </c>
      <c r="G29" s="3231">
        <v>208.14</v>
      </c>
      <c r="H29" s="3231" t="s">
        <v>3438</v>
      </c>
      <c r="I29" s="3230">
        <v>4184127</v>
      </c>
      <c r="J29" s="3229">
        <v>44009</v>
      </c>
      <c r="K29" s="3234">
        <v>6</v>
      </c>
      <c r="L29" s="3230">
        <v>4031394</v>
      </c>
      <c r="M29" s="3235">
        <v>19368.665321418277</v>
      </c>
      <c r="N29" s="3236">
        <v>3831394</v>
      </c>
    </row>
    <row r="30" spans="1:14">
      <c r="A30" s="3226">
        <v>298</v>
      </c>
      <c r="B30" s="3250" t="s">
        <v>4188</v>
      </c>
      <c r="C30" s="3250" t="s">
        <v>3009</v>
      </c>
      <c r="D30" s="3251" t="s">
        <v>4189</v>
      </c>
      <c r="E30" s="3229">
        <v>44003</v>
      </c>
      <c r="F30" s="3230">
        <v>200000</v>
      </c>
      <c r="G30" s="3231">
        <v>215.77</v>
      </c>
      <c r="H30" s="3231" t="s">
        <v>3438</v>
      </c>
      <c r="I30" s="3230">
        <v>5412860</v>
      </c>
      <c r="J30" s="3229">
        <v>44014</v>
      </c>
      <c r="K30" s="3234">
        <v>7</v>
      </c>
      <c r="L30" s="3230">
        <v>5256139</v>
      </c>
      <c r="M30" s="3235">
        <v>24359.915650924595</v>
      </c>
      <c r="N30" s="3236">
        <v>2056139</v>
      </c>
    </row>
    <row r="31" spans="1:14" ht="24">
      <c r="A31" s="3226">
        <v>299</v>
      </c>
      <c r="B31" s="3250" t="s">
        <v>4190</v>
      </c>
      <c r="C31" s="3250" t="s">
        <v>3009</v>
      </c>
      <c r="D31" s="3251" t="s">
        <v>4191</v>
      </c>
      <c r="E31" s="3229">
        <v>44003</v>
      </c>
      <c r="F31" s="3230">
        <v>200000</v>
      </c>
      <c r="G31" s="3231">
        <v>215.77</v>
      </c>
      <c r="H31" s="3231" t="s">
        <v>3438</v>
      </c>
      <c r="I31" s="3230">
        <v>5331755</v>
      </c>
      <c r="J31" s="3229">
        <v>44010</v>
      </c>
      <c r="K31" s="3234">
        <v>6</v>
      </c>
      <c r="L31" s="3230">
        <v>5176648</v>
      </c>
      <c r="M31" s="3235">
        <v>23991.509477684569</v>
      </c>
      <c r="N31" s="3236">
        <v>1976648</v>
      </c>
    </row>
    <row r="32" spans="1:14">
      <c r="A32" s="3226">
        <v>300</v>
      </c>
      <c r="B32" s="3250" t="s">
        <v>4192</v>
      </c>
      <c r="C32" s="3250" t="s">
        <v>3009</v>
      </c>
      <c r="D32" s="3251" t="s">
        <v>4193</v>
      </c>
      <c r="E32" s="3229">
        <v>44003</v>
      </c>
      <c r="F32" s="3230">
        <v>200000</v>
      </c>
      <c r="G32" s="3231">
        <v>207.27</v>
      </c>
      <c r="H32" s="3231" t="s">
        <v>3438</v>
      </c>
      <c r="I32" s="3230">
        <v>4206105</v>
      </c>
      <c r="J32" s="3229">
        <v>44014</v>
      </c>
      <c r="K32" s="3234">
        <v>7</v>
      </c>
      <c r="L32" s="3230">
        <v>4073399</v>
      </c>
      <c r="M32" s="3235">
        <v>19652.622183625223</v>
      </c>
      <c r="N32" s="3236">
        <v>1023399</v>
      </c>
    </row>
    <row r="33" spans="1:14" ht="24">
      <c r="A33" s="3226">
        <v>301</v>
      </c>
      <c r="B33" s="3250" t="s">
        <v>4194</v>
      </c>
      <c r="C33" s="3250" t="s">
        <v>3009</v>
      </c>
      <c r="D33" s="3251" t="s">
        <v>4195</v>
      </c>
      <c r="E33" s="3229">
        <v>44003</v>
      </c>
      <c r="F33" s="3230">
        <v>200000</v>
      </c>
      <c r="G33" s="3231">
        <v>207.27</v>
      </c>
      <c r="H33" s="3231" t="s">
        <v>3438</v>
      </c>
      <c r="I33" s="3230">
        <v>4210541</v>
      </c>
      <c r="J33" s="3229">
        <v>44009</v>
      </c>
      <c r="K33" s="3234">
        <v>6</v>
      </c>
      <c r="L33" s="3230">
        <v>4077746</v>
      </c>
      <c r="M33" s="3235">
        <v>19673.594828002122</v>
      </c>
      <c r="N33" s="3236">
        <v>1027746</v>
      </c>
    </row>
    <row r="34" spans="1:14" ht="24">
      <c r="A34" s="3226">
        <v>303</v>
      </c>
      <c r="B34" s="3250" t="s">
        <v>4196</v>
      </c>
      <c r="C34" s="3250" t="s">
        <v>3009</v>
      </c>
      <c r="D34" s="3251" t="s">
        <v>4197</v>
      </c>
      <c r="E34" s="3229">
        <v>44003</v>
      </c>
      <c r="F34" s="3230">
        <v>200000</v>
      </c>
      <c r="G34" s="3231">
        <v>234.54</v>
      </c>
      <c r="H34" s="3231" t="s">
        <v>3438</v>
      </c>
      <c r="I34" s="3230">
        <v>5271524</v>
      </c>
      <c r="J34" s="3229">
        <v>44010</v>
      </c>
      <c r="K34" s="3234">
        <v>6</v>
      </c>
      <c r="L34" s="3230">
        <v>5091769</v>
      </c>
      <c r="M34" s="3235">
        <v>21709.597510019612</v>
      </c>
      <c r="N34" s="3236">
        <v>4891769</v>
      </c>
    </row>
    <row r="35" spans="1:14" ht="24">
      <c r="A35" s="3226">
        <v>304</v>
      </c>
      <c r="B35" s="3250" t="s">
        <v>4198</v>
      </c>
      <c r="C35" s="3250" t="s">
        <v>3009</v>
      </c>
      <c r="D35" s="3251" t="s">
        <v>4199</v>
      </c>
      <c r="E35" s="3229">
        <v>44003</v>
      </c>
      <c r="F35" s="3230">
        <v>200000</v>
      </c>
      <c r="G35" s="3231">
        <v>184.64</v>
      </c>
      <c r="H35" s="3231" t="s">
        <v>3438</v>
      </c>
      <c r="I35" s="3230">
        <v>4302770</v>
      </c>
      <c r="J35" s="3229">
        <v>44006</v>
      </c>
      <c r="K35" s="3234">
        <v>6</v>
      </c>
      <c r="L35" s="3230">
        <v>4168140</v>
      </c>
      <c r="M35" s="3235">
        <v>22574.415077989604</v>
      </c>
      <c r="N35" s="3236">
        <v>1058140</v>
      </c>
    </row>
    <row r="36" spans="1:14">
      <c r="A36" s="3226">
        <v>305</v>
      </c>
      <c r="B36" s="3250" t="s">
        <v>4200</v>
      </c>
      <c r="C36" s="3250" t="s">
        <v>3009</v>
      </c>
      <c r="D36" s="3251" t="s">
        <v>4201</v>
      </c>
      <c r="E36" s="3229">
        <v>44003</v>
      </c>
      <c r="F36" s="3230">
        <v>200000</v>
      </c>
      <c r="G36" s="3231">
        <v>184.64</v>
      </c>
      <c r="H36" s="3231" t="s">
        <v>3438</v>
      </c>
      <c r="I36" s="3230">
        <v>4335315</v>
      </c>
      <c r="J36" s="3229">
        <v>44007</v>
      </c>
      <c r="K36" s="3234">
        <v>6</v>
      </c>
      <c r="L36" s="3230">
        <v>4200037</v>
      </c>
      <c r="M36" s="3235">
        <v>22747.1674610052</v>
      </c>
      <c r="N36" s="3236">
        <v>1360037</v>
      </c>
    </row>
    <row r="37" spans="1:14" ht="24">
      <c r="A37" s="3226">
        <v>306</v>
      </c>
      <c r="B37" s="3250" t="s">
        <v>4202</v>
      </c>
      <c r="C37" s="3250" t="s">
        <v>3009</v>
      </c>
      <c r="D37" s="3251" t="s">
        <v>4203</v>
      </c>
      <c r="E37" s="3229">
        <v>44003</v>
      </c>
      <c r="F37" s="3230">
        <v>200000</v>
      </c>
      <c r="G37" s="3231">
        <v>184.64</v>
      </c>
      <c r="H37" s="3231" t="s">
        <v>3438</v>
      </c>
      <c r="I37" s="3230">
        <v>4365686</v>
      </c>
      <c r="J37" s="3229">
        <v>44010</v>
      </c>
      <c r="K37" s="3234">
        <v>6</v>
      </c>
      <c r="L37" s="3230">
        <v>4229804</v>
      </c>
      <c r="M37" s="3235">
        <v>22908.38388214905</v>
      </c>
      <c r="N37" s="3236">
        <v>1069804</v>
      </c>
    </row>
    <row r="38" spans="1:14" ht="24">
      <c r="A38" s="3226">
        <v>307</v>
      </c>
      <c r="B38" s="3250" t="s">
        <v>4204</v>
      </c>
      <c r="C38" s="3250" t="s">
        <v>3009</v>
      </c>
      <c r="D38" s="3251" t="s">
        <v>4205</v>
      </c>
      <c r="E38" s="3229">
        <v>44003</v>
      </c>
      <c r="F38" s="3230">
        <v>200000</v>
      </c>
      <c r="G38" s="3231">
        <v>184.64</v>
      </c>
      <c r="H38" s="3231" t="s">
        <v>3438</v>
      </c>
      <c r="I38" s="3230">
        <v>4398230</v>
      </c>
      <c r="J38" s="3229">
        <v>44007</v>
      </c>
      <c r="K38" s="3234">
        <v>6</v>
      </c>
      <c r="L38" s="3230">
        <v>4261700</v>
      </c>
      <c r="M38" s="3235">
        <v>23081.130849220106</v>
      </c>
      <c r="N38" s="3236">
        <v>1081700</v>
      </c>
    </row>
    <row r="39" spans="1:14" ht="24">
      <c r="A39" s="3226">
        <v>308</v>
      </c>
      <c r="B39" s="3250" t="s">
        <v>4206</v>
      </c>
      <c r="C39" s="3250" t="s">
        <v>3009</v>
      </c>
      <c r="D39" s="3251" t="s">
        <v>4207</v>
      </c>
      <c r="E39" s="3229">
        <v>44005</v>
      </c>
      <c r="F39" s="3230">
        <v>200000</v>
      </c>
      <c r="G39" s="3231">
        <v>214.69</v>
      </c>
      <c r="H39" s="3231" t="s">
        <v>3438</v>
      </c>
      <c r="I39" s="3230">
        <v>4953299</v>
      </c>
      <c r="J39" s="3229">
        <v>44010</v>
      </c>
      <c r="K39" s="3234">
        <v>6</v>
      </c>
      <c r="L39" s="3230">
        <v>4835126</v>
      </c>
      <c r="M39" s="3235">
        <v>22521.430900367974</v>
      </c>
      <c r="N39" s="3236">
        <v>1255126</v>
      </c>
    </row>
    <row r="40" spans="1:14" ht="24">
      <c r="A40" s="3226">
        <v>309</v>
      </c>
      <c r="B40" s="3250" t="s">
        <v>4208</v>
      </c>
      <c r="C40" s="3250" t="s">
        <v>3009</v>
      </c>
      <c r="D40" s="3251" t="s">
        <v>4209</v>
      </c>
      <c r="E40" s="3229">
        <v>44003</v>
      </c>
      <c r="F40" s="3230">
        <v>200000</v>
      </c>
      <c r="G40" s="3231">
        <v>206.23</v>
      </c>
      <c r="H40" s="3231" t="s">
        <v>3438</v>
      </c>
      <c r="I40" s="3230">
        <v>3772328</v>
      </c>
      <c r="J40" s="3229">
        <v>44007</v>
      </c>
      <c r="K40" s="3234">
        <v>6</v>
      </c>
      <c r="L40" s="3230">
        <v>3648254</v>
      </c>
      <c r="M40" s="3235">
        <v>17690.219657663773</v>
      </c>
      <c r="N40" s="3236">
        <v>1158254</v>
      </c>
    </row>
    <row r="41" spans="1:14">
      <c r="A41" s="3226">
        <v>310</v>
      </c>
      <c r="B41" s="3250" t="s">
        <v>4210</v>
      </c>
      <c r="C41" s="3250" t="s">
        <v>3009</v>
      </c>
      <c r="D41" s="3251" t="s">
        <v>4211</v>
      </c>
      <c r="E41" s="3229">
        <v>44003</v>
      </c>
      <c r="F41" s="3230">
        <v>200000</v>
      </c>
      <c r="G41" s="3231">
        <v>178.73</v>
      </c>
      <c r="H41" s="3231" t="s">
        <v>3438</v>
      </c>
      <c r="I41" s="3230">
        <v>3383229</v>
      </c>
      <c r="J41" s="3229">
        <v>44006</v>
      </c>
      <c r="K41" s="3234">
        <v>6</v>
      </c>
      <c r="L41" s="3230">
        <v>3266898</v>
      </c>
      <c r="M41" s="3235">
        <v>18278.397582946345</v>
      </c>
      <c r="N41" s="3236">
        <v>786898</v>
      </c>
    </row>
    <row r="42" spans="1:14">
      <c r="A42" s="3226">
        <v>311</v>
      </c>
      <c r="B42" s="3250" t="s">
        <v>4212</v>
      </c>
      <c r="C42" s="3250" t="s">
        <v>3009</v>
      </c>
      <c r="D42" s="3251" t="s">
        <v>4213</v>
      </c>
      <c r="E42" s="3229">
        <v>44003</v>
      </c>
      <c r="F42" s="3230">
        <v>200000</v>
      </c>
      <c r="G42" s="3231">
        <v>178.73</v>
      </c>
      <c r="H42" s="3231" t="s">
        <v>3438</v>
      </c>
      <c r="I42" s="3230">
        <v>3415220</v>
      </c>
      <c r="J42" s="3229">
        <v>44007</v>
      </c>
      <c r="K42" s="3234">
        <v>6</v>
      </c>
      <c r="L42" s="3230">
        <v>3298252</v>
      </c>
      <c r="M42" s="3235">
        <v>18453.824204106753</v>
      </c>
      <c r="N42" s="3236">
        <v>1098252</v>
      </c>
    </row>
    <row r="43" spans="1:14" ht="24">
      <c r="A43" s="3226">
        <v>312</v>
      </c>
      <c r="B43" s="3250" t="s">
        <v>4214</v>
      </c>
      <c r="C43" s="3250" t="s">
        <v>3009</v>
      </c>
      <c r="D43" s="3251" t="s">
        <v>4215</v>
      </c>
      <c r="E43" s="3229">
        <v>44003</v>
      </c>
      <c r="F43" s="3230">
        <v>200000</v>
      </c>
      <c r="G43" s="3231">
        <v>178.73</v>
      </c>
      <c r="H43" s="3231" t="s">
        <v>3438</v>
      </c>
      <c r="I43" s="3230">
        <v>3447210</v>
      </c>
      <c r="J43" s="3229">
        <v>44007</v>
      </c>
      <c r="K43" s="3234">
        <v>6</v>
      </c>
      <c r="L43" s="3230">
        <v>3329606</v>
      </c>
      <c r="M43" s="3235">
        <v>18629.250825267165</v>
      </c>
      <c r="N43" s="3236">
        <v>909606</v>
      </c>
    </row>
    <row r="44" spans="1:14" ht="24">
      <c r="A44" s="3226">
        <v>313</v>
      </c>
      <c r="B44" s="3250" t="s">
        <v>4216</v>
      </c>
      <c r="C44" s="3250" t="s">
        <v>3009</v>
      </c>
      <c r="D44" s="3251" t="s">
        <v>4217</v>
      </c>
      <c r="E44" s="3229">
        <v>44003</v>
      </c>
      <c r="F44" s="3230">
        <v>200000</v>
      </c>
      <c r="G44" s="3231">
        <v>178.73</v>
      </c>
      <c r="H44" s="3231" t="s">
        <v>3438</v>
      </c>
      <c r="I44" s="3230">
        <v>3479200</v>
      </c>
      <c r="J44" s="3229">
        <v>44010</v>
      </c>
      <c r="K44" s="3234">
        <v>6</v>
      </c>
      <c r="L44" s="3230">
        <v>3360959</v>
      </c>
      <c r="M44" s="3235">
        <v>18804.67185139596</v>
      </c>
      <c r="N44" s="3236">
        <v>810959</v>
      </c>
    </row>
    <row r="45" spans="1:14" ht="24">
      <c r="A45" s="3226">
        <v>314</v>
      </c>
      <c r="B45" s="3250" t="s">
        <v>4218</v>
      </c>
      <c r="C45" s="3250" t="s">
        <v>3009</v>
      </c>
      <c r="D45" s="3251" t="s">
        <v>4219</v>
      </c>
      <c r="E45" s="3229">
        <v>44003</v>
      </c>
      <c r="F45" s="3230">
        <v>200000</v>
      </c>
      <c r="G45" s="3231">
        <v>206.23</v>
      </c>
      <c r="H45" s="3231" t="s">
        <v>3438</v>
      </c>
      <c r="I45" s="3230">
        <v>3846574</v>
      </c>
      <c r="J45" s="3229">
        <v>44007</v>
      </c>
      <c r="K45" s="3234">
        <v>6</v>
      </c>
      <c r="L45" s="3230">
        <v>3721022</v>
      </c>
      <c r="M45" s="3235">
        <v>18043.06841875576</v>
      </c>
      <c r="N45" s="3236">
        <v>921022</v>
      </c>
    </row>
    <row r="46" spans="1:14">
      <c r="A46" s="3226">
        <v>315</v>
      </c>
      <c r="B46" s="3250" t="s">
        <v>4220</v>
      </c>
      <c r="C46" s="3250" t="s">
        <v>3009</v>
      </c>
      <c r="D46" s="3251" t="s">
        <v>4221</v>
      </c>
      <c r="E46" s="3229">
        <v>44003</v>
      </c>
      <c r="F46" s="3230">
        <v>200000</v>
      </c>
      <c r="G46" s="3231">
        <v>216.67</v>
      </c>
      <c r="H46" s="3231" t="s">
        <v>3438</v>
      </c>
      <c r="I46" s="3230">
        <v>4875124</v>
      </c>
      <c r="J46" s="3229">
        <v>44010</v>
      </c>
      <c r="K46" s="3234">
        <v>6</v>
      </c>
      <c r="L46" s="3230">
        <v>4729104</v>
      </c>
      <c r="M46" s="3235">
        <v>21826.298056952972</v>
      </c>
      <c r="N46" s="3236">
        <v>1229104</v>
      </c>
    </row>
    <row r="47" spans="1:14">
      <c r="A47" s="3226">
        <v>316</v>
      </c>
      <c r="B47" s="3250" t="s">
        <v>4222</v>
      </c>
      <c r="C47" s="3250" t="s">
        <v>3009</v>
      </c>
      <c r="D47" s="3251" t="s">
        <v>4223</v>
      </c>
      <c r="E47" s="3229">
        <v>44003</v>
      </c>
      <c r="F47" s="3230">
        <v>200000</v>
      </c>
      <c r="G47" s="3231">
        <v>186.34</v>
      </c>
      <c r="H47" s="3231" t="s">
        <v>3438</v>
      </c>
      <c r="I47" s="3230">
        <v>4345843</v>
      </c>
      <c r="J47" s="3229">
        <v>44007</v>
      </c>
      <c r="K47" s="3234">
        <v>6</v>
      </c>
      <c r="L47" s="3230">
        <v>4210356</v>
      </c>
      <c r="M47" s="3235">
        <v>22595.019856176881</v>
      </c>
      <c r="N47" s="3236">
        <v>1070356</v>
      </c>
    </row>
    <row r="48" spans="1:14">
      <c r="A48" s="3226">
        <v>317</v>
      </c>
      <c r="B48" s="3250" t="s">
        <v>4224</v>
      </c>
      <c r="C48" s="3250" t="s">
        <v>3009</v>
      </c>
      <c r="D48" s="3251" t="s">
        <v>4225</v>
      </c>
      <c r="E48" s="3229">
        <v>44003</v>
      </c>
      <c r="F48" s="3230">
        <v>200000</v>
      </c>
      <c r="G48" s="3231">
        <v>186.34</v>
      </c>
      <c r="H48" s="3231" t="s">
        <v>3438</v>
      </c>
      <c r="I48" s="3230">
        <v>4400288</v>
      </c>
      <c r="J48" s="3229">
        <v>44010</v>
      </c>
      <c r="K48" s="3234">
        <v>6</v>
      </c>
      <c r="L48" s="3230">
        <v>4242183</v>
      </c>
      <c r="M48" s="3235">
        <v>22765.820543093268</v>
      </c>
      <c r="N48" s="3236">
        <v>4042183</v>
      </c>
    </row>
    <row r="49" spans="1:14">
      <c r="A49" s="3226">
        <v>318</v>
      </c>
      <c r="B49" s="3250" t="s">
        <v>4226</v>
      </c>
      <c r="C49" s="3250" t="s">
        <v>3009</v>
      </c>
      <c r="D49" s="3251" t="s">
        <v>4227</v>
      </c>
      <c r="E49" s="3229">
        <v>44003</v>
      </c>
      <c r="F49" s="3230">
        <v>200000</v>
      </c>
      <c r="G49" s="3231">
        <v>216.67</v>
      </c>
      <c r="H49" s="3231" t="s">
        <v>3438</v>
      </c>
      <c r="I49" s="3230">
        <v>5116307</v>
      </c>
      <c r="J49" s="3229">
        <v>44007</v>
      </c>
      <c r="K49" s="3234">
        <v>6</v>
      </c>
      <c r="L49" s="3230">
        <v>4965487</v>
      </c>
      <c r="M49" s="3235">
        <v>22917.279734157939</v>
      </c>
      <c r="N49" s="3236">
        <v>3765487</v>
      </c>
    </row>
    <row r="50" spans="1:14">
      <c r="A50" s="3226">
        <v>319</v>
      </c>
      <c r="B50" s="3250" t="s">
        <v>4228</v>
      </c>
      <c r="C50" s="3250" t="s">
        <v>3009</v>
      </c>
      <c r="D50" s="3251" t="s">
        <v>4229</v>
      </c>
      <c r="E50" s="3229">
        <v>44004</v>
      </c>
      <c r="F50" s="3230">
        <v>200000</v>
      </c>
      <c r="G50" s="3231">
        <v>208.14</v>
      </c>
      <c r="H50" s="3231" t="s">
        <v>3438</v>
      </c>
      <c r="I50" s="3230">
        <v>3877612</v>
      </c>
      <c r="J50" s="3229">
        <v>44022</v>
      </c>
      <c r="K50" s="3234">
        <v>7</v>
      </c>
      <c r="L50" s="3230">
        <v>3731443</v>
      </c>
      <c r="M50" s="3235">
        <v>17927.563178629771</v>
      </c>
      <c r="N50" s="3236">
        <v>1000000</v>
      </c>
    </row>
    <row r="51" spans="1:14">
      <c r="A51" s="3226">
        <v>321</v>
      </c>
      <c r="B51" s="3250" t="s">
        <v>4230</v>
      </c>
      <c r="C51" s="3250" t="s">
        <v>3009</v>
      </c>
      <c r="D51" s="3251" t="s">
        <v>4231</v>
      </c>
      <c r="E51" s="3229">
        <v>44003</v>
      </c>
      <c r="F51" s="3230">
        <v>200000</v>
      </c>
      <c r="G51" s="3231">
        <v>180.37</v>
      </c>
      <c r="H51" s="3231" t="s">
        <v>3438</v>
      </c>
      <c r="I51" s="3230">
        <v>3535126</v>
      </c>
      <c r="J51" s="3229">
        <v>44010</v>
      </c>
      <c r="K51" s="3234">
        <v>6</v>
      </c>
      <c r="L51" s="3230">
        <v>3415772</v>
      </c>
      <c r="M51" s="3235">
        <v>18937.583855408328</v>
      </c>
      <c r="N51" s="3236">
        <v>1215772</v>
      </c>
    </row>
    <row r="52" spans="1:14">
      <c r="A52" s="3226">
        <v>322</v>
      </c>
      <c r="B52" s="3250" t="s">
        <v>4232</v>
      </c>
      <c r="C52" s="3250" t="s">
        <v>3009</v>
      </c>
      <c r="D52" s="3251" t="s">
        <v>4233</v>
      </c>
      <c r="E52" s="3229">
        <v>44003</v>
      </c>
      <c r="F52" s="3230">
        <v>200000</v>
      </c>
      <c r="G52" s="3231">
        <v>208.14</v>
      </c>
      <c r="H52" s="3231" t="s">
        <v>3438</v>
      </c>
      <c r="I52" s="3230">
        <v>3969996</v>
      </c>
      <c r="J52" s="3229">
        <v>44023</v>
      </c>
      <c r="K52" s="3234">
        <v>7</v>
      </c>
      <c r="L52" s="3230">
        <v>3841988</v>
      </c>
      <c r="M52" s="3235">
        <v>18458.672047660231</v>
      </c>
      <c r="N52" s="3236">
        <v>1061988</v>
      </c>
    </row>
    <row r="53" spans="1:14" ht="24">
      <c r="A53" s="3226">
        <v>323</v>
      </c>
      <c r="B53" s="3250" t="s">
        <v>4234</v>
      </c>
      <c r="C53" s="3250" t="s">
        <v>3009</v>
      </c>
      <c r="D53" s="3251" t="s">
        <v>4235</v>
      </c>
      <c r="E53" s="3229">
        <v>44003</v>
      </c>
      <c r="F53" s="3230">
        <v>200000</v>
      </c>
      <c r="G53" s="3231">
        <v>216.67</v>
      </c>
      <c r="H53" s="3231" t="s">
        <v>3438</v>
      </c>
      <c r="I53" s="3230">
        <v>5188724</v>
      </c>
      <c r="J53" s="3229">
        <v>44010</v>
      </c>
      <c r="K53" s="3234">
        <v>6</v>
      </c>
      <c r="L53" s="3230">
        <v>5011027</v>
      </c>
      <c r="M53" s="3235">
        <v>23127.461115982831</v>
      </c>
      <c r="N53" s="3236">
        <v>4811027</v>
      </c>
    </row>
    <row r="54" spans="1:14" ht="24">
      <c r="A54" s="3226">
        <v>324</v>
      </c>
      <c r="B54" s="3250" t="s">
        <v>4236</v>
      </c>
      <c r="C54" s="3250" t="s">
        <v>3009</v>
      </c>
      <c r="D54" s="3251" t="s">
        <v>3644</v>
      </c>
      <c r="E54" s="3229">
        <v>44003</v>
      </c>
      <c r="F54" s="3230">
        <v>200000</v>
      </c>
      <c r="G54" s="3231">
        <v>186.34</v>
      </c>
      <c r="H54" s="3231" t="s">
        <v>3438</v>
      </c>
      <c r="I54" s="3230">
        <v>4389562</v>
      </c>
      <c r="J54" s="3229">
        <v>44007</v>
      </c>
      <c r="K54" s="3234">
        <v>6</v>
      </c>
      <c r="L54" s="3230">
        <v>4231724</v>
      </c>
      <c r="M54" s="3235">
        <v>22709.691960931628</v>
      </c>
      <c r="N54" s="3236">
        <v>4031724</v>
      </c>
    </row>
    <row r="55" spans="1:14">
      <c r="A55" s="3226">
        <v>325</v>
      </c>
      <c r="B55" s="3250" t="s">
        <v>4237</v>
      </c>
      <c r="C55" s="3250" t="s">
        <v>3009</v>
      </c>
      <c r="D55" s="3251" t="s">
        <v>4238</v>
      </c>
      <c r="E55" s="3229">
        <v>44003</v>
      </c>
      <c r="F55" s="3230">
        <v>200000</v>
      </c>
      <c r="G55" s="3231">
        <v>186.34</v>
      </c>
      <c r="H55" s="3231" t="s">
        <v>3438</v>
      </c>
      <c r="I55" s="3230">
        <v>4444005</v>
      </c>
      <c r="J55" s="3229">
        <v>44008</v>
      </c>
      <c r="K55" s="3234">
        <v>6</v>
      </c>
      <c r="L55" s="3230">
        <v>4306564</v>
      </c>
      <c r="M55" s="3235">
        <v>23111.323387356446</v>
      </c>
      <c r="N55" s="3236">
        <v>1956564</v>
      </c>
    </row>
    <row r="56" spans="1:14" ht="24">
      <c r="A56" s="3226">
        <v>326</v>
      </c>
      <c r="B56" s="3250" t="s">
        <v>4239</v>
      </c>
      <c r="C56" s="3250" t="s">
        <v>3009</v>
      </c>
      <c r="D56" s="3251" t="s">
        <v>4240</v>
      </c>
      <c r="E56" s="3229">
        <v>44003</v>
      </c>
      <c r="F56" s="3230">
        <v>200000</v>
      </c>
      <c r="G56" s="3231">
        <v>216.67</v>
      </c>
      <c r="H56" s="3231" t="s">
        <v>3438</v>
      </c>
      <c r="I56" s="3230">
        <v>5302278</v>
      </c>
      <c r="J56" s="3229">
        <v>44009</v>
      </c>
      <c r="K56" s="3234">
        <v>6</v>
      </c>
      <c r="L56" s="3230">
        <v>5147758</v>
      </c>
      <c r="M56" s="3235">
        <v>23758.517561268291</v>
      </c>
      <c r="N56" s="3236">
        <v>4147758</v>
      </c>
    </row>
    <row r="57" spans="1:14">
      <c r="A57" s="3226">
        <v>327</v>
      </c>
      <c r="B57" s="3250" t="s">
        <v>4241</v>
      </c>
      <c r="C57" s="3250" t="s">
        <v>3009</v>
      </c>
      <c r="D57" s="3251" t="s">
        <v>4242</v>
      </c>
      <c r="E57" s="3229">
        <v>44010</v>
      </c>
      <c r="F57" s="3230">
        <v>200000</v>
      </c>
      <c r="G57" s="3231">
        <v>208.14</v>
      </c>
      <c r="H57" s="3231" t="s">
        <v>3438</v>
      </c>
      <c r="I57" s="3230">
        <v>3960229</v>
      </c>
      <c r="J57" s="3229">
        <v>44010</v>
      </c>
      <c r="K57" s="3234">
        <v>6</v>
      </c>
      <c r="L57" s="3230">
        <v>3832415</v>
      </c>
      <c r="M57" s="3235">
        <v>18412.678966080523</v>
      </c>
      <c r="N57" s="3236">
        <v>952415</v>
      </c>
    </row>
    <row r="58" spans="1:14" ht="24">
      <c r="A58" s="3226">
        <v>328</v>
      </c>
      <c r="B58" s="3250" t="s">
        <v>4243</v>
      </c>
      <c r="C58" s="3250" t="s">
        <v>3009</v>
      </c>
      <c r="D58" s="3251" t="s">
        <v>4244</v>
      </c>
      <c r="E58" s="3229">
        <v>44003</v>
      </c>
      <c r="F58" s="3230">
        <v>200000</v>
      </c>
      <c r="G58" s="3231">
        <v>180.37</v>
      </c>
      <c r="H58" s="3231" t="s">
        <v>3438</v>
      </c>
      <c r="I58" s="3230">
        <v>3523560</v>
      </c>
      <c r="J58" s="3229">
        <v>44005</v>
      </c>
      <c r="K58" s="3234">
        <v>6</v>
      </c>
      <c r="L58" s="3230">
        <v>3404436</v>
      </c>
      <c r="M58" s="3235">
        <v>18874.735266396852</v>
      </c>
      <c r="N58" s="3236">
        <v>1004436</v>
      </c>
    </row>
    <row r="59" spans="1:14">
      <c r="A59" s="3226">
        <v>329</v>
      </c>
      <c r="B59" s="3250" t="s">
        <v>4245</v>
      </c>
      <c r="C59" s="3250" t="s">
        <v>3009</v>
      </c>
      <c r="D59" s="3251" t="s">
        <v>4246</v>
      </c>
      <c r="E59" s="3229">
        <v>44003</v>
      </c>
      <c r="F59" s="3230">
        <v>200000</v>
      </c>
      <c r="G59" s="3231">
        <v>180.37</v>
      </c>
      <c r="H59" s="3231" t="s">
        <v>3438</v>
      </c>
      <c r="I59" s="3230">
        <v>3577443</v>
      </c>
      <c r="J59" s="3229">
        <v>44010</v>
      </c>
      <c r="K59" s="3234">
        <v>6</v>
      </c>
      <c r="L59" s="3230">
        <v>3457247</v>
      </c>
      <c r="M59" s="3235">
        <v>19167.527859400121</v>
      </c>
      <c r="N59" s="3236">
        <v>837247</v>
      </c>
    </row>
    <row r="60" spans="1:14">
      <c r="A60" s="3226">
        <v>330</v>
      </c>
      <c r="B60" s="3250" t="s">
        <v>4247</v>
      </c>
      <c r="C60" s="3250" t="s">
        <v>3009</v>
      </c>
      <c r="D60" s="3251" t="s">
        <v>4248</v>
      </c>
      <c r="E60" s="3229">
        <v>44005</v>
      </c>
      <c r="F60" s="3230">
        <v>200000</v>
      </c>
      <c r="G60" s="3231">
        <v>208.14</v>
      </c>
      <c r="H60" s="3231" t="s">
        <v>3438</v>
      </c>
      <c r="I60" s="3230">
        <v>4018828</v>
      </c>
      <c r="J60" s="3229">
        <v>44011</v>
      </c>
      <c r="K60" s="3234">
        <v>6</v>
      </c>
      <c r="L60" s="3230">
        <v>3889848</v>
      </c>
      <c r="M60" s="3235">
        <v>18688.613433266073</v>
      </c>
      <c r="N60" s="3236">
        <v>969848</v>
      </c>
    </row>
    <row r="61" spans="1:14">
      <c r="A61" s="3226">
        <v>331</v>
      </c>
      <c r="B61" s="3250" t="s">
        <v>4249</v>
      </c>
      <c r="C61" s="3250" t="s">
        <v>3009</v>
      </c>
      <c r="D61" s="3251" t="s">
        <v>4250</v>
      </c>
      <c r="E61" s="3229">
        <v>44003</v>
      </c>
      <c r="F61" s="3230">
        <v>200000</v>
      </c>
      <c r="G61" s="3231">
        <v>215.77</v>
      </c>
      <c r="H61" s="3231" t="s">
        <v>3438</v>
      </c>
      <c r="I61" s="3230">
        <v>5610890</v>
      </c>
      <c r="J61" s="3229">
        <v>44010</v>
      </c>
      <c r="K61" s="3234">
        <v>6</v>
      </c>
      <c r="L61" s="3230">
        <v>5450228</v>
      </c>
      <c r="M61" s="3235">
        <v>25259.433656207999</v>
      </c>
      <c r="N61" s="3236">
        <v>1650228</v>
      </c>
    </row>
    <row r="62" spans="1:14" ht="24">
      <c r="A62" s="3226">
        <v>332</v>
      </c>
      <c r="B62" s="3250" t="s">
        <v>4251</v>
      </c>
      <c r="C62" s="3250" t="s">
        <v>3009</v>
      </c>
      <c r="D62" s="3251" t="s">
        <v>4252</v>
      </c>
      <c r="E62" s="3229">
        <v>44003</v>
      </c>
      <c r="F62" s="3230">
        <v>200000</v>
      </c>
      <c r="G62" s="3231">
        <v>215.77</v>
      </c>
      <c r="H62" s="3231" t="s">
        <v>3438</v>
      </c>
      <c r="I62" s="3230">
        <v>5113113</v>
      </c>
      <c r="J62" s="3229">
        <v>44007</v>
      </c>
      <c r="K62" s="3234">
        <v>6</v>
      </c>
      <c r="L62" s="3230">
        <v>4962357</v>
      </c>
      <c r="M62" s="3235">
        <v>22998.36399870232</v>
      </c>
      <c r="N62" s="3236">
        <v>1802357</v>
      </c>
    </row>
    <row r="63" spans="1:14" ht="24">
      <c r="A63" s="3226">
        <v>333</v>
      </c>
      <c r="B63" s="3250" t="s">
        <v>4253</v>
      </c>
      <c r="C63" s="3250" t="s">
        <v>3009</v>
      </c>
      <c r="D63" s="3251" t="s">
        <v>4254</v>
      </c>
      <c r="E63" s="3229">
        <v>44003</v>
      </c>
      <c r="F63" s="3230">
        <v>100000</v>
      </c>
      <c r="G63" s="3231">
        <v>207.27</v>
      </c>
      <c r="H63" s="3231" t="s">
        <v>3438</v>
      </c>
      <c r="I63" s="3230">
        <v>4058857</v>
      </c>
      <c r="J63" s="3229">
        <v>44010</v>
      </c>
      <c r="K63" s="3234">
        <v>6</v>
      </c>
      <c r="L63" s="3230">
        <v>3929081</v>
      </c>
      <c r="M63" s="3235">
        <v>18956.341969411878</v>
      </c>
      <c r="N63" s="3236">
        <v>1079081</v>
      </c>
    </row>
    <row r="64" spans="1:14">
      <c r="A64" s="3226">
        <v>334</v>
      </c>
      <c r="B64" s="3250" t="s">
        <v>4255</v>
      </c>
      <c r="C64" s="3250" t="s">
        <v>3009</v>
      </c>
      <c r="D64" s="3251" t="s">
        <v>4122</v>
      </c>
      <c r="E64" s="3229">
        <v>44003</v>
      </c>
      <c r="F64" s="3230">
        <v>200000</v>
      </c>
      <c r="G64" s="3231">
        <v>207.27</v>
      </c>
      <c r="H64" s="3231" t="s">
        <v>3438</v>
      </c>
      <c r="I64" s="3230">
        <v>4052030</v>
      </c>
      <c r="J64" s="3229">
        <v>44008</v>
      </c>
      <c r="K64" s="3234">
        <v>6</v>
      </c>
      <c r="L64" s="3230">
        <v>3902580</v>
      </c>
      <c r="M64" s="3235">
        <v>18828.484585323491</v>
      </c>
      <c r="N64" s="3236">
        <v>3702580</v>
      </c>
    </row>
    <row r="65" spans="1:14" ht="24">
      <c r="A65" s="3226">
        <v>453</v>
      </c>
      <c r="B65" s="3250" t="s">
        <v>4256</v>
      </c>
      <c r="C65" s="3227" t="s">
        <v>3009</v>
      </c>
      <c r="D65" s="3251" t="s">
        <v>4257</v>
      </c>
      <c r="E65" s="3229">
        <v>44030</v>
      </c>
      <c r="F65" s="3230">
        <v>50000</v>
      </c>
      <c r="G65" s="3231">
        <v>234.54</v>
      </c>
      <c r="H65" s="3231" t="s">
        <v>3438</v>
      </c>
      <c r="I65" s="3230">
        <v>5384527</v>
      </c>
      <c r="J65" s="3229">
        <v>44037</v>
      </c>
      <c r="K65" s="3234">
        <v>7</v>
      </c>
      <c r="L65" s="3230">
        <v>5364527</v>
      </c>
      <c r="M65" s="3235">
        <v>22872.546260765754</v>
      </c>
      <c r="N65" s="3236">
        <v>1654527</v>
      </c>
    </row>
    <row r="66" spans="1:14">
      <c r="A66" s="3226">
        <v>454</v>
      </c>
      <c r="B66" s="3250" t="s">
        <v>4258</v>
      </c>
      <c r="C66" s="3227" t="s">
        <v>3009</v>
      </c>
      <c r="D66" s="3251" t="s">
        <v>4259</v>
      </c>
      <c r="E66" s="3229">
        <v>44032</v>
      </c>
      <c r="F66" s="3230">
        <v>100000</v>
      </c>
      <c r="G66" s="3231">
        <v>184.64</v>
      </c>
      <c r="H66" s="3231" t="s">
        <v>3438</v>
      </c>
      <c r="I66" s="3230">
        <v>4568251</v>
      </c>
      <c r="J66" s="3229">
        <v>44040</v>
      </c>
      <c r="K66" s="3234">
        <v>7</v>
      </c>
      <c r="L66" s="3230">
        <v>4548251</v>
      </c>
      <c r="M66" s="3235">
        <v>24633.075173310226</v>
      </c>
      <c r="N66" s="3236">
        <v>1268251</v>
      </c>
    </row>
    <row r="67" spans="1:14">
      <c r="A67" s="3226">
        <v>455</v>
      </c>
      <c r="B67" s="3250" t="s">
        <v>4260</v>
      </c>
      <c r="C67" s="3227" t="s">
        <v>3009</v>
      </c>
      <c r="D67" s="3251" t="s">
        <v>4261</v>
      </c>
      <c r="E67" s="3229">
        <v>44030</v>
      </c>
      <c r="F67" s="3230">
        <v>500000</v>
      </c>
      <c r="G67" s="3231">
        <v>184.64</v>
      </c>
      <c r="H67" s="3231" t="s">
        <v>3438</v>
      </c>
      <c r="I67" s="3230">
        <v>4600895</v>
      </c>
      <c r="J67" s="3229">
        <v>44035</v>
      </c>
      <c r="K67" s="3234">
        <v>7</v>
      </c>
      <c r="L67" s="3230">
        <v>4580895</v>
      </c>
      <c r="M67" s="3235">
        <v>24809.87326689775</v>
      </c>
      <c r="N67" s="3236">
        <v>1000895</v>
      </c>
    </row>
    <row r="68" spans="1:14">
      <c r="A68" s="3226">
        <v>456</v>
      </c>
      <c r="B68" s="3250" t="s">
        <v>4262</v>
      </c>
      <c r="C68" s="3227" t="s">
        <v>3009</v>
      </c>
      <c r="D68" s="3251" t="s">
        <v>4263</v>
      </c>
      <c r="E68" s="3229">
        <v>44030</v>
      </c>
      <c r="F68" s="3230">
        <v>500000</v>
      </c>
      <c r="G68" s="3231">
        <v>184.64</v>
      </c>
      <c r="H68" s="3231" t="s">
        <v>3438</v>
      </c>
      <c r="I68" s="3230">
        <v>4633538</v>
      </c>
      <c r="J68" s="3229">
        <v>44035</v>
      </c>
      <c r="K68" s="3234">
        <v>7</v>
      </c>
      <c r="L68" s="3230">
        <v>4613538</v>
      </c>
      <c r="M68" s="3235">
        <v>24986.665944540731</v>
      </c>
      <c r="N68" s="3236">
        <v>1113538</v>
      </c>
    </row>
    <row r="69" spans="1:14">
      <c r="A69" s="3226">
        <v>457</v>
      </c>
      <c r="B69" s="3250" t="s">
        <v>4264</v>
      </c>
      <c r="C69" s="3227" t="s">
        <v>3009</v>
      </c>
      <c r="D69" s="3251" t="s">
        <v>4265</v>
      </c>
      <c r="E69" s="3229">
        <v>44030</v>
      </c>
      <c r="F69" s="3230">
        <v>500000</v>
      </c>
      <c r="G69" s="3231">
        <v>184.64</v>
      </c>
      <c r="H69" s="3231" t="s">
        <v>3438</v>
      </c>
      <c r="I69" s="3230">
        <v>4666125</v>
      </c>
      <c r="J69" s="3229">
        <v>44035</v>
      </c>
      <c r="K69" s="3234">
        <v>7</v>
      </c>
      <c r="L69" s="3230">
        <v>4646125</v>
      </c>
      <c r="M69" s="3235">
        <v>25163.155329289431</v>
      </c>
      <c r="N69" s="3236">
        <v>1546125</v>
      </c>
    </row>
    <row r="70" spans="1:14" ht="24">
      <c r="A70" s="3226">
        <v>459</v>
      </c>
      <c r="B70" s="3250" t="s">
        <v>4266</v>
      </c>
      <c r="C70" s="3227" t="s">
        <v>3009</v>
      </c>
      <c r="D70" s="3251" t="s">
        <v>4257</v>
      </c>
      <c r="E70" s="3229">
        <v>44030</v>
      </c>
      <c r="F70" s="3230">
        <v>50000</v>
      </c>
      <c r="G70" s="3231">
        <v>206.23</v>
      </c>
      <c r="H70" s="3231" t="s">
        <v>3438</v>
      </c>
      <c r="I70" s="3230">
        <v>4322361</v>
      </c>
      <c r="J70" s="3229">
        <v>44037</v>
      </c>
      <c r="K70" s="3234">
        <v>7</v>
      </c>
      <c r="L70" s="3230">
        <v>4302361</v>
      </c>
      <c r="M70" s="3235">
        <v>20861.955098676237</v>
      </c>
      <c r="N70" s="3236">
        <v>4252361</v>
      </c>
    </row>
    <row r="71" spans="1:14" ht="24">
      <c r="A71" s="3226">
        <v>460</v>
      </c>
      <c r="B71" s="3250" t="s">
        <v>4267</v>
      </c>
      <c r="C71" s="3227" t="s">
        <v>3009</v>
      </c>
      <c r="D71" s="3251" t="s">
        <v>4268</v>
      </c>
      <c r="E71" s="3229">
        <v>44030</v>
      </c>
      <c r="F71" s="3230">
        <v>80000</v>
      </c>
      <c r="G71" s="3231">
        <v>178.73</v>
      </c>
      <c r="H71" s="3231" t="s">
        <v>3438</v>
      </c>
      <c r="I71" s="3230">
        <v>3681332</v>
      </c>
      <c r="J71" s="3229">
        <v>44040</v>
      </c>
      <c r="K71" s="3234">
        <v>7</v>
      </c>
      <c r="L71" s="3230">
        <v>3661332</v>
      </c>
      <c r="M71" s="3235">
        <v>20485.268281765791</v>
      </c>
      <c r="N71" s="3236">
        <v>1281332</v>
      </c>
    </row>
    <row r="72" spans="1:14">
      <c r="A72" s="3226">
        <v>461</v>
      </c>
      <c r="B72" s="3250" t="s">
        <v>4269</v>
      </c>
      <c r="C72" s="3227" t="s">
        <v>3009</v>
      </c>
      <c r="D72" s="3251" t="s">
        <v>4270</v>
      </c>
      <c r="E72" s="3229">
        <v>44030</v>
      </c>
      <c r="F72" s="3230">
        <v>500000</v>
      </c>
      <c r="G72" s="3231">
        <v>178.73</v>
      </c>
      <c r="H72" s="3231" t="s">
        <v>3438</v>
      </c>
      <c r="I72" s="3230">
        <v>3714539</v>
      </c>
      <c r="J72" s="3229">
        <v>44035</v>
      </c>
      <c r="K72" s="3234">
        <v>7</v>
      </c>
      <c r="L72" s="3230">
        <v>3694539</v>
      </c>
      <c r="M72" s="3235">
        <v>20671.062496503106</v>
      </c>
      <c r="N72" s="3236">
        <v>614539</v>
      </c>
    </row>
    <row r="73" spans="1:14">
      <c r="A73" s="3226">
        <v>462</v>
      </c>
      <c r="B73" s="3250" t="s">
        <v>4271</v>
      </c>
      <c r="C73" s="3227" t="s">
        <v>3009</v>
      </c>
      <c r="D73" s="3251" t="s">
        <v>4272</v>
      </c>
      <c r="E73" s="3229">
        <v>44030</v>
      </c>
      <c r="F73" s="3230">
        <v>500000</v>
      </c>
      <c r="G73" s="3231">
        <v>178.73</v>
      </c>
      <c r="H73" s="3231" t="s">
        <v>3438</v>
      </c>
      <c r="I73" s="3230">
        <v>3747747</v>
      </c>
      <c r="J73" s="3229">
        <v>44035</v>
      </c>
      <c r="K73" s="3234">
        <v>7</v>
      </c>
      <c r="L73" s="3230">
        <v>3727747</v>
      </c>
      <c r="M73" s="3235">
        <v>20856.862306272033</v>
      </c>
      <c r="N73" s="3236">
        <v>1227747</v>
      </c>
    </row>
    <row r="74" spans="1:14" ht="24">
      <c r="A74" s="3226">
        <v>463</v>
      </c>
      <c r="B74" s="3250" t="s">
        <v>4273</v>
      </c>
      <c r="C74" s="3227" t="s">
        <v>3009</v>
      </c>
      <c r="D74" s="3251" t="s">
        <v>4274</v>
      </c>
      <c r="E74" s="3229">
        <v>44040</v>
      </c>
      <c r="F74" s="3230">
        <v>50000</v>
      </c>
      <c r="G74" s="3231">
        <v>178.73</v>
      </c>
      <c r="H74" s="3231" t="s">
        <v>3438</v>
      </c>
      <c r="I74" s="3230">
        <v>3780953</v>
      </c>
      <c r="J74" s="3229">
        <v>44040</v>
      </c>
      <c r="K74" s="3234">
        <v>7</v>
      </c>
      <c r="L74" s="3230">
        <v>3760953</v>
      </c>
      <c r="M74" s="3235">
        <v>21042.650925977734</v>
      </c>
      <c r="N74" s="3236">
        <v>1210953</v>
      </c>
    </row>
    <row r="75" spans="1:14">
      <c r="A75" s="3226">
        <v>465</v>
      </c>
      <c r="B75" s="3250" t="s">
        <v>4275</v>
      </c>
      <c r="C75" s="3227" t="s">
        <v>3009</v>
      </c>
      <c r="D75" s="3251" t="s">
        <v>4276</v>
      </c>
      <c r="E75" s="3229">
        <v>44031</v>
      </c>
      <c r="F75" s="3230">
        <v>500000</v>
      </c>
      <c r="G75" s="3231">
        <v>216.67</v>
      </c>
      <c r="H75" s="3231" t="s">
        <v>3438</v>
      </c>
      <c r="I75" s="3230">
        <v>5218159</v>
      </c>
      <c r="J75" s="3229">
        <v>44036</v>
      </c>
      <c r="K75" s="3234">
        <v>7</v>
      </c>
      <c r="L75" s="3230">
        <v>5198159</v>
      </c>
      <c r="M75" s="3235">
        <v>23991.133982554114</v>
      </c>
      <c r="N75" s="3236">
        <v>1098159</v>
      </c>
    </row>
    <row r="76" spans="1:14">
      <c r="A76" s="3226">
        <v>466</v>
      </c>
      <c r="B76" s="3250" t="s">
        <v>4277</v>
      </c>
      <c r="C76" s="3227" t="s">
        <v>3009</v>
      </c>
      <c r="D76" s="3251" t="s">
        <v>4278</v>
      </c>
      <c r="E76" s="3229">
        <v>44031</v>
      </c>
      <c r="F76" s="3230">
        <v>500000</v>
      </c>
      <c r="G76" s="3231">
        <v>186.34</v>
      </c>
      <c r="H76" s="3231" t="s">
        <v>3438</v>
      </c>
      <c r="I76" s="3230">
        <v>4622807</v>
      </c>
      <c r="J76" s="3229">
        <v>44038</v>
      </c>
      <c r="K76" s="3234">
        <v>7</v>
      </c>
      <c r="L76" s="3230">
        <v>4602807</v>
      </c>
      <c r="M76" s="3235">
        <v>24701.12160566706</v>
      </c>
      <c r="N76" s="3236">
        <v>902807</v>
      </c>
    </row>
    <row r="77" spans="1:14">
      <c r="A77" s="3226">
        <v>467</v>
      </c>
      <c r="B77" s="3250" t="s">
        <v>4279</v>
      </c>
      <c r="C77" s="3227" t="s">
        <v>3009</v>
      </c>
      <c r="D77" s="3251" t="s">
        <v>4280</v>
      </c>
      <c r="E77" s="3229">
        <v>44037</v>
      </c>
      <c r="F77" s="3230">
        <v>200000</v>
      </c>
      <c r="G77" s="3231">
        <v>186.34</v>
      </c>
      <c r="H77" s="3231" t="s">
        <v>3438</v>
      </c>
      <c r="I77" s="3230">
        <v>4677339</v>
      </c>
      <c r="J77" s="3229">
        <v>44037</v>
      </c>
      <c r="K77" s="3234">
        <v>7</v>
      </c>
      <c r="L77" s="3230">
        <v>4657339</v>
      </c>
      <c r="M77" s="3235">
        <v>24993.769453686808</v>
      </c>
      <c r="N77" s="3236">
        <v>1207339</v>
      </c>
    </row>
    <row r="78" spans="1:14">
      <c r="A78" s="3226">
        <v>469</v>
      </c>
      <c r="B78" s="3250" t="s">
        <v>4281</v>
      </c>
      <c r="C78" s="3227" t="s">
        <v>3009</v>
      </c>
      <c r="D78" s="3251" t="s">
        <v>4282</v>
      </c>
      <c r="E78" s="3229">
        <v>44037</v>
      </c>
      <c r="F78" s="3230">
        <v>500000</v>
      </c>
      <c r="G78" s="3231">
        <v>208.14</v>
      </c>
      <c r="H78" s="3231" t="s">
        <v>3438</v>
      </c>
      <c r="I78" s="3230">
        <v>4152272</v>
      </c>
      <c r="J78" s="3229">
        <v>44039</v>
      </c>
      <c r="K78" s="3234">
        <v>7</v>
      </c>
      <c r="L78" s="3230">
        <v>4132272</v>
      </c>
      <c r="M78" s="3235">
        <v>19853.329489766504</v>
      </c>
      <c r="N78" s="3236">
        <v>802272</v>
      </c>
    </row>
    <row r="79" spans="1:14">
      <c r="A79" s="3226">
        <v>470</v>
      </c>
      <c r="B79" s="3250" t="s">
        <v>4283</v>
      </c>
      <c r="C79" s="3227" t="s">
        <v>3009</v>
      </c>
      <c r="D79" s="3251" t="s">
        <v>4284</v>
      </c>
      <c r="E79" s="3229">
        <v>44030</v>
      </c>
      <c r="F79" s="3230">
        <v>500000</v>
      </c>
      <c r="G79" s="3231">
        <v>180.37</v>
      </c>
      <c r="H79" s="3231" t="s">
        <v>3438</v>
      </c>
      <c r="I79" s="3230">
        <v>3727868</v>
      </c>
      <c r="J79" s="3229">
        <v>44040</v>
      </c>
      <c r="K79" s="3234">
        <v>7</v>
      </c>
      <c r="L79" s="3230">
        <v>3707868</v>
      </c>
      <c r="M79" s="3235">
        <v>20557.010589344125</v>
      </c>
      <c r="N79" s="3236">
        <v>617868</v>
      </c>
    </row>
    <row r="80" spans="1:14">
      <c r="A80" s="3226">
        <v>471</v>
      </c>
      <c r="B80" s="3250" t="s">
        <v>4285</v>
      </c>
      <c r="C80" s="3227" t="s">
        <v>3009</v>
      </c>
      <c r="D80" s="3251" t="s">
        <v>4286</v>
      </c>
      <c r="E80" s="3229">
        <v>44030</v>
      </c>
      <c r="F80" s="3230">
        <v>500000</v>
      </c>
      <c r="G80" s="3231">
        <v>180.37</v>
      </c>
      <c r="H80" s="3231" t="s">
        <v>3438</v>
      </c>
      <c r="I80" s="3230">
        <v>3782090</v>
      </c>
      <c r="J80" s="3229">
        <v>44035</v>
      </c>
      <c r="K80" s="3234">
        <v>7</v>
      </c>
      <c r="L80" s="3230">
        <v>3762090</v>
      </c>
      <c r="M80" s="3235">
        <v>20857.62599101846</v>
      </c>
      <c r="N80" s="3236">
        <v>702090</v>
      </c>
    </row>
    <row r="81" spans="1:14" ht="24">
      <c r="A81" s="3226">
        <v>473</v>
      </c>
      <c r="B81" s="3250" t="s">
        <v>4287</v>
      </c>
      <c r="C81" s="3227" t="s">
        <v>3009</v>
      </c>
      <c r="D81" s="3251" t="s">
        <v>4288</v>
      </c>
      <c r="E81" s="3229">
        <v>44030</v>
      </c>
      <c r="F81" s="3230">
        <v>500000</v>
      </c>
      <c r="G81" s="3231">
        <v>216.95</v>
      </c>
      <c r="H81" s="3231" t="s">
        <v>3438</v>
      </c>
      <c r="I81" s="3230">
        <v>5560448</v>
      </c>
      <c r="J81" s="3229">
        <v>44037</v>
      </c>
      <c r="K81" s="3234">
        <v>7</v>
      </c>
      <c r="L81" s="3230">
        <v>5540448</v>
      </c>
      <c r="M81" s="3235">
        <v>25537.902742567414</v>
      </c>
      <c r="N81" s="3236">
        <v>1440448</v>
      </c>
    </row>
    <row r="82" spans="1:14">
      <c r="A82" s="3226">
        <v>474</v>
      </c>
      <c r="B82" s="3250" t="s">
        <v>4289</v>
      </c>
      <c r="C82" s="3227" t="s">
        <v>3009</v>
      </c>
      <c r="D82" s="3251" t="s">
        <v>4290</v>
      </c>
      <c r="E82" s="3229">
        <v>44030</v>
      </c>
      <c r="F82" s="3230">
        <v>60000</v>
      </c>
      <c r="G82" s="3231">
        <v>186.58</v>
      </c>
      <c r="H82" s="3231" t="s">
        <v>3438</v>
      </c>
      <c r="I82" s="3230">
        <v>4683302</v>
      </c>
      <c r="J82" s="3229">
        <v>44034</v>
      </c>
      <c r="K82" s="3234">
        <v>7</v>
      </c>
      <c r="L82" s="3230">
        <v>4663302</v>
      </c>
      <c r="M82" s="3235">
        <v>24993.579161753671</v>
      </c>
      <c r="N82" s="3236">
        <v>1343302</v>
      </c>
    </row>
    <row r="83" spans="1:14" ht="24">
      <c r="A83" s="3226">
        <v>475</v>
      </c>
      <c r="B83" s="3250" t="s">
        <v>4291</v>
      </c>
      <c r="C83" s="3227" t="s">
        <v>3009</v>
      </c>
      <c r="D83" s="3251" t="s">
        <v>4292</v>
      </c>
      <c r="E83" s="3229">
        <v>44037</v>
      </c>
      <c r="F83" s="3230">
        <v>0</v>
      </c>
      <c r="G83" s="3231">
        <v>186.58</v>
      </c>
      <c r="H83" s="3231" t="s">
        <v>3438</v>
      </c>
      <c r="I83" s="3230">
        <v>4716647</v>
      </c>
      <c r="J83" s="3229">
        <v>44037</v>
      </c>
      <c r="K83" s="3234">
        <v>7</v>
      </c>
      <c r="L83" s="3230">
        <v>4696647</v>
      </c>
      <c r="M83" s="3235">
        <v>25172.296066030656</v>
      </c>
      <c r="N83" s="3236">
        <v>1416647</v>
      </c>
    </row>
    <row r="84" spans="1:14" ht="24">
      <c r="A84" s="3226">
        <v>476</v>
      </c>
      <c r="B84" s="3250" t="s">
        <v>4293</v>
      </c>
      <c r="C84" s="3227" t="s">
        <v>3009</v>
      </c>
      <c r="D84" s="3251" t="s">
        <v>4294</v>
      </c>
      <c r="E84" s="3229">
        <v>44030</v>
      </c>
      <c r="F84" s="3230">
        <v>200000</v>
      </c>
      <c r="G84" s="3231">
        <v>186.58</v>
      </c>
      <c r="H84" s="3231" t="s">
        <v>3438</v>
      </c>
      <c r="I84" s="3230">
        <v>4750004</v>
      </c>
      <c r="J84" s="3229">
        <v>44035</v>
      </c>
      <c r="K84" s="3234">
        <v>7</v>
      </c>
      <c r="L84" s="3230">
        <v>4730004</v>
      </c>
      <c r="M84" s="3235">
        <v>25351.077285882729</v>
      </c>
      <c r="N84" s="3236">
        <v>1680004</v>
      </c>
    </row>
    <row r="85" spans="1:14">
      <c r="A85" s="3226">
        <v>477</v>
      </c>
      <c r="B85" s="3250" t="s">
        <v>4295</v>
      </c>
      <c r="C85" s="3227" t="s">
        <v>3009</v>
      </c>
      <c r="D85" s="3251" t="s">
        <v>4296</v>
      </c>
      <c r="E85" s="3229">
        <v>44030</v>
      </c>
      <c r="F85" s="3230">
        <v>500000</v>
      </c>
      <c r="G85" s="3231">
        <v>186.58</v>
      </c>
      <c r="H85" s="3231" t="s">
        <v>3438</v>
      </c>
      <c r="I85" s="3230">
        <v>4782820</v>
      </c>
      <c r="J85" s="3229">
        <v>44034</v>
      </c>
      <c r="K85" s="3234">
        <v>7</v>
      </c>
      <c r="L85" s="3230">
        <v>4762820</v>
      </c>
      <c r="M85" s="3235">
        <v>25526.958945224567</v>
      </c>
      <c r="N85" s="3236">
        <v>952820</v>
      </c>
    </row>
    <row r="86" spans="1:14">
      <c r="A86" s="3226">
        <v>479</v>
      </c>
      <c r="B86" s="3250" t="s">
        <v>4297</v>
      </c>
      <c r="C86" s="3227" t="s">
        <v>3009</v>
      </c>
      <c r="D86" s="3251" t="s">
        <v>4298</v>
      </c>
      <c r="E86" s="3229">
        <v>44030</v>
      </c>
      <c r="F86" s="3230">
        <v>100000</v>
      </c>
      <c r="G86" s="3231">
        <v>208.4</v>
      </c>
      <c r="H86" s="3231" t="s">
        <v>3438</v>
      </c>
      <c r="I86" s="3230">
        <v>4231052</v>
      </c>
      <c r="J86" s="3229">
        <v>44035</v>
      </c>
      <c r="K86" s="3234">
        <v>7</v>
      </c>
      <c r="L86" s="3230">
        <v>4211052</v>
      </c>
      <c r="M86" s="3235">
        <v>20206.583493282149</v>
      </c>
      <c r="N86" s="3236">
        <v>1171052</v>
      </c>
    </row>
    <row r="87" spans="1:14">
      <c r="A87" s="3226">
        <v>480</v>
      </c>
      <c r="B87" s="3250" t="s">
        <v>4299</v>
      </c>
      <c r="C87" s="3227" t="s">
        <v>3009</v>
      </c>
      <c r="D87" s="3251" t="s">
        <v>4300</v>
      </c>
      <c r="E87" s="3229">
        <v>44030</v>
      </c>
      <c r="F87" s="3230">
        <v>500000</v>
      </c>
      <c r="G87" s="3231">
        <v>180.61</v>
      </c>
      <c r="H87" s="3231" t="s">
        <v>3438</v>
      </c>
      <c r="I87" s="3230">
        <v>3748466</v>
      </c>
      <c r="J87" s="3229">
        <v>44038</v>
      </c>
      <c r="K87" s="3234">
        <v>7</v>
      </c>
      <c r="L87" s="3230">
        <v>3728466</v>
      </c>
      <c r="M87" s="3235">
        <v>20643.740656663529</v>
      </c>
      <c r="N87" s="3236">
        <v>628466</v>
      </c>
    </row>
    <row r="88" spans="1:14" ht="24">
      <c r="A88" s="3226">
        <v>481</v>
      </c>
      <c r="B88" s="3250" t="s">
        <v>4301</v>
      </c>
      <c r="C88" s="3227" t="s">
        <v>3009</v>
      </c>
      <c r="D88" s="3251" t="s">
        <v>4302</v>
      </c>
      <c r="E88" s="3229">
        <v>44030</v>
      </c>
      <c r="F88" s="3230">
        <v>60000</v>
      </c>
      <c r="G88" s="3231">
        <v>180.61</v>
      </c>
      <c r="H88" s="3231" t="s">
        <v>3438</v>
      </c>
      <c r="I88" s="3230">
        <v>3782927</v>
      </c>
      <c r="J88" s="3229">
        <v>44037</v>
      </c>
      <c r="K88" s="3234">
        <v>7</v>
      </c>
      <c r="L88" s="3230">
        <v>3762927</v>
      </c>
      <c r="M88" s="3235">
        <v>20834.544045180221</v>
      </c>
      <c r="N88" s="3236">
        <v>3502927</v>
      </c>
    </row>
    <row r="89" spans="1:14">
      <c r="A89" s="3226">
        <v>482</v>
      </c>
      <c r="B89" s="3250" t="s">
        <v>4303</v>
      </c>
      <c r="C89" s="3227" t="s">
        <v>3009</v>
      </c>
      <c r="D89" s="3251" t="s">
        <v>4304</v>
      </c>
      <c r="E89" s="3229">
        <v>44040</v>
      </c>
      <c r="F89" s="3230">
        <v>500000</v>
      </c>
      <c r="G89" s="3231">
        <v>180.61</v>
      </c>
      <c r="H89" s="3231" t="s">
        <v>3438</v>
      </c>
      <c r="I89" s="3230">
        <v>3816300</v>
      </c>
      <c r="J89" s="3229">
        <v>44041</v>
      </c>
      <c r="K89" s="3234">
        <v>7</v>
      </c>
      <c r="L89" s="3230">
        <v>3796300</v>
      </c>
      <c r="M89" s="3235">
        <v>21019.323404019709</v>
      </c>
      <c r="N89" s="3236">
        <v>2450000</v>
      </c>
    </row>
    <row r="90" spans="1:14" ht="24">
      <c r="A90" s="3226">
        <v>483</v>
      </c>
      <c r="B90" s="3250" t="s">
        <v>4305</v>
      </c>
      <c r="C90" s="3227" t="s">
        <v>3009</v>
      </c>
      <c r="D90" s="3251" t="s">
        <v>4306</v>
      </c>
      <c r="E90" s="3229">
        <v>44030</v>
      </c>
      <c r="F90" s="3230">
        <v>500000</v>
      </c>
      <c r="G90" s="3231">
        <v>180.54</v>
      </c>
      <c r="H90" s="3231" t="s">
        <v>3438</v>
      </c>
      <c r="I90" s="3230">
        <v>3849372</v>
      </c>
      <c r="J90" s="3229">
        <v>44033</v>
      </c>
      <c r="K90" s="3234">
        <v>7</v>
      </c>
      <c r="L90" s="3230">
        <v>3829372</v>
      </c>
      <c r="M90" s="3235">
        <v>21210.656918134486</v>
      </c>
      <c r="N90" s="3236">
        <v>2479372</v>
      </c>
    </row>
    <row r="91" spans="1:14">
      <c r="A91" s="3226">
        <v>487</v>
      </c>
      <c r="B91" s="3250" t="s">
        <v>4307</v>
      </c>
      <c r="C91" s="3227" t="s">
        <v>3009</v>
      </c>
      <c r="D91" s="3251" t="s">
        <v>4308</v>
      </c>
      <c r="E91" s="3229">
        <v>44032</v>
      </c>
      <c r="F91" s="3230">
        <v>200000</v>
      </c>
      <c r="G91" s="3231">
        <v>183.65</v>
      </c>
      <c r="H91" s="3231" t="s">
        <v>3438</v>
      </c>
      <c r="I91" s="3230">
        <v>4566702</v>
      </c>
      <c r="J91" s="3229">
        <v>44042</v>
      </c>
      <c r="K91" s="3234">
        <v>7</v>
      </c>
      <c r="L91" s="3230">
        <v>4526702</v>
      </c>
      <c r="M91" s="3235">
        <v>24648.527089572555</v>
      </c>
      <c r="N91" s="3236">
        <v>1166702</v>
      </c>
    </row>
    <row r="92" spans="1:14">
      <c r="A92" s="3226">
        <v>488</v>
      </c>
      <c r="B92" s="3250" t="s">
        <v>4309</v>
      </c>
      <c r="C92" s="3227" t="s">
        <v>3009</v>
      </c>
      <c r="D92" s="3251" t="s">
        <v>4310</v>
      </c>
      <c r="E92" s="3229">
        <v>44030</v>
      </c>
      <c r="F92" s="3230">
        <v>500000</v>
      </c>
      <c r="G92" s="3231">
        <v>183.65</v>
      </c>
      <c r="H92" s="3231" t="s">
        <v>3438</v>
      </c>
      <c r="I92" s="3230">
        <v>4620997</v>
      </c>
      <c r="J92" s="3229">
        <v>44034</v>
      </c>
      <c r="K92" s="3234">
        <v>7</v>
      </c>
      <c r="L92" s="3230">
        <v>4600997</v>
      </c>
      <c r="M92" s="3235">
        <v>25053.073781649877</v>
      </c>
      <c r="N92" s="3236">
        <v>4100997</v>
      </c>
    </row>
    <row r="93" spans="1:14" ht="24">
      <c r="A93" s="3226">
        <v>489</v>
      </c>
      <c r="B93" s="3250" t="s">
        <v>4311</v>
      </c>
      <c r="C93" s="3227" t="s">
        <v>3009</v>
      </c>
      <c r="D93" s="3251" t="s">
        <v>4312</v>
      </c>
      <c r="E93" s="3229">
        <v>44030</v>
      </c>
      <c r="F93" s="3230">
        <v>500000</v>
      </c>
      <c r="G93" s="3231">
        <v>214.82</v>
      </c>
      <c r="H93" s="3231" t="s">
        <v>3438</v>
      </c>
      <c r="I93" s="3230">
        <v>5844546</v>
      </c>
      <c r="J93" s="3229">
        <v>44035</v>
      </c>
      <c r="K93" s="3234">
        <v>7</v>
      </c>
      <c r="L93" s="3230">
        <v>5824546</v>
      </c>
      <c r="M93" s="3235">
        <v>27113.611395587002</v>
      </c>
      <c r="N93" s="3236">
        <v>5324546</v>
      </c>
    </row>
    <row r="94" spans="1:14">
      <c r="A94" s="3226">
        <v>490</v>
      </c>
      <c r="B94" s="3250" t="s">
        <v>4313</v>
      </c>
      <c r="C94" s="3227" t="s">
        <v>3009</v>
      </c>
      <c r="D94" s="3251" t="s">
        <v>4314</v>
      </c>
      <c r="E94" s="3229">
        <v>44030</v>
      </c>
      <c r="F94" s="3230">
        <v>500000</v>
      </c>
      <c r="G94" s="3231">
        <v>203.19</v>
      </c>
      <c r="H94" s="3231" t="s">
        <v>3438</v>
      </c>
      <c r="I94" s="3230">
        <v>4001963</v>
      </c>
      <c r="J94" s="3229">
        <v>44034</v>
      </c>
      <c r="K94" s="3234">
        <v>7</v>
      </c>
      <c r="L94" s="3230">
        <v>3981963</v>
      </c>
      <c r="M94" s="3235">
        <v>19597.2390373542</v>
      </c>
      <c r="N94" s="3236">
        <v>701963</v>
      </c>
    </row>
    <row r="95" spans="1:14">
      <c r="A95" s="3226">
        <v>492</v>
      </c>
      <c r="B95" s="3250" t="s">
        <v>4315</v>
      </c>
      <c r="C95" s="3227" t="s">
        <v>3009</v>
      </c>
      <c r="D95" s="3251" t="s">
        <v>4316</v>
      </c>
      <c r="E95" s="3229">
        <v>44030</v>
      </c>
      <c r="F95" s="3230">
        <v>500000</v>
      </c>
      <c r="G95" s="3231">
        <v>177.77</v>
      </c>
      <c r="H95" s="3231" t="s">
        <v>3438</v>
      </c>
      <c r="I95" s="3230">
        <v>3712065</v>
      </c>
      <c r="J95" s="3229">
        <v>44034</v>
      </c>
      <c r="K95" s="3234">
        <v>7</v>
      </c>
      <c r="L95" s="3230">
        <v>3692065</v>
      </c>
      <c r="M95" s="3235">
        <v>20768.774258873826</v>
      </c>
      <c r="N95" s="3236">
        <v>2192065</v>
      </c>
    </row>
    <row r="96" spans="1:14">
      <c r="A96" s="3226">
        <v>493</v>
      </c>
      <c r="B96" s="3250" t="s">
        <v>4317</v>
      </c>
      <c r="C96" s="3227" t="s">
        <v>3009</v>
      </c>
      <c r="D96" s="3251" t="s">
        <v>4318</v>
      </c>
      <c r="E96" s="3229">
        <v>44030</v>
      </c>
      <c r="F96" s="3230">
        <v>500000</v>
      </c>
      <c r="G96" s="3231">
        <v>203.19</v>
      </c>
      <c r="H96" s="3231" t="s">
        <v>3438</v>
      </c>
      <c r="I96" s="3230">
        <v>4306529</v>
      </c>
      <c r="J96" s="3229">
        <v>44036</v>
      </c>
      <c r="K96" s="3234">
        <v>7</v>
      </c>
      <c r="L96" s="3230">
        <v>4286529</v>
      </c>
      <c r="M96" s="3235">
        <v>21096.161228406909</v>
      </c>
      <c r="N96" s="3236">
        <v>786529</v>
      </c>
    </row>
    <row r="97" spans="1:14">
      <c r="A97" s="3226"/>
      <c r="B97" s="3265"/>
      <c r="C97" s="3265"/>
      <c r="D97" s="3251"/>
      <c r="E97" s="3266"/>
      <c r="F97" s="3266"/>
      <c r="G97" s="3266">
        <f>SUM(G3:G96)</f>
        <v>18409.120000000006</v>
      </c>
      <c r="H97" s="3231"/>
      <c r="I97" s="3267"/>
      <c r="J97" s="3266"/>
      <c r="K97" s="3266"/>
      <c r="L97" s="3267">
        <f>SUM(L3:L96)</f>
        <v>401878397</v>
      </c>
      <c r="M97" s="3267">
        <f>L97/G97</f>
        <v>21830.396944557906</v>
      </c>
      <c r="N97" s="3267"/>
    </row>
  </sheetData>
  <mergeCells count="3">
    <mergeCell ref="A1:D1"/>
    <mergeCell ref="E1:I1"/>
    <mergeCell ref="J1:N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M32" sqref="M32"/>
    </sheetView>
  </sheetViews>
  <sheetFormatPr defaultRowHeight="13.5"/>
  <cols>
    <col min="1" max="11" width="9" style="3215"/>
    <col min="12" max="12" width="12.875" style="3215" customWidth="1"/>
    <col min="13" max="267" width="9" style="3215"/>
    <col min="268" max="268" width="12.875" style="3215" customWidth="1"/>
    <col min="269" max="523" width="9" style="3215"/>
    <col min="524" max="524" width="12.875" style="3215" customWidth="1"/>
    <col min="525" max="779" width="9" style="3215"/>
    <col min="780" max="780" width="12.875" style="3215" customWidth="1"/>
    <col min="781" max="1035" width="9" style="3215"/>
    <col min="1036" max="1036" width="12.875" style="3215" customWidth="1"/>
    <col min="1037" max="1291" width="9" style="3215"/>
    <col min="1292" max="1292" width="12.875" style="3215" customWidth="1"/>
    <col min="1293" max="1547" width="9" style="3215"/>
    <col min="1548" max="1548" width="12.875" style="3215" customWidth="1"/>
    <col min="1549" max="1803" width="9" style="3215"/>
    <col min="1804" max="1804" width="12.875" style="3215" customWidth="1"/>
    <col min="1805" max="2059" width="9" style="3215"/>
    <col min="2060" max="2060" width="12.875" style="3215" customWidth="1"/>
    <col min="2061" max="2315" width="9" style="3215"/>
    <col min="2316" max="2316" width="12.875" style="3215" customWidth="1"/>
    <col min="2317" max="2571" width="9" style="3215"/>
    <col min="2572" max="2572" width="12.875" style="3215" customWidth="1"/>
    <col min="2573" max="2827" width="9" style="3215"/>
    <col min="2828" max="2828" width="12.875" style="3215" customWidth="1"/>
    <col min="2829" max="3083" width="9" style="3215"/>
    <col min="3084" max="3084" width="12.875" style="3215" customWidth="1"/>
    <col min="3085" max="3339" width="9" style="3215"/>
    <col min="3340" max="3340" width="12.875" style="3215" customWidth="1"/>
    <col min="3341" max="3595" width="9" style="3215"/>
    <col min="3596" max="3596" width="12.875" style="3215" customWidth="1"/>
    <col min="3597" max="3851" width="9" style="3215"/>
    <col min="3852" max="3852" width="12.875" style="3215" customWidth="1"/>
    <col min="3853" max="4107" width="9" style="3215"/>
    <col min="4108" max="4108" width="12.875" style="3215" customWidth="1"/>
    <col min="4109" max="4363" width="9" style="3215"/>
    <col min="4364" max="4364" width="12.875" style="3215" customWidth="1"/>
    <col min="4365" max="4619" width="9" style="3215"/>
    <col min="4620" max="4620" width="12.875" style="3215" customWidth="1"/>
    <col min="4621" max="4875" width="9" style="3215"/>
    <col min="4876" max="4876" width="12.875" style="3215" customWidth="1"/>
    <col min="4877" max="5131" width="9" style="3215"/>
    <col min="5132" max="5132" width="12.875" style="3215" customWidth="1"/>
    <col min="5133" max="5387" width="9" style="3215"/>
    <col min="5388" max="5388" width="12.875" style="3215" customWidth="1"/>
    <col min="5389" max="5643" width="9" style="3215"/>
    <col min="5644" max="5644" width="12.875" style="3215" customWidth="1"/>
    <col min="5645" max="5899" width="9" style="3215"/>
    <col min="5900" max="5900" width="12.875" style="3215" customWidth="1"/>
    <col min="5901" max="6155" width="9" style="3215"/>
    <col min="6156" max="6156" width="12.875" style="3215" customWidth="1"/>
    <col min="6157" max="6411" width="9" style="3215"/>
    <col min="6412" max="6412" width="12.875" style="3215" customWidth="1"/>
    <col min="6413" max="6667" width="9" style="3215"/>
    <col min="6668" max="6668" width="12.875" style="3215" customWidth="1"/>
    <col min="6669" max="6923" width="9" style="3215"/>
    <col min="6924" max="6924" width="12.875" style="3215" customWidth="1"/>
    <col min="6925" max="7179" width="9" style="3215"/>
    <col min="7180" max="7180" width="12.875" style="3215" customWidth="1"/>
    <col min="7181" max="7435" width="9" style="3215"/>
    <col min="7436" max="7436" width="12.875" style="3215" customWidth="1"/>
    <col min="7437" max="7691" width="9" style="3215"/>
    <col min="7692" max="7692" width="12.875" style="3215" customWidth="1"/>
    <col min="7693" max="7947" width="9" style="3215"/>
    <col min="7948" max="7948" width="12.875" style="3215" customWidth="1"/>
    <col min="7949" max="8203" width="9" style="3215"/>
    <col min="8204" max="8204" width="12.875" style="3215" customWidth="1"/>
    <col min="8205" max="8459" width="9" style="3215"/>
    <col min="8460" max="8460" width="12.875" style="3215" customWidth="1"/>
    <col min="8461" max="8715" width="9" style="3215"/>
    <col min="8716" max="8716" width="12.875" style="3215" customWidth="1"/>
    <col min="8717" max="8971" width="9" style="3215"/>
    <col min="8972" max="8972" width="12.875" style="3215" customWidth="1"/>
    <col min="8973" max="9227" width="9" style="3215"/>
    <col min="9228" max="9228" width="12.875" style="3215" customWidth="1"/>
    <col min="9229" max="9483" width="9" style="3215"/>
    <col min="9484" max="9484" width="12.875" style="3215" customWidth="1"/>
    <col min="9485" max="9739" width="9" style="3215"/>
    <col min="9740" max="9740" width="12.875" style="3215" customWidth="1"/>
    <col min="9741" max="9995" width="9" style="3215"/>
    <col min="9996" max="9996" width="12.875" style="3215" customWidth="1"/>
    <col min="9997" max="10251" width="9" style="3215"/>
    <col min="10252" max="10252" width="12.875" style="3215" customWidth="1"/>
    <col min="10253" max="10507" width="9" style="3215"/>
    <col min="10508" max="10508" width="12.875" style="3215" customWidth="1"/>
    <col min="10509" max="10763" width="9" style="3215"/>
    <col min="10764" max="10764" width="12.875" style="3215" customWidth="1"/>
    <col min="10765" max="11019" width="9" style="3215"/>
    <col min="11020" max="11020" width="12.875" style="3215" customWidth="1"/>
    <col min="11021" max="11275" width="9" style="3215"/>
    <col min="11276" max="11276" width="12.875" style="3215" customWidth="1"/>
    <col min="11277" max="11531" width="9" style="3215"/>
    <col min="11532" max="11532" width="12.875" style="3215" customWidth="1"/>
    <col min="11533" max="11787" width="9" style="3215"/>
    <col min="11788" max="11788" width="12.875" style="3215" customWidth="1"/>
    <col min="11789" max="12043" width="9" style="3215"/>
    <col min="12044" max="12044" width="12.875" style="3215" customWidth="1"/>
    <col min="12045" max="12299" width="9" style="3215"/>
    <col min="12300" max="12300" width="12.875" style="3215" customWidth="1"/>
    <col min="12301" max="12555" width="9" style="3215"/>
    <col min="12556" max="12556" width="12.875" style="3215" customWidth="1"/>
    <col min="12557" max="12811" width="9" style="3215"/>
    <col min="12812" max="12812" width="12.875" style="3215" customWidth="1"/>
    <col min="12813" max="13067" width="9" style="3215"/>
    <col min="13068" max="13068" width="12.875" style="3215" customWidth="1"/>
    <col min="13069" max="13323" width="9" style="3215"/>
    <col min="13324" max="13324" width="12.875" style="3215" customWidth="1"/>
    <col min="13325" max="13579" width="9" style="3215"/>
    <col min="13580" max="13580" width="12.875" style="3215" customWidth="1"/>
    <col min="13581" max="13835" width="9" style="3215"/>
    <col min="13836" max="13836" width="12.875" style="3215" customWidth="1"/>
    <col min="13837" max="14091" width="9" style="3215"/>
    <col min="14092" max="14092" width="12.875" style="3215" customWidth="1"/>
    <col min="14093" max="14347" width="9" style="3215"/>
    <col min="14348" max="14348" width="12.875" style="3215" customWidth="1"/>
    <col min="14349" max="14603" width="9" style="3215"/>
    <col min="14604" max="14604" width="12.875" style="3215" customWidth="1"/>
    <col min="14605" max="14859" width="9" style="3215"/>
    <col min="14860" max="14860" width="12.875" style="3215" customWidth="1"/>
    <col min="14861" max="15115" width="9" style="3215"/>
    <col min="15116" max="15116" width="12.875" style="3215" customWidth="1"/>
    <col min="15117" max="15371" width="9" style="3215"/>
    <col min="15372" max="15372" width="12.875" style="3215" customWidth="1"/>
    <col min="15373" max="15627" width="9" style="3215"/>
    <col min="15628" max="15628" width="12.875" style="3215" customWidth="1"/>
    <col min="15629" max="15883" width="9" style="3215"/>
    <col min="15884" max="15884" width="12.875" style="3215" customWidth="1"/>
    <col min="15885" max="16139" width="9" style="3215"/>
    <col min="16140" max="16140" width="12.875" style="3215" customWidth="1"/>
    <col min="16141" max="16384" width="9" style="3215"/>
  </cols>
  <sheetData>
    <row r="1" spans="1:14">
      <c r="A1" s="3657" t="s">
        <v>3317</v>
      </c>
      <c r="B1" s="3657"/>
      <c r="C1" s="3658"/>
      <c r="D1" s="3659"/>
      <c r="E1" s="3660" t="s">
        <v>3318</v>
      </c>
      <c r="F1" s="3661"/>
      <c r="G1" s="3662"/>
      <c r="H1" s="3662"/>
      <c r="I1" s="3661"/>
      <c r="J1" s="3663" t="s">
        <v>3319</v>
      </c>
      <c r="K1" s="3664"/>
      <c r="L1" s="3665"/>
      <c r="M1" s="3665"/>
      <c r="N1" s="3665"/>
    </row>
    <row r="2" spans="1:14">
      <c r="A2" s="3216" t="s">
        <v>2366</v>
      </c>
      <c r="B2" s="3216" t="s">
        <v>3320</v>
      </c>
      <c r="C2" s="3217" t="s">
        <v>3321</v>
      </c>
      <c r="D2" s="3218" t="s">
        <v>3322</v>
      </c>
      <c r="E2" s="3219" t="s">
        <v>3323</v>
      </c>
      <c r="F2" s="3220" t="s">
        <v>3324</v>
      </c>
      <c r="G2" s="3221" t="s">
        <v>3325</v>
      </c>
      <c r="H2" s="3221" t="s">
        <v>3321</v>
      </c>
      <c r="I2" s="3220" t="s">
        <v>3326</v>
      </c>
      <c r="J2" s="3222" t="s">
        <v>3327</v>
      </c>
      <c r="K2" s="3223" t="s">
        <v>3328</v>
      </c>
      <c r="L2" s="3224" t="s">
        <v>3329</v>
      </c>
      <c r="M2" s="3224" t="s">
        <v>3330</v>
      </c>
      <c r="N2" s="3225" t="s">
        <v>3331</v>
      </c>
    </row>
    <row r="3" spans="1:14">
      <c r="A3" s="3226">
        <v>250</v>
      </c>
      <c r="B3" s="3250" t="s">
        <v>4319</v>
      </c>
      <c r="C3" s="3250" t="s">
        <v>3011</v>
      </c>
      <c r="D3" s="3251" t="s">
        <v>4320</v>
      </c>
      <c r="E3" s="3229">
        <v>44003</v>
      </c>
      <c r="F3" s="3230">
        <v>200000</v>
      </c>
      <c r="G3" s="3231">
        <v>269.91000000000003</v>
      </c>
      <c r="H3" s="3231" t="s">
        <v>3438</v>
      </c>
      <c r="I3" s="3230">
        <v>10577982</v>
      </c>
      <c r="J3" s="3229">
        <v>44011</v>
      </c>
      <c r="K3" s="3234">
        <v>6</v>
      </c>
      <c r="L3" s="3230">
        <v>10246859</v>
      </c>
      <c r="M3" s="3235">
        <v>37963.984291059976</v>
      </c>
      <c r="N3" s="3236">
        <v>3430000</v>
      </c>
    </row>
    <row r="4" spans="1:14">
      <c r="A4" s="3226">
        <v>251</v>
      </c>
      <c r="B4" s="3250" t="s">
        <v>4321</v>
      </c>
      <c r="C4" s="3250" t="s">
        <v>3011</v>
      </c>
      <c r="D4" s="3251" t="s">
        <v>4322</v>
      </c>
      <c r="E4" s="3229">
        <v>44018</v>
      </c>
      <c r="F4" s="3230">
        <v>200000</v>
      </c>
      <c r="G4" s="3231">
        <v>243.44</v>
      </c>
      <c r="H4" s="3231" t="s">
        <v>3438</v>
      </c>
      <c r="I4" s="3230">
        <v>8269370</v>
      </c>
      <c r="J4" s="3229">
        <v>44025</v>
      </c>
      <c r="K4" s="3234">
        <v>7</v>
      </c>
      <c r="L4" s="3230">
        <v>8219370</v>
      </c>
      <c r="M4" s="3235">
        <v>33763.432467959254</v>
      </c>
      <c r="N4" s="3236">
        <v>3019370</v>
      </c>
    </row>
    <row r="5" spans="1:14">
      <c r="A5" s="3226">
        <v>252</v>
      </c>
      <c r="B5" s="3250" t="s">
        <v>4323</v>
      </c>
      <c r="C5" s="3250" t="s">
        <v>3011</v>
      </c>
      <c r="D5" s="3251" t="s">
        <v>4324</v>
      </c>
      <c r="E5" s="3229">
        <v>44017</v>
      </c>
      <c r="F5" s="3230">
        <v>200000</v>
      </c>
      <c r="G5" s="3231">
        <v>239.21</v>
      </c>
      <c r="H5" s="3231" t="s">
        <v>3438</v>
      </c>
      <c r="I5" s="3230">
        <v>8230322</v>
      </c>
      <c r="J5" s="3229">
        <v>44024</v>
      </c>
      <c r="K5" s="3234">
        <v>7</v>
      </c>
      <c r="L5" s="3230">
        <v>8128219</v>
      </c>
      <c r="M5" s="3235">
        <v>33979.428117553616</v>
      </c>
      <c r="N5" s="3236">
        <v>7928219</v>
      </c>
    </row>
    <row r="6" spans="1:14">
      <c r="A6" s="3226">
        <v>254</v>
      </c>
      <c r="B6" s="3250" t="s">
        <v>4325</v>
      </c>
      <c r="C6" s="3250" t="s">
        <v>3011</v>
      </c>
      <c r="D6" s="3251" t="s">
        <v>3427</v>
      </c>
      <c r="E6" s="3229">
        <v>44018</v>
      </c>
      <c r="F6" s="3230">
        <v>200000</v>
      </c>
      <c r="G6" s="3231">
        <v>239.37</v>
      </c>
      <c r="H6" s="3231" t="s">
        <v>3438</v>
      </c>
      <c r="I6" s="3230">
        <v>8280937</v>
      </c>
      <c r="J6" s="3229">
        <v>44040</v>
      </c>
      <c r="K6" s="3234">
        <v>7</v>
      </c>
      <c r="L6" s="3230">
        <v>8178328</v>
      </c>
      <c r="M6" s="3235">
        <v>34166.052554622547</v>
      </c>
      <c r="N6" s="3236">
        <v>2258328</v>
      </c>
    </row>
    <row r="7" spans="1:14">
      <c r="A7" s="3226">
        <v>255</v>
      </c>
      <c r="B7" s="3250" t="s">
        <v>4326</v>
      </c>
      <c r="C7" s="3250" t="s">
        <v>3011</v>
      </c>
      <c r="D7" s="3251" t="s">
        <v>4327</v>
      </c>
      <c r="E7" s="3229">
        <v>44005</v>
      </c>
      <c r="F7" s="3230">
        <v>200000</v>
      </c>
      <c r="G7" s="3231">
        <v>273.41000000000003</v>
      </c>
      <c r="H7" s="3231" t="s">
        <v>3438</v>
      </c>
      <c r="I7" s="3230">
        <v>9831580</v>
      </c>
      <c r="J7" s="3229">
        <v>44012</v>
      </c>
      <c r="K7" s="3234">
        <v>6</v>
      </c>
      <c r="L7" s="3230">
        <v>9567325</v>
      </c>
      <c r="M7" s="3235">
        <v>34992.593540836104</v>
      </c>
      <c r="N7" s="3236">
        <v>5377325</v>
      </c>
    </row>
    <row r="8" spans="1:14" ht="24">
      <c r="A8" s="3226">
        <v>256</v>
      </c>
      <c r="B8" s="3250" t="s">
        <v>4328</v>
      </c>
      <c r="C8" s="3250" t="s">
        <v>3011</v>
      </c>
      <c r="D8" s="3251" t="s">
        <v>4329</v>
      </c>
      <c r="E8" s="3229">
        <v>44010</v>
      </c>
      <c r="F8" s="3230">
        <v>70000</v>
      </c>
      <c r="G8" s="3231">
        <v>268.49</v>
      </c>
      <c r="H8" s="3231" t="s">
        <v>3438</v>
      </c>
      <c r="I8" s="3230">
        <v>8680235</v>
      </c>
      <c r="J8" s="3229">
        <v>44018</v>
      </c>
      <c r="K8" s="3234">
        <v>7</v>
      </c>
      <c r="L8" s="3230">
        <v>8487896</v>
      </c>
      <c r="M8" s="3235">
        <v>31613.453015009869</v>
      </c>
      <c r="N8" s="3236">
        <v>4427896</v>
      </c>
    </row>
    <row r="9" spans="1:14">
      <c r="A9" s="3226">
        <v>257</v>
      </c>
      <c r="B9" s="3250" t="s">
        <v>4330</v>
      </c>
      <c r="C9" s="3250" t="s">
        <v>3011</v>
      </c>
      <c r="D9" s="3251" t="s">
        <v>4331</v>
      </c>
      <c r="E9" s="3229">
        <v>44014</v>
      </c>
      <c r="F9" s="3230">
        <v>200000</v>
      </c>
      <c r="G9" s="3231">
        <v>245.42</v>
      </c>
      <c r="H9" s="3231" t="s">
        <v>3438</v>
      </c>
      <c r="I9" s="3230">
        <v>7385045</v>
      </c>
      <c r="J9" s="3229">
        <v>44032</v>
      </c>
      <c r="K9" s="3234">
        <v>7</v>
      </c>
      <c r="L9" s="3230">
        <v>7365045</v>
      </c>
      <c r="M9" s="3235">
        <v>30009.962513242604</v>
      </c>
      <c r="N9" s="3236">
        <v>2015045</v>
      </c>
    </row>
    <row r="10" spans="1:14">
      <c r="A10" s="3226">
        <v>258</v>
      </c>
      <c r="B10" s="3250" t="s">
        <v>4332</v>
      </c>
      <c r="C10" s="3250" t="s">
        <v>3011</v>
      </c>
      <c r="D10" s="3251" t="s">
        <v>4333</v>
      </c>
      <c r="E10" s="3229">
        <v>44004</v>
      </c>
      <c r="F10" s="3230">
        <v>200000</v>
      </c>
      <c r="G10" s="3231">
        <v>272.16000000000003</v>
      </c>
      <c r="H10" s="3231" t="s">
        <v>3438</v>
      </c>
      <c r="I10" s="3230">
        <v>8617229</v>
      </c>
      <c r="J10" s="3229">
        <v>44010</v>
      </c>
      <c r="K10" s="3234">
        <v>6</v>
      </c>
      <c r="L10" s="3230">
        <v>8377139</v>
      </c>
      <c r="M10" s="3235">
        <v>30780.199147560255</v>
      </c>
      <c r="N10" s="3236">
        <v>4177139</v>
      </c>
    </row>
    <row r="11" spans="1:14" ht="24">
      <c r="A11" s="3226">
        <v>260</v>
      </c>
      <c r="B11" s="3250" t="s">
        <v>4334</v>
      </c>
      <c r="C11" s="3250" t="s">
        <v>3011</v>
      </c>
      <c r="D11" s="3251" t="s">
        <v>4335</v>
      </c>
      <c r="E11" s="3229">
        <v>44017</v>
      </c>
      <c r="F11" s="3230">
        <v>200000</v>
      </c>
      <c r="G11" s="3231">
        <v>245.39</v>
      </c>
      <c r="H11" s="3231" t="s">
        <v>3438</v>
      </c>
      <c r="I11" s="3230">
        <v>7370008</v>
      </c>
      <c r="J11" s="3229">
        <v>44024</v>
      </c>
      <c r="K11" s="3234">
        <v>7</v>
      </c>
      <c r="L11" s="3230">
        <v>7276508</v>
      </c>
      <c r="M11" s="3235">
        <v>29652.830188679247</v>
      </c>
      <c r="N11" s="3236">
        <v>1986508</v>
      </c>
    </row>
    <row r="12" spans="1:14">
      <c r="A12" s="3226">
        <v>261</v>
      </c>
      <c r="B12" s="3250" t="s">
        <v>4336</v>
      </c>
      <c r="C12" s="3250" t="s">
        <v>3011</v>
      </c>
      <c r="D12" s="3251" t="s">
        <v>4337</v>
      </c>
      <c r="E12" s="3229">
        <v>44012</v>
      </c>
      <c r="F12" s="3230">
        <v>150000</v>
      </c>
      <c r="G12" s="3231">
        <v>272.12</v>
      </c>
      <c r="H12" s="3231" t="s">
        <v>3438</v>
      </c>
      <c r="I12" s="3230">
        <v>8393817</v>
      </c>
      <c r="J12" s="3229">
        <v>44042</v>
      </c>
      <c r="K12" s="3234">
        <v>7</v>
      </c>
      <c r="L12" s="3230">
        <v>8290079</v>
      </c>
      <c r="M12" s="3235">
        <v>30464.79126855799</v>
      </c>
      <c r="N12" s="3236">
        <v>1510079</v>
      </c>
    </row>
    <row r="13" spans="1:14">
      <c r="A13" s="3226">
        <v>262</v>
      </c>
      <c r="B13" s="3250" t="s">
        <v>4338</v>
      </c>
      <c r="C13" s="3250" t="s">
        <v>3011</v>
      </c>
      <c r="D13" s="3251" t="s">
        <v>4339</v>
      </c>
      <c r="E13" s="3229">
        <v>44005</v>
      </c>
      <c r="F13" s="3230">
        <v>200000</v>
      </c>
      <c r="G13" s="3231">
        <v>272.95</v>
      </c>
      <c r="H13" s="3231" t="s">
        <v>3438</v>
      </c>
      <c r="I13" s="3230">
        <v>10117510</v>
      </c>
      <c r="J13" s="3229">
        <v>44012</v>
      </c>
      <c r="K13" s="3234">
        <v>6</v>
      </c>
      <c r="L13" s="3230">
        <v>9847565</v>
      </c>
      <c r="M13" s="3235">
        <v>36078.274409232465</v>
      </c>
      <c r="N13" s="3236">
        <v>7857565</v>
      </c>
    </row>
    <row r="14" spans="1:14">
      <c r="A14" s="3226">
        <v>263</v>
      </c>
      <c r="B14" s="3250" t="s">
        <v>4340</v>
      </c>
      <c r="C14" s="3250" t="s">
        <v>3011</v>
      </c>
      <c r="D14" s="3251" t="s">
        <v>4341</v>
      </c>
      <c r="E14" s="3229">
        <v>44003</v>
      </c>
      <c r="F14" s="3230">
        <v>600000</v>
      </c>
      <c r="G14" s="3231">
        <v>239.11</v>
      </c>
      <c r="H14" s="3231" t="s">
        <v>3438</v>
      </c>
      <c r="I14" s="3230">
        <v>8190285</v>
      </c>
      <c r="J14" s="3229">
        <v>44031</v>
      </c>
      <c r="K14" s="3234">
        <v>7</v>
      </c>
      <c r="L14" s="3230">
        <v>7958691</v>
      </c>
      <c r="M14" s="3235">
        <v>33284.643051315295</v>
      </c>
      <c r="N14" s="3236">
        <v>1788691</v>
      </c>
    </row>
    <row r="15" spans="1:14">
      <c r="A15" s="3226">
        <v>265</v>
      </c>
      <c r="B15" s="3250" t="s">
        <v>4342</v>
      </c>
      <c r="C15" s="3250" t="s">
        <v>3011</v>
      </c>
      <c r="D15" s="3251" t="s">
        <v>4343</v>
      </c>
      <c r="E15" s="3229">
        <v>44008</v>
      </c>
      <c r="F15" s="3230">
        <v>200000</v>
      </c>
      <c r="G15" s="3231">
        <v>272.95</v>
      </c>
      <c r="H15" s="3231" t="s">
        <v>3438</v>
      </c>
      <c r="I15" s="3230">
        <v>9916107</v>
      </c>
      <c r="J15" s="3229">
        <v>44032</v>
      </c>
      <c r="K15" s="3234">
        <v>7</v>
      </c>
      <c r="L15" s="3230">
        <v>9699174</v>
      </c>
      <c r="M15" s="3235">
        <v>35534.618061916102</v>
      </c>
      <c r="N15" s="3236">
        <v>2719174</v>
      </c>
    </row>
    <row r="16" spans="1:14" ht="24">
      <c r="A16" s="3226">
        <v>266</v>
      </c>
      <c r="B16" s="3250" t="s">
        <v>4344</v>
      </c>
      <c r="C16" s="3250" t="s">
        <v>3011</v>
      </c>
      <c r="D16" s="3251" t="s">
        <v>3819</v>
      </c>
      <c r="E16" s="3229">
        <v>44032</v>
      </c>
      <c r="F16" s="3230">
        <v>200000</v>
      </c>
      <c r="G16" s="3231">
        <v>272.12</v>
      </c>
      <c r="H16" s="3231" t="s">
        <v>3438</v>
      </c>
      <c r="I16" s="3230">
        <v>8632267</v>
      </c>
      <c r="J16" s="3229">
        <v>44032</v>
      </c>
      <c r="K16" s="3234">
        <v>7</v>
      </c>
      <c r="L16" s="3230">
        <v>8526144</v>
      </c>
      <c r="M16" s="3235">
        <v>31332.294575922388</v>
      </c>
      <c r="N16" s="3236">
        <v>2366144</v>
      </c>
    </row>
    <row r="17" spans="1:14">
      <c r="A17" s="3226">
        <v>267</v>
      </c>
      <c r="B17" s="3250" t="s">
        <v>4345</v>
      </c>
      <c r="C17" s="3250" t="s">
        <v>3011</v>
      </c>
      <c r="D17" s="3251" t="s">
        <v>4346</v>
      </c>
      <c r="E17" s="3229">
        <v>44014</v>
      </c>
      <c r="F17" s="3230">
        <v>200000</v>
      </c>
      <c r="G17" s="3231">
        <v>245.39</v>
      </c>
      <c r="H17" s="3231" t="s">
        <v>3438</v>
      </c>
      <c r="I17" s="3230">
        <v>7412567</v>
      </c>
      <c r="J17" s="3229">
        <v>44019</v>
      </c>
      <c r="K17" s="3234">
        <v>7</v>
      </c>
      <c r="L17" s="3230">
        <v>7318641</v>
      </c>
      <c r="M17" s="3235">
        <v>29824.528301886796</v>
      </c>
      <c r="N17" s="3236">
        <v>2218641</v>
      </c>
    </row>
    <row r="18" spans="1:14">
      <c r="A18" s="3226">
        <v>268</v>
      </c>
      <c r="B18" s="3250" t="s">
        <v>4347</v>
      </c>
      <c r="C18" s="3250" t="s">
        <v>3011</v>
      </c>
      <c r="D18" s="3251" t="s">
        <v>4348</v>
      </c>
      <c r="E18" s="3229">
        <v>44003</v>
      </c>
      <c r="F18" s="3230">
        <v>200000</v>
      </c>
      <c r="G18" s="3231">
        <v>272.12</v>
      </c>
      <c r="H18" s="3231" t="s">
        <v>3438</v>
      </c>
      <c r="I18" s="3230">
        <v>8639721</v>
      </c>
      <c r="J18" s="3229">
        <v>44006</v>
      </c>
      <c r="K18" s="3234">
        <v>6</v>
      </c>
      <c r="L18" s="3230">
        <v>8399184</v>
      </c>
      <c r="M18" s="3235">
        <v>30865.735704836101</v>
      </c>
      <c r="N18" s="3236">
        <v>4699184</v>
      </c>
    </row>
    <row r="19" spans="1:14" ht="24">
      <c r="A19" s="3226">
        <v>281</v>
      </c>
      <c r="B19" s="3250" t="s">
        <v>4349</v>
      </c>
      <c r="C19" s="3250" t="s">
        <v>3011</v>
      </c>
      <c r="D19" s="3251" t="s">
        <v>4350</v>
      </c>
      <c r="E19" s="3229">
        <v>44003</v>
      </c>
      <c r="F19" s="3230">
        <v>200000</v>
      </c>
      <c r="G19" s="3231">
        <v>241.8</v>
      </c>
      <c r="H19" s="3231" t="s">
        <v>3438</v>
      </c>
      <c r="I19" s="3230">
        <v>9550160</v>
      </c>
      <c r="J19" s="3229">
        <v>44018</v>
      </c>
      <c r="K19" s="3234">
        <v>7</v>
      </c>
      <c r="L19" s="3230">
        <v>9291505</v>
      </c>
      <c r="M19" s="3235">
        <v>38426.406120760956</v>
      </c>
      <c r="N19" s="3236">
        <v>2591505</v>
      </c>
    </row>
    <row r="20" spans="1:14">
      <c r="A20" s="3226">
        <v>554</v>
      </c>
      <c r="B20" s="3250" t="s">
        <v>4351</v>
      </c>
      <c r="C20" s="3227" t="s">
        <v>3011</v>
      </c>
      <c r="D20" s="3251" t="s">
        <v>4352</v>
      </c>
      <c r="E20" s="3229">
        <v>44044</v>
      </c>
      <c r="F20" s="3230">
        <v>200000</v>
      </c>
      <c r="G20" s="3231">
        <v>239.11</v>
      </c>
      <c r="H20" s="3231" t="s">
        <v>3438</v>
      </c>
      <c r="I20" s="3230">
        <v>8098525</v>
      </c>
      <c r="J20" s="3229">
        <v>44048</v>
      </c>
      <c r="K20" s="3234">
        <v>8</v>
      </c>
      <c r="L20" s="3230">
        <v>8098525</v>
      </c>
      <c r="M20" s="3235">
        <v>33869.453389653296</v>
      </c>
      <c r="N20" s="3236">
        <v>800000</v>
      </c>
    </row>
    <row r="21" spans="1:14" ht="24">
      <c r="A21" s="3226">
        <v>555</v>
      </c>
      <c r="B21" s="3250" t="s">
        <v>4353</v>
      </c>
      <c r="C21" s="3227" t="s">
        <v>3011</v>
      </c>
      <c r="D21" s="3251" t="s">
        <v>4354</v>
      </c>
      <c r="E21" s="3229">
        <v>44046</v>
      </c>
      <c r="F21" s="3230">
        <v>500000</v>
      </c>
      <c r="G21" s="3231">
        <v>272.95</v>
      </c>
      <c r="H21" s="3231" t="s">
        <v>3438</v>
      </c>
      <c r="I21" s="3230">
        <v>9917427</v>
      </c>
      <c r="J21" s="3229">
        <v>44048</v>
      </c>
      <c r="K21" s="3234">
        <v>8</v>
      </c>
      <c r="L21" s="3230">
        <v>9917427</v>
      </c>
      <c r="M21" s="3235">
        <v>36334.226048726872</v>
      </c>
      <c r="N21" s="3236">
        <v>2517427</v>
      </c>
    </row>
    <row r="22" spans="1:14">
      <c r="G22" s="3215">
        <f>SUM(G3:G21)</f>
        <v>4897.4199999999992</v>
      </c>
      <c r="L22" s="3264">
        <f>SUM(L3:L21)</f>
        <v>163193624</v>
      </c>
      <c r="M22" s="3215">
        <f>L22/G22</f>
        <v>33322.366470508969</v>
      </c>
    </row>
  </sheetData>
  <mergeCells count="3">
    <mergeCell ref="A1:D1"/>
    <mergeCell ref="E1:I1"/>
    <mergeCell ref="J1:N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2"/>
      <c r="C1" s="503" t="s">
        <v>792</v>
      </c>
      <c r="D1" s="848"/>
      <c r="E1" s="505"/>
      <c r="F1" s="2643"/>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IF(B37="元/平方米",C39,ROUND(B2*10000/D3,0))</f>
        <v>#DIV/0!</v>
      </c>
      <c r="C3" s="851" t="s">
        <v>796</v>
      </c>
      <c r="D3" s="850">
        <f>SUMIF('数据-汇总表'!$C19:$C33,D1,'数据-汇总表'!$E19:$E33)</f>
        <v>0</v>
      </c>
      <c r="E3" s="1830" t="s">
        <v>2068</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532" t="s">
        <v>798</v>
      </c>
      <c r="D4" s="3533"/>
      <c r="E4" s="3532" t="s">
        <v>799</v>
      </c>
      <c r="F4" s="3533"/>
      <c r="G4" s="3532" t="s">
        <v>800</v>
      </c>
      <c r="H4" s="3533"/>
      <c r="I4" s="3532" t="s">
        <v>801</v>
      </c>
      <c r="J4" s="3533"/>
      <c r="K4" s="513" t="s">
        <v>802</v>
      </c>
      <c r="L4" s="2115"/>
      <c r="M4" s="2116"/>
      <c r="N4" s="2116"/>
      <c r="O4" s="2116"/>
      <c r="P4" s="3534" t="s">
        <v>803</v>
      </c>
      <c r="Q4" s="3535"/>
      <c r="R4" s="3520" t="s">
        <v>799</v>
      </c>
      <c r="S4" s="3521"/>
      <c r="T4" s="3520" t="s">
        <v>800</v>
      </c>
      <c r="U4" s="3521"/>
      <c r="V4" s="3540" t="s">
        <v>801</v>
      </c>
      <c r="W4" s="3540"/>
      <c r="X4" s="1550"/>
      <c r="Y4" s="3520" t="s">
        <v>803</v>
      </c>
      <c r="Z4" s="3521"/>
      <c r="AA4" s="3515" t="s">
        <v>799</v>
      </c>
      <c r="AB4" s="3516" t="s">
        <v>800</v>
      </c>
      <c r="AC4" s="3515" t="s">
        <v>801</v>
      </c>
    </row>
    <row r="5" spans="1:29" ht="15">
      <c r="A5" s="514"/>
      <c r="B5" s="515"/>
      <c r="C5" s="3543" t="s">
        <v>2919</v>
      </c>
      <c r="D5" s="3544"/>
      <c r="E5" s="3543" t="s">
        <v>2920</v>
      </c>
      <c r="F5" s="3544"/>
      <c r="G5" s="3543" t="s">
        <v>2921</v>
      </c>
      <c r="H5" s="3544"/>
      <c r="I5" s="3543" t="s">
        <v>2922</v>
      </c>
      <c r="J5" s="3544"/>
      <c r="K5" s="513"/>
      <c r="L5" s="2115"/>
      <c r="M5" s="2116"/>
      <c r="N5" s="2116"/>
      <c r="O5" s="2116"/>
      <c r="P5" s="3536"/>
      <c r="Q5" s="3537"/>
      <c r="R5" s="3522"/>
      <c r="S5" s="3523"/>
      <c r="T5" s="3522"/>
      <c r="U5" s="3523"/>
      <c r="V5" s="3540"/>
      <c r="W5" s="3540"/>
      <c r="X5" s="1550"/>
      <c r="Y5" s="3522"/>
      <c r="Z5" s="3523"/>
      <c r="AA5" s="3516"/>
      <c r="AB5" s="3516"/>
      <c r="AC5" s="3516"/>
    </row>
    <row r="6" spans="1:29" ht="15.75" thickBot="1">
      <c r="A6" s="516"/>
      <c r="B6" s="517"/>
      <c r="C6" s="3541" t="s">
        <v>2923</v>
      </c>
      <c r="D6" s="3542"/>
      <c r="E6" s="3545" t="s">
        <v>2923</v>
      </c>
      <c r="F6" s="3546"/>
      <c r="G6" s="3541" t="s">
        <v>2923</v>
      </c>
      <c r="H6" s="3542"/>
      <c r="I6" s="3541" t="s">
        <v>2923</v>
      </c>
      <c r="J6" s="3542"/>
      <c r="K6" s="513" t="s">
        <v>528</v>
      </c>
      <c r="L6" s="2115"/>
      <c r="M6" s="2116"/>
      <c r="N6" s="2116"/>
      <c r="O6" s="2116"/>
      <c r="P6" s="3538"/>
      <c r="Q6" s="3539"/>
      <c r="R6" s="3522"/>
      <c r="S6" s="3523"/>
      <c r="T6" s="3524"/>
      <c r="U6" s="3525"/>
      <c r="V6" s="3540"/>
      <c r="W6" s="3540"/>
      <c r="X6" s="1550"/>
      <c r="Y6" s="3524"/>
      <c r="Z6" s="3525"/>
      <c r="AA6" s="3517"/>
      <c r="AB6" s="3517"/>
      <c r="AC6" s="3517"/>
    </row>
    <row r="7" spans="1:29" s="1214" customFormat="1" ht="15.75" thickBot="1">
      <c r="A7" s="2748"/>
      <c r="B7" s="2755" t="s">
        <v>529</v>
      </c>
      <c r="C7" s="518">
        <f>'数据-取费表'!B2</f>
        <v>44050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518" t="s">
        <v>530</v>
      </c>
      <c r="Q7" s="3527"/>
      <c r="R7" s="1551" t="s">
        <v>8</v>
      </c>
      <c r="S7" s="1552">
        <f t="shared" ref="S7:S14" si="0">F7</f>
        <v>0</v>
      </c>
      <c r="T7" s="1551" t="s">
        <v>8</v>
      </c>
      <c r="U7" s="1552">
        <f t="shared" ref="U7:U14" si="1">H7</f>
        <v>0</v>
      </c>
      <c r="V7" s="1551" t="s">
        <v>8</v>
      </c>
      <c r="W7" s="1552">
        <f t="shared" ref="W7:W14" si="2">J7</f>
        <v>0</v>
      </c>
      <c r="X7" s="1553"/>
      <c r="Y7" s="3518" t="s">
        <v>530</v>
      </c>
      <c r="Z7" s="3519"/>
      <c r="AA7" s="1554" t="e">
        <f>D7/F7</f>
        <v>#DIV/0!</v>
      </c>
      <c r="AB7" s="1554" t="e">
        <f>D7/H7</f>
        <v>#DIV/0!</v>
      </c>
      <c r="AC7" s="1554" t="e">
        <f>D7/J7</f>
        <v>#DIV/0!</v>
      </c>
    </row>
    <row r="8" spans="1:29" s="1214" customFormat="1" ht="15.75" thickBot="1">
      <c r="A8" s="2749"/>
      <c r="B8" s="2756"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518" t="s">
        <v>533</v>
      </c>
      <c r="Q8" s="3519"/>
      <c r="R8" s="1551" t="s">
        <v>8</v>
      </c>
      <c r="S8" s="1552">
        <f t="shared" si="0"/>
        <v>0</v>
      </c>
      <c r="T8" s="1551" t="s">
        <v>8</v>
      </c>
      <c r="U8" s="1552">
        <f t="shared" si="1"/>
        <v>0</v>
      </c>
      <c r="V8" s="1551" t="s">
        <v>8</v>
      </c>
      <c r="W8" s="1552">
        <f t="shared" si="2"/>
        <v>0</v>
      </c>
      <c r="X8" s="1553"/>
      <c r="Y8" s="3518" t="s">
        <v>533</v>
      </c>
      <c r="Z8" s="3519"/>
      <c r="AA8" s="1554" t="e">
        <f t="shared" ref="AA8:AA36" si="3">D8/F8</f>
        <v>#DIV/0!</v>
      </c>
      <c r="AB8" s="1554" t="e">
        <f t="shared" ref="AB8:AB36" si="4">D8/H8</f>
        <v>#DIV/0!</v>
      </c>
      <c r="AC8" s="1554" t="e">
        <f t="shared" ref="AC8:AC36" si="5">D8/J8</f>
        <v>#DIV/0!</v>
      </c>
    </row>
    <row r="9" spans="1:29" s="1214" customFormat="1" ht="15">
      <c r="A9" s="2750"/>
      <c r="B9" s="2757" t="s">
        <v>2746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526" t="s">
        <v>535</v>
      </c>
      <c r="Q9" s="1145" t="str">
        <f t="shared" ref="Q9:Q14" si="6">B9</f>
        <v>用途</v>
      </c>
      <c r="R9" s="1551" t="s">
        <v>8</v>
      </c>
      <c r="S9" s="1552">
        <f t="shared" si="0"/>
        <v>100</v>
      </c>
      <c r="T9" s="1551" t="s">
        <v>8</v>
      </c>
      <c r="U9" s="1552">
        <f t="shared" si="1"/>
        <v>100</v>
      </c>
      <c r="V9" s="1551" t="s">
        <v>8</v>
      </c>
      <c r="W9" s="1552">
        <f t="shared" si="2"/>
        <v>100</v>
      </c>
      <c r="X9" s="1553"/>
      <c r="Y9" s="3480" t="s">
        <v>536</v>
      </c>
      <c r="Z9" s="1144" t="str">
        <f t="shared" ref="Z9:Z14" si="7">Q9</f>
        <v>用途</v>
      </c>
      <c r="AA9" s="1554">
        <f t="shared" si="3"/>
        <v>1</v>
      </c>
      <c r="AB9" s="1554">
        <f t="shared" si="4"/>
        <v>1</v>
      </c>
      <c r="AC9" s="1554">
        <f t="shared" si="5"/>
        <v>1</v>
      </c>
    </row>
    <row r="10" spans="1:29" s="1332" customFormat="1" ht="27">
      <c r="A10" s="2751"/>
      <c r="B10" s="2756" t="s">
        <v>2747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3"/>
      <c r="B11" s="2759">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526"/>
      <c r="Q11" s="1145">
        <f t="shared" si="6"/>
        <v>111</v>
      </c>
      <c r="R11" s="1551" t="s">
        <v>8</v>
      </c>
      <c r="S11" s="1552">
        <f t="shared" si="0"/>
        <v>100</v>
      </c>
      <c r="T11" s="1551" t="s">
        <v>8</v>
      </c>
      <c r="U11" s="1552">
        <f t="shared" si="1"/>
        <v>100</v>
      </c>
      <c r="V11" s="1551" t="s">
        <v>8</v>
      </c>
      <c r="W11" s="1552">
        <f t="shared" si="2"/>
        <v>100</v>
      </c>
      <c r="X11" s="1553"/>
      <c r="Y11" s="3480"/>
      <c r="Z11" s="1144">
        <f t="shared" si="7"/>
        <v>111</v>
      </c>
      <c r="AA11" s="1554">
        <f t="shared" si="3"/>
        <v>1</v>
      </c>
      <c r="AB11" s="1554">
        <f t="shared" si="4"/>
        <v>1</v>
      </c>
      <c r="AC11" s="1554">
        <f t="shared" si="5"/>
        <v>1</v>
      </c>
    </row>
    <row r="12" spans="1:29" s="1214" customFormat="1" ht="15">
      <c r="A12" s="2753"/>
      <c r="B12" s="2759">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526"/>
      <c r="Q12" s="1145">
        <f t="shared" si="6"/>
        <v>111</v>
      </c>
      <c r="R12" s="1551" t="s">
        <v>8</v>
      </c>
      <c r="S12" s="1552">
        <f t="shared" si="0"/>
        <v>100</v>
      </c>
      <c r="T12" s="1551" t="s">
        <v>8</v>
      </c>
      <c r="U12" s="1552">
        <f t="shared" si="1"/>
        <v>100</v>
      </c>
      <c r="V12" s="1551" t="s">
        <v>8</v>
      </c>
      <c r="W12" s="1552">
        <f t="shared" si="2"/>
        <v>100</v>
      </c>
      <c r="X12" s="1553"/>
      <c r="Y12" s="3480"/>
      <c r="Z12" s="1144">
        <f t="shared" si="7"/>
        <v>111</v>
      </c>
      <c r="AA12" s="1554">
        <f>D12/F12</f>
        <v>1</v>
      </c>
      <c r="AB12" s="1554">
        <f>D12/H12</f>
        <v>1</v>
      </c>
      <c r="AC12" s="1554">
        <f>D12/J12</f>
        <v>1</v>
      </c>
    </row>
    <row r="13" spans="1:29" ht="15.75" thickBot="1">
      <c r="A13" s="2754"/>
      <c r="B13" s="2760">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526"/>
      <c r="Q13" s="1145">
        <f t="shared" si="6"/>
        <v>111</v>
      </c>
      <c r="R13" s="1551" t="s">
        <v>8</v>
      </c>
      <c r="S13" s="1552">
        <f t="shared" si="0"/>
        <v>100</v>
      </c>
      <c r="T13" s="1551" t="s">
        <v>8</v>
      </c>
      <c r="U13" s="1552">
        <f t="shared" si="1"/>
        <v>100</v>
      </c>
      <c r="V13" s="1551" t="s">
        <v>8</v>
      </c>
      <c r="W13" s="1552">
        <f t="shared" si="2"/>
        <v>100</v>
      </c>
      <c r="X13" s="1553"/>
      <c r="Y13" s="3480"/>
      <c r="Z13" s="1144">
        <f t="shared" si="7"/>
        <v>111</v>
      </c>
      <c r="AA13" s="1554">
        <f t="shared" si="3"/>
        <v>1</v>
      </c>
      <c r="AB13" s="1554">
        <f t="shared" si="4"/>
        <v>1</v>
      </c>
      <c r="AC13" s="1554">
        <f t="shared" si="5"/>
        <v>1</v>
      </c>
    </row>
    <row r="14" spans="1:29" ht="85.5">
      <c r="A14" s="2746" t="s">
        <v>2744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528" t="s">
        <v>540</v>
      </c>
      <c r="Q14" s="1555" t="str">
        <f t="shared" si="6"/>
        <v>交通便捷度</v>
      </c>
      <c r="R14" s="1556" t="s">
        <v>8</v>
      </c>
      <c r="S14" s="1557">
        <f t="shared" si="0"/>
        <v>100</v>
      </c>
      <c r="T14" s="1556" t="s">
        <v>8</v>
      </c>
      <c r="U14" s="1557">
        <f t="shared" si="1"/>
        <v>100</v>
      </c>
      <c r="V14" s="1556" t="s">
        <v>8</v>
      </c>
      <c r="W14" s="1557">
        <f t="shared" si="2"/>
        <v>100</v>
      </c>
      <c r="X14" s="1550"/>
      <c r="Y14" s="3528" t="s">
        <v>540</v>
      </c>
      <c r="Z14" s="1558" t="str">
        <f t="shared" si="7"/>
        <v>交通便捷度</v>
      </c>
      <c r="AA14" s="1559">
        <f t="shared" si="3"/>
        <v>1</v>
      </c>
      <c r="AB14" s="1559">
        <f t="shared" si="4"/>
        <v>1</v>
      </c>
      <c r="AC14" s="1559">
        <f t="shared" si="5"/>
        <v>1</v>
      </c>
    </row>
    <row r="15" spans="1:29" ht="15">
      <c r="A15" s="514"/>
      <c r="B15" s="923"/>
      <c r="C15" s="575"/>
      <c r="D15" s="554"/>
      <c r="E15" s="575"/>
      <c r="F15" s="556"/>
      <c r="G15" s="575"/>
      <c r="H15" s="558"/>
      <c r="I15" s="575"/>
      <c r="J15" s="554"/>
      <c r="K15" s="898"/>
      <c r="L15" s="2124"/>
      <c r="M15" s="2116"/>
      <c r="N15" s="2116"/>
      <c r="O15" s="2123"/>
      <c r="P15" s="3529"/>
      <c r="Q15" s="1555"/>
      <c r="R15" s="1556"/>
      <c r="S15" s="1557"/>
      <c r="T15" s="1556"/>
      <c r="U15" s="1557"/>
      <c r="V15" s="1556"/>
      <c r="W15" s="1557"/>
      <c r="X15" s="1550"/>
      <c r="Y15" s="3529"/>
      <c r="Z15" s="1558"/>
      <c r="AA15" s="1559">
        <v>1</v>
      </c>
      <c r="AB15" s="1559">
        <v>1</v>
      </c>
      <c r="AC15" s="1559">
        <v>1</v>
      </c>
    </row>
    <row r="16" spans="1:29" ht="42.75">
      <c r="A16" s="514"/>
      <c r="B16" s="2564" t="s">
        <v>2537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529"/>
      <c r="Q16" s="1555" t="str">
        <f>B16</f>
        <v>公共配套设施</v>
      </c>
      <c r="R16" s="1556" t="s">
        <v>8</v>
      </c>
      <c r="S16" s="1557">
        <f>F16</f>
        <v>100</v>
      </c>
      <c r="T16" s="1556" t="s">
        <v>8</v>
      </c>
      <c r="U16" s="1557">
        <f>H16</f>
        <v>100</v>
      </c>
      <c r="V16" s="1556" t="s">
        <v>8</v>
      </c>
      <c r="W16" s="1557">
        <f>J16</f>
        <v>100</v>
      </c>
      <c r="X16" s="1550"/>
      <c r="Y16" s="3529"/>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8"/>
      <c r="L17" s="2124"/>
      <c r="M17" s="2116"/>
      <c r="N17" s="2116"/>
      <c r="O17" s="2123"/>
      <c r="P17" s="3529"/>
      <c r="Q17" s="1555"/>
      <c r="R17" s="1556"/>
      <c r="S17" s="1557"/>
      <c r="T17" s="1556"/>
      <c r="U17" s="1557"/>
      <c r="V17" s="1556"/>
      <c r="W17" s="1557"/>
      <c r="X17" s="1550"/>
      <c r="Y17" s="3529"/>
      <c r="Z17" s="1558"/>
      <c r="AA17" s="1559">
        <v>1</v>
      </c>
      <c r="AB17" s="1559">
        <v>1</v>
      </c>
      <c r="AC17" s="1559">
        <v>1</v>
      </c>
    </row>
    <row r="18" spans="1:29" ht="28.5">
      <c r="A18" s="514"/>
      <c r="B18" s="2552" t="s">
        <v>2549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529"/>
      <c r="Q18" s="2540" t="str">
        <f>B18</f>
        <v>基础设施水平</v>
      </c>
      <c r="R18" s="1556" t="s">
        <v>8</v>
      </c>
      <c r="S18" s="1557">
        <f>F18</f>
        <v>100</v>
      </c>
      <c r="T18" s="1556" t="s">
        <v>8</v>
      </c>
      <c r="U18" s="1557">
        <f>H18</f>
        <v>100</v>
      </c>
      <c r="V18" s="1556" t="s">
        <v>8</v>
      </c>
      <c r="W18" s="1557">
        <f>J18</f>
        <v>100</v>
      </c>
      <c r="X18" s="2542"/>
      <c r="Y18" s="3529"/>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529"/>
      <c r="Q19" s="2540"/>
      <c r="R19" s="1556"/>
      <c r="S19" s="1557"/>
      <c r="T19" s="1556"/>
      <c r="U19" s="1557"/>
      <c r="V19" s="1556"/>
      <c r="W19" s="1557"/>
      <c r="X19" s="2542"/>
      <c r="Y19" s="3529"/>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529"/>
      <c r="Q20" s="1555" t="str">
        <f>B20</f>
        <v>自然及人文环境</v>
      </c>
      <c r="R20" s="1556" t="s">
        <v>8</v>
      </c>
      <c r="S20" s="1557">
        <f>F20</f>
        <v>100</v>
      </c>
      <c r="T20" s="1556" t="s">
        <v>8</v>
      </c>
      <c r="U20" s="1557">
        <f>H20</f>
        <v>100</v>
      </c>
      <c r="V20" s="1556" t="s">
        <v>8</v>
      </c>
      <c r="W20" s="1557">
        <f>J20</f>
        <v>100</v>
      </c>
      <c r="X20" s="1550"/>
      <c r="Y20" s="3529"/>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8"/>
      <c r="L21" s="2124"/>
      <c r="M21" s="2116"/>
      <c r="N21" s="2116"/>
      <c r="O21" s="2123"/>
      <c r="P21" s="3529"/>
      <c r="Q21" s="1555"/>
      <c r="R21" s="1556"/>
      <c r="S21" s="1557"/>
      <c r="T21" s="1556"/>
      <c r="U21" s="1557"/>
      <c r="V21" s="1556"/>
      <c r="W21" s="1557"/>
      <c r="X21" s="1550"/>
      <c r="Y21" s="3529"/>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529"/>
      <c r="Q22" s="1555" t="str">
        <f>B22</f>
        <v>楼层</v>
      </c>
      <c r="R22" s="1556" t="s">
        <v>8</v>
      </c>
      <c r="S22" s="1557">
        <f>F22</f>
        <v>100</v>
      </c>
      <c r="T22" s="1556" t="s">
        <v>8</v>
      </c>
      <c r="U22" s="1557">
        <f>H22</f>
        <v>100</v>
      </c>
      <c r="V22" s="1556" t="s">
        <v>8</v>
      </c>
      <c r="W22" s="1557">
        <f>J22</f>
        <v>100</v>
      </c>
      <c r="X22" s="1550"/>
      <c r="Y22" s="3529"/>
      <c r="Z22" s="1558" t="str">
        <f>Q22</f>
        <v>楼层</v>
      </c>
      <c r="AA22" s="1559">
        <f t="shared" si="3"/>
        <v>1</v>
      </c>
      <c r="AB22" s="1559">
        <f t="shared" si="4"/>
        <v>1</v>
      </c>
      <c r="AC22" s="1559">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529"/>
      <c r="Q23" s="1555">
        <f>B23</f>
        <v>111</v>
      </c>
      <c r="R23" s="1556" t="s">
        <v>8</v>
      </c>
      <c r="S23" s="1557">
        <f>F23</f>
        <v>100</v>
      </c>
      <c r="T23" s="1556" t="s">
        <v>8</v>
      </c>
      <c r="U23" s="1557">
        <f>H23</f>
        <v>100</v>
      </c>
      <c r="V23" s="1556" t="s">
        <v>8</v>
      </c>
      <c r="W23" s="1557">
        <f>J23</f>
        <v>100</v>
      </c>
      <c r="X23" s="1550"/>
      <c r="Y23" s="3529"/>
      <c r="Z23" s="1558">
        <f>Q23</f>
        <v>111</v>
      </c>
      <c r="AA23" s="1559">
        <f t="shared" si="3"/>
        <v>1</v>
      </c>
      <c r="AB23" s="1559">
        <f t="shared" si="4"/>
        <v>1</v>
      </c>
      <c r="AC23" s="1559">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529"/>
      <c r="Q24" s="1555">
        <f t="shared" ref="Q24:Q36" si="11">B24</f>
        <v>111</v>
      </c>
      <c r="R24" s="1556" t="s">
        <v>8</v>
      </c>
      <c r="S24" s="1557">
        <f>F24</f>
        <v>100</v>
      </c>
      <c r="T24" s="1556" t="s">
        <v>8</v>
      </c>
      <c r="U24" s="1557">
        <f>H24</f>
        <v>100</v>
      </c>
      <c r="V24" s="1556" t="s">
        <v>8</v>
      </c>
      <c r="W24" s="1557">
        <f>J24</f>
        <v>100</v>
      </c>
      <c r="X24" s="1550"/>
      <c r="Y24" s="3529"/>
      <c r="Z24" s="1558">
        <f>Q24</f>
        <v>111</v>
      </c>
      <c r="AA24" s="1559">
        <f t="shared" si="3"/>
        <v>1</v>
      </c>
      <c r="AB24" s="1559">
        <f t="shared" si="4"/>
        <v>1</v>
      </c>
      <c r="AC24" s="1559">
        <f t="shared" si="5"/>
        <v>1</v>
      </c>
    </row>
    <row r="25" spans="1:29" s="1214"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529"/>
      <c r="Q25" s="1145">
        <f t="shared" si="11"/>
        <v>111</v>
      </c>
      <c r="R25" s="1551" t="s">
        <v>8</v>
      </c>
      <c r="S25" s="1552">
        <f>F25</f>
        <v>100</v>
      </c>
      <c r="T25" s="1551" t="s">
        <v>8</v>
      </c>
      <c r="U25" s="1552">
        <f>H25</f>
        <v>100</v>
      </c>
      <c r="V25" s="1551" t="s">
        <v>8</v>
      </c>
      <c r="W25" s="1552">
        <f>J25</f>
        <v>100</v>
      </c>
      <c r="X25" s="1553"/>
      <c r="Y25" s="3529"/>
      <c r="Z25" s="1144">
        <f>Q25</f>
        <v>111</v>
      </c>
      <c r="AA25" s="1559">
        <f>D25/F25</f>
        <v>1</v>
      </c>
      <c r="AB25" s="1559">
        <f>D25/H25</f>
        <v>1</v>
      </c>
      <c r="AC25" s="1559">
        <f>D25/J25</f>
        <v>1</v>
      </c>
    </row>
    <row r="26" spans="1:29" ht="15">
      <c r="A26" s="2743" t="s">
        <v>2745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530"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31" t="s">
        <v>550</v>
      </c>
      <c r="Z26" s="1558" t="str">
        <f t="shared" ref="Z26:Z36" si="15">Q26</f>
        <v>配套类型</v>
      </c>
      <c r="AA26" s="1559">
        <f t="shared" si="3"/>
        <v>1</v>
      </c>
      <c r="AB26" s="1559">
        <f t="shared" si="4"/>
        <v>1</v>
      </c>
      <c r="AC26" s="1559">
        <f t="shared" si="5"/>
        <v>1</v>
      </c>
    </row>
    <row r="27" spans="1:29" s="1333"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531"/>
      <c r="Q27" s="1587" t="str">
        <f t="shared" si="11"/>
        <v>项目停车位配比</v>
      </c>
      <c r="R27" s="1560" t="s">
        <v>8</v>
      </c>
      <c r="S27" s="1561">
        <f t="shared" si="12"/>
        <v>100</v>
      </c>
      <c r="T27" s="1560" t="s">
        <v>8</v>
      </c>
      <c r="U27" s="1561">
        <f t="shared" si="13"/>
        <v>100</v>
      </c>
      <c r="V27" s="1560" t="s">
        <v>8</v>
      </c>
      <c r="W27" s="1561">
        <f t="shared" si="14"/>
        <v>100</v>
      </c>
      <c r="X27" s="1562"/>
      <c r="Y27" s="3531"/>
      <c r="Z27" s="1563" t="str">
        <f t="shared" si="15"/>
        <v>项目停车位配比</v>
      </c>
      <c r="AA27" s="1559">
        <f t="shared" si="3"/>
        <v>1</v>
      </c>
      <c r="AB27" s="1559">
        <f t="shared" si="4"/>
        <v>1</v>
      </c>
      <c r="AC27" s="1559">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531"/>
      <c r="Q28" s="1555" t="str">
        <f t="shared" si="11"/>
        <v>公共部分装修</v>
      </c>
      <c r="R28" s="1556" t="s">
        <v>8</v>
      </c>
      <c r="S28" s="1557">
        <f t="shared" si="12"/>
        <v>100</v>
      </c>
      <c r="T28" s="1556" t="s">
        <v>8</v>
      </c>
      <c r="U28" s="1557">
        <f t="shared" si="13"/>
        <v>100</v>
      </c>
      <c r="V28" s="1556" t="s">
        <v>8</v>
      </c>
      <c r="W28" s="1557">
        <f t="shared" si="14"/>
        <v>100</v>
      </c>
      <c r="X28" s="1550"/>
      <c r="Y28" s="3531"/>
      <c r="Z28" s="1558" t="str">
        <f t="shared" si="15"/>
        <v>公共部分装修</v>
      </c>
      <c r="AA28" s="1559">
        <f t="shared" si="3"/>
        <v>1</v>
      </c>
      <c r="AB28" s="1559">
        <f t="shared" si="4"/>
        <v>1</v>
      </c>
      <c r="AC28" s="1559">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531"/>
      <c r="Q29" s="1555" t="str">
        <f t="shared" si="11"/>
        <v>成新率</v>
      </c>
      <c r="R29" s="1556" t="s">
        <v>8</v>
      </c>
      <c r="S29" s="1557" t="e">
        <f t="shared" si="12"/>
        <v>#N/A</v>
      </c>
      <c r="T29" s="1556" t="s">
        <v>8</v>
      </c>
      <c r="U29" s="1557" t="e">
        <f t="shared" si="13"/>
        <v>#N/A</v>
      </c>
      <c r="V29" s="1556" t="s">
        <v>8</v>
      </c>
      <c r="W29" s="1557" t="e">
        <f t="shared" si="14"/>
        <v>#N/A</v>
      </c>
      <c r="X29" s="1550"/>
      <c r="Y29" s="3531"/>
      <c r="Z29" s="1558" t="str">
        <f t="shared" si="15"/>
        <v>成新率</v>
      </c>
      <c r="AA29" s="1559" t="e">
        <f t="shared" si="3"/>
        <v>#N/A</v>
      </c>
      <c r="AB29" s="1559" t="e">
        <f t="shared" si="4"/>
        <v>#N/A</v>
      </c>
      <c r="AC29" s="1559"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531"/>
      <c r="Q30" s="1555" t="str">
        <f t="shared" si="11"/>
        <v>物业等级</v>
      </c>
      <c r="R30" s="1556" t="s">
        <v>8</v>
      </c>
      <c r="S30" s="1557">
        <f t="shared" si="12"/>
        <v>100</v>
      </c>
      <c r="T30" s="1556" t="s">
        <v>8</v>
      </c>
      <c r="U30" s="1557">
        <f t="shared" si="13"/>
        <v>100</v>
      </c>
      <c r="V30" s="1556" t="s">
        <v>8</v>
      </c>
      <c r="W30" s="1557">
        <f t="shared" si="14"/>
        <v>100</v>
      </c>
      <c r="X30" s="1550"/>
      <c r="Y30" s="3531"/>
      <c r="Z30" s="1558" t="str">
        <f t="shared" si="15"/>
        <v>物业等级</v>
      </c>
      <c r="AA30" s="1559">
        <f t="shared" si="3"/>
        <v>1</v>
      </c>
      <c r="AB30" s="1559">
        <f t="shared" si="4"/>
        <v>1</v>
      </c>
      <c r="AC30" s="1559">
        <f t="shared" si="5"/>
        <v>1</v>
      </c>
    </row>
    <row r="31" spans="1:29" s="1214"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531"/>
      <c r="Q31" s="1145" t="str">
        <f t="shared" si="11"/>
        <v>停车位面积</v>
      </c>
      <c r="R31" s="1551" t="s">
        <v>8</v>
      </c>
      <c r="S31" s="1552" t="e">
        <f t="shared" si="12"/>
        <v>#N/A</v>
      </c>
      <c r="T31" s="1551" t="s">
        <v>8</v>
      </c>
      <c r="U31" s="1552" t="e">
        <f t="shared" si="13"/>
        <v>#N/A</v>
      </c>
      <c r="V31" s="1551" t="s">
        <v>8</v>
      </c>
      <c r="W31" s="1552" t="e">
        <f t="shared" si="14"/>
        <v>#N/A</v>
      </c>
      <c r="X31" s="1553"/>
      <c r="Y31" s="3531"/>
      <c r="Z31" s="1144" t="str">
        <f t="shared" si="15"/>
        <v>停车位面积</v>
      </c>
      <c r="AA31" s="1554" t="e">
        <f t="shared" si="3"/>
        <v>#N/A</v>
      </c>
      <c r="AB31" s="1554" t="e">
        <f t="shared" si="4"/>
        <v>#N/A</v>
      </c>
      <c r="AC31" s="1554"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531" t="s">
        <v>550</v>
      </c>
      <c r="Q32" s="1555" t="str">
        <f t="shared" si="11"/>
        <v>车位类型</v>
      </c>
      <c r="R32" s="1556" t="s">
        <v>8</v>
      </c>
      <c r="S32" s="1557">
        <f t="shared" si="12"/>
        <v>100</v>
      </c>
      <c r="T32" s="1556" t="s">
        <v>8</v>
      </c>
      <c r="U32" s="1557">
        <f t="shared" si="13"/>
        <v>100</v>
      </c>
      <c r="V32" s="1556" t="s">
        <v>8</v>
      </c>
      <c r="W32" s="1557">
        <f t="shared" si="14"/>
        <v>100</v>
      </c>
      <c r="X32" s="1550"/>
      <c r="Y32" s="3531" t="s">
        <v>550</v>
      </c>
      <c r="Z32" s="1558" t="str">
        <f t="shared" si="15"/>
        <v>车位类型</v>
      </c>
      <c r="AA32" s="1559">
        <f t="shared" si="3"/>
        <v>1</v>
      </c>
      <c r="AB32" s="1559">
        <f t="shared" si="4"/>
        <v>1</v>
      </c>
      <c r="AC32" s="1559">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531"/>
      <c r="Q33" s="1555" t="str">
        <f t="shared" si="11"/>
        <v>是否直接入户</v>
      </c>
      <c r="R33" s="1556" t="s">
        <v>8</v>
      </c>
      <c r="S33" s="1557">
        <f t="shared" si="12"/>
        <v>100</v>
      </c>
      <c r="T33" s="1556" t="s">
        <v>8</v>
      </c>
      <c r="U33" s="1557">
        <f t="shared" si="13"/>
        <v>100</v>
      </c>
      <c r="V33" s="1556" t="s">
        <v>8</v>
      </c>
      <c r="W33" s="1557">
        <f t="shared" si="14"/>
        <v>100</v>
      </c>
      <c r="X33" s="1550"/>
      <c r="Y33" s="3531"/>
      <c r="Z33" s="1558" t="str">
        <f t="shared" si="15"/>
        <v>是否直接入户</v>
      </c>
      <c r="AA33" s="1559">
        <f t="shared" si="3"/>
        <v>1</v>
      </c>
      <c r="AB33" s="1559">
        <f t="shared" si="4"/>
        <v>1</v>
      </c>
      <c r="AC33" s="1559">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531"/>
      <c r="Q34" s="1555">
        <f t="shared" si="11"/>
        <v>111</v>
      </c>
      <c r="R34" s="1556" t="s">
        <v>8</v>
      </c>
      <c r="S34" s="1557">
        <f t="shared" si="12"/>
        <v>100</v>
      </c>
      <c r="T34" s="1556" t="s">
        <v>8</v>
      </c>
      <c r="U34" s="1557">
        <f t="shared" si="13"/>
        <v>100</v>
      </c>
      <c r="V34" s="1556" t="s">
        <v>8</v>
      </c>
      <c r="W34" s="1557">
        <f t="shared" si="14"/>
        <v>100</v>
      </c>
      <c r="X34" s="1550"/>
      <c r="Y34" s="3531"/>
      <c r="Z34" s="1558">
        <f t="shared" si="15"/>
        <v>111</v>
      </c>
      <c r="AA34" s="1559">
        <f t="shared" si="3"/>
        <v>1</v>
      </c>
      <c r="AB34" s="1559">
        <f t="shared" si="4"/>
        <v>1</v>
      </c>
      <c r="AC34" s="1559">
        <f t="shared" si="5"/>
        <v>1</v>
      </c>
    </row>
    <row r="35" spans="1:29" s="1333"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531"/>
      <c r="Q35" s="1587">
        <f t="shared" si="11"/>
        <v>111</v>
      </c>
      <c r="R35" s="1560" t="s">
        <v>8</v>
      </c>
      <c r="S35" s="1561">
        <f t="shared" si="12"/>
        <v>100</v>
      </c>
      <c r="T35" s="1560" t="s">
        <v>8</v>
      </c>
      <c r="U35" s="1561">
        <f t="shared" si="13"/>
        <v>100</v>
      </c>
      <c r="V35" s="1560" t="s">
        <v>8</v>
      </c>
      <c r="W35" s="1561">
        <f t="shared" si="14"/>
        <v>100</v>
      </c>
      <c r="X35" s="1562"/>
      <c r="Y35" s="3531"/>
      <c r="Z35" s="1563">
        <f t="shared" si="15"/>
        <v>111</v>
      </c>
      <c r="AA35" s="1559">
        <f t="shared" si="3"/>
        <v>1</v>
      </c>
      <c r="AB35" s="1559">
        <f t="shared" si="4"/>
        <v>1</v>
      </c>
      <c r="AC35" s="1559">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531"/>
      <c r="Q36" s="1555">
        <f t="shared" si="11"/>
        <v>111</v>
      </c>
      <c r="R36" s="1556" t="s">
        <v>8</v>
      </c>
      <c r="S36" s="1557">
        <f t="shared" si="12"/>
        <v>100</v>
      </c>
      <c r="T36" s="1556" t="s">
        <v>8</v>
      </c>
      <c r="U36" s="1557">
        <f t="shared" si="13"/>
        <v>100</v>
      </c>
      <c r="V36" s="1556" t="s">
        <v>8</v>
      </c>
      <c r="W36" s="1557">
        <f t="shared" si="14"/>
        <v>100</v>
      </c>
      <c r="X36" s="1550"/>
      <c r="Y36" s="3531"/>
      <c r="Z36" s="1558">
        <f t="shared" si="15"/>
        <v>111</v>
      </c>
      <c r="AA36" s="1559">
        <f t="shared" si="3"/>
        <v>1</v>
      </c>
      <c r="AB36" s="1559">
        <f t="shared" si="4"/>
        <v>1</v>
      </c>
      <c r="AC36" s="1559">
        <f t="shared" si="5"/>
        <v>1</v>
      </c>
    </row>
    <row r="37" spans="1:29" ht="15">
      <c r="A37" s="1828" t="s">
        <v>2069</v>
      </c>
      <c r="B37" s="1829" t="s">
        <v>2070</v>
      </c>
      <c r="C37" s="2588" t="s">
        <v>1</v>
      </c>
      <c r="D37" s="2589"/>
      <c r="E37" s="2590"/>
      <c r="F37" s="2591"/>
      <c r="G37" s="2592"/>
      <c r="H37" s="2593"/>
      <c r="I37" s="2590"/>
      <c r="J37" s="2593"/>
      <c r="K37" s="1593"/>
      <c r="L37" s="2126"/>
      <c r="M37" s="2127"/>
      <c r="N37" s="2116"/>
      <c r="O37" s="2127"/>
      <c r="P37" s="3526" t="str">
        <f>A37</f>
        <v>成交单价</v>
      </c>
      <c r="Q37" s="3526"/>
      <c r="R37" s="3630">
        <f>E37</f>
        <v>0</v>
      </c>
      <c r="S37" s="3630"/>
      <c r="T37" s="3630">
        <f>G37</f>
        <v>0</v>
      </c>
      <c r="U37" s="3630"/>
      <c r="V37" s="3630">
        <f>I37</f>
        <v>0</v>
      </c>
      <c r="W37" s="3630"/>
      <c r="X37" s="1542"/>
      <c r="Y37" s="1564"/>
      <c r="Z37" s="1542"/>
      <c r="AA37" s="1542"/>
      <c r="AB37" s="1542"/>
      <c r="AC37" s="1542"/>
    </row>
    <row r="38" spans="1:29" ht="15.75" thickBot="1">
      <c r="A38" s="614" t="s">
        <v>2750</v>
      </c>
      <c r="B38" s="887"/>
      <c r="C38" s="2594" t="e">
        <f>R39</f>
        <v>#DIV/0!</v>
      </c>
      <c r="D38" s="2595"/>
      <c r="E38" s="2596" t="e">
        <f>R38</f>
        <v>#DIV/0!</v>
      </c>
      <c r="F38" s="2596"/>
      <c r="G38" s="2594" t="e">
        <f>T38</f>
        <v>#DIV/0!</v>
      </c>
      <c r="H38" s="2595"/>
      <c r="I38" s="2596" t="e">
        <f>V38</f>
        <v>#DIV/0!</v>
      </c>
      <c r="J38" s="2595"/>
      <c r="K38" s="1594"/>
      <c r="L38" s="2126"/>
      <c r="M38" s="2127"/>
      <c r="N38" s="2127"/>
      <c r="O38" s="2127"/>
      <c r="P38" s="3526" t="str">
        <f>A38</f>
        <v>比较价格（元/平方米）</v>
      </c>
      <c r="Q38" s="3526"/>
      <c r="R38" s="3630" t="e">
        <f>IF(F1="售价",ROUND(PRODUCT(R37,AA7:AA36),0),ROUND(PRODUCT(R37,AA7:AA36),1))</f>
        <v>#DIV/0!</v>
      </c>
      <c r="S38" s="3630"/>
      <c r="T38" s="3630" t="e">
        <f>IF(F1="售价",ROUND(PRODUCT(T37,AB7:AB36),0),ROUND(PRODUCT(T37,AB7:AB36),1))</f>
        <v>#DIV/0!</v>
      </c>
      <c r="U38" s="3630"/>
      <c r="V38" s="3630" t="e">
        <f>IF(F1="售价",ROUND(PRODUCT(V37,AC7:AC36),0),ROUND(PRODUCT(V37,AC7:AC36),1))</f>
        <v>#DIV/0!</v>
      </c>
      <c r="W38" s="3630"/>
      <c r="X38" s="1542"/>
      <c r="Y38" s="1542"/>
      <c r="Z38" s="1542"/>
      <c r="AA38" s="1542"/>
      <c r="AB38" s="1542"/>
      <c r="AC38" s="1542"/>
    </row>
    <row r="39" spans="1:29" ht="15.75" thickBot="1">
      <c r="A39" s="620" t="s">
        <v>2925</v>
      </c>
      <c r="B39" s="621"/>
      <c r="C39" s="2597" t="e">
        <f>R39</f>
        <v>#DIV/0!</v>
      </c>
      <c r="D39" s="2597"/>
      <c r="E39" s="2597"/>
      <c r="F39" s="2597"/>
      <c r="G39" s="2597"/>
      <c r="H39" s="2597"/>
      <c r="I39" s="2597"/>
      <c r="J39" s="2597"/>
      <c r="K39" s="1595"/>
      <c r="L39" s="2126"/>
      <c r="M39" s="2127"/>
      <c r="N39" s="2127"/>
      <c r="O39" s="2127"/>
      <c r="P39" s="3547" t="str">
        <f>A39</f>
        <v>估价对象XX用房的比较价格（楼面单价，元/平方米）</v>
      </c>
      <c r="Q39" s="3548"/>
      <c r="R39" s="3629" t="e">
        <f>IF(F1="售价",ROUND(AVERAGE(R38:V38),0),ROUND(AVERAGE(R38:V38),1))</f>
        <v>#DIV/0!</v>
      </c>
      <c r="S39" s="3629"/>
      <c r="T39" s="3629"/>
      <c r="U39" s="3629"/>
      <c r="V39" s="3629"/>
      <c r="W39" s="3629"/>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638" t="str">
        <f>YEAR(C7)&amp;"-"&amp;MONTH(C7)</f>
        <v>2020-8</v>
      </c>
      <c r="D48" s="2640">
        <f>EDATE(C48,-1)</f>
        <v>44013</v>
      </c>
      <c r="E48" s="2640">
        <f t="shared" ref="E48:O48" si="16">EDATE(D48,-1)</f>
        <v>43983</v>
      </c>
      <c r="F48" s="2640">
        <f t="shared" si="16"/>
        <v>43952</v>
      </c>
      <c r="G48" s="2640">
        <f t="shared" si="16"/>
        <v>43922</v>
      </c>
      <c r="H48" s="2640">
        <f t="shared" si="16"/>
        <v>43891</v>
      </c>
      <c r="I48" s="2640">
        <f t="shared" si="16"/>
        <v>43862</v>
      </c>
      <c r="J48" s="2640">
        <f t="shared" si="16"/>
        <v>43831</v>
      </c>
      <c r="K48" s="2640">
        <f t="shared" si="16"/>
        <v>43800</v>
      </c>
      <c r="L48" s="2640">
        <f t="shared" si="16"/>
        <v>43770</v>
      </c>
      <c r="M48" s="2640">
        <f t="shared" si="16"/>
        <v>43739</v>
      </c>
      <c r="N48" s="2640">
        <f t="shared" si="16"/>
        <v>43709</v>
      </c>
      <c r="O48" s="2640">
        <f t="shared" si="16"/>
        <v>43678</v>
      </c>
      <c r="P48" s="2142"/>
      <c r="Q48" s="2143"/>
      <c r="R48" s="2143"/>
      <c r="S48" s="2143"/>
      <c r="T48" s="2143"/>
      <c r="U48" s="2143"/>
      <c r="V48" s="2143"/>
      <c r="W48" s="2143"/>
      <c r="X48" s="2143"/>
      <c r="Y48" s="2143"/>
      <c r="Z48" s="2143"/>
      <c r="AA48" s="2143"/>
      <c r="AB48" s="2143"/>
      <c r="AC48" s="2143"/>
    </row>
    <row r="49" spans="1:29" s="1214" customFormat="1" ht="15">
      <c r="A49" s="646"/>
      <c r="B49" s="647"/>
      <c r="C49" s="2639">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2548</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2549</v>
      </c>
      <c r="C67" s="2559" t="s">
        <v>2550</v>
      </c>
      <c r="D67" s="2559" t="s">
        <v>2551</v>
      </c>
      <c r="E67" s="2559" t="s">
        <v>2552</v>
      </c>
      <c r="F67" s="2559" t="s">
        <v>2553</v>
      </c>
      <c r="G67" s="2559" t="s">
        <v>2554</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2"/>
      <c r="C1" s="503" t="s">
        <v>792</v>
      </c>
      <c r="D1" s="848"/>
      <c r="E1" s="505"/>
      <c r="F1" s="2643"/>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532" t="s">
        <v>798</v>
      </c>
      <c r="D4" s="3533"/>
      <c r="E4" s="3556" t="s">
        <v>799</v>
      </c>
      <c r="F4" s="3557"/>
      <c r="G4" s="3532" t="s">
        <v>800</v>
      </c>
      <c r="H4" s="3533"/>
      <c r="I4" s="3532" t="s">
        <v>801</v>
      </c>
      <c r="J4" s="3533"/>
      <c r="K4" s="513" t="s">
        <v>802</v>
      </c>
      <c r="L4" s="2115"/>
      <c r="M4" s="2116"/>
      <c r="N4" s="2116"/>
      <c r="O4" s="2116"/>
      <c r="P4" s="3534" t="s">
        <v>803</v>
      </c>
      <c r="Q4" s="3535"/>
      <c r="R4" s="3520" t="s">
        <v>799</v>
      </c>
      <c r="S4" s="3521"/>
      <c r="T4" s="3520" t="s">
        <v>800</v>
      </c>
      <c r="U4" s="3521"/>
      <c r="V4" s="3540" t="s">
        <v>801</v>
      </c>
      <c r="W4" s="3540"/>
      <c r="X4" s="1550"/>
      <c r="Y4" s="3520" t="s">
        <v>803</v>
      </c>
      <c r="Z4" s="3521"/>
      <c r="AA4" s="3515" t="s">
        <v>799</v>
      </c>
      <c r="AB4" s="3516" t="s">
        <v>800</v>
      </c>
      <c r="AC4" s="3515" t="s">
        <v>801</v>
      </c>
    </row>
    <row r="5" spans="1:29" ht="15">
      <c r="A5" s="514"/>
      <c r="B5" s="515"/>
      <c r="C5" s="3543" t="s">
        <v>2919</v>
      </c>
      <c r="D5" s="3544"/>
      <c r="E5" s="3558" t="s">
        <v>2920</v>
      </c>
      <c r="F5" s="3559"/>
      <c r="G5" s="3543" t="s">
        <v>2921</v>
      </c>
      <c r="H5" s="3544"/>
      <c r="I5" s="3543" t="s">
        <v>2922</v>
      </c>
      <c r="J5" s="3544"/>
      <c r="K5" s="513"/>
      <c r="L5" s="2115"/>
      <c r="M5" s="2116"/>
      <c r="N5" s="2116"/>
      <c r="O5" s="2116"/>
      <c r="P5" s="3536"/>
      <c r="Q5" s="3537"/>
      <c r="R5" s="3522"/>
      <c r="S5" s="3523"/>
      <c r="T5" s="3522"/>
      <c r="U5" s="3523"/>
      <c r="V5" s="3540"/>
      <c r="W5" s="3540"/>
      <c r="X5" s="1550"/>
      <c r="Y5" s="3522"/>
      <c r="Z5" s="3523"/>
      <c r="AA5" s="3516"/>
      <c r="AB5" s="3516"/>
      <c r="AC5" s="3516"/>
    </row>
    <row r="6" spans="1:29" ht="15.75" thickBot="1">
      <c r="A6" s="516"/>
      <c r="B6" s="517"/>
      <c r="C6" s="3541" t="s">
        <v>2923</v>
      </c>
      <c r="D6" s="3542"/>
      <c r="E6" s="3560" t="s">
        <v>2923</v>
      </c>
      <c r="F6" s="3561"/>
      <c r="G6" s="3541" t="s">
        <v>2923</v>
      </c>
      <c r="H6" s="3542"/>
      <c r="I6" s="3541" t="s">
        <v>2923</v>
      </c>
      <c r="J6" s="3542"/>
      <c r="K6" s="513" t="s">
        <v>528</v>
      </c>
      <c r="L6" s="2115"/>
      <c r="M6" s="2116"/>
      <c r="N6" s="2116"/>
      <c r="O6" s="2116"/>
      <c r="P6" s="3538"/>
      <c r="Q6" s="3539"/>
      <c r="R6" s="3522"/>
      <c r="S6" s="3523"/>
      <c r="T6" s="3524"/>
      <c r="U6" s="3525"/>
      <c r="V6" s="3540"/>
      <c r="W6" s="3540"/>
      <c r="X6" s="1550"/>
      <c r="Y6" s="3524"/>
      <c r="Z6" s="3525"/>
      <c r="AA6" s="3517"/>
      <c r="AB6" s="3517"/>
      <c r="AC6" s="3517"/>
    </row>
    <row r="7" spans="1:29" s="1214" customFormat="1" ht="15.75" thickBot="1">
      <c r="A7" s="2748"/>
      <c r="B7" s="2755" t="s">
        <v>529</v>
      </c>
      <c r="C7" s="518">
        <f>'数据-取费表'!B2</f>
        <v>44050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518" t="s">
        <v>530</v>
      </c>
      <c r="Q7" s="3527"/>
      <c r="R7" s="1551" t="s">
        <v>8</v>
      </c>
      <c r="S7" s="1552">
        <f t="shared" ref="S7:S14" si="0">F7</f>
        <v>0</v>
      </c>
      <c r="T7" s="1551" t="s">
        <v>8</v>
      </c>
      <c r="U7" s="1552">
        <f t="shared" ref="U7:U14" si="1">H7</f>
        <v>0</v>
      </c>
      <c r="V7" s="1551" t="s">
        <v>8</v>
      </c>
      <c r="W7" s="1552">
        <f t="shared" ref="W7:W14" si="2">J7</f>
        <v>0</v>
      </c>
      <c r="X7" s="1553"/>
      <c r="Y7" s="3518" t="s">
        <v>530</v>
      </c>
      <c r="Z7" s="3519"/>
      <c r="AA7" s="1554" t="e">
        <f>D7/F7</f>
        <v>#DIV/0!</v>
      </c>
      <c r="AB7" s="1554" t="e">
        <f>D7/H7</f>
        <v>#DIV/0!</v>
      </c>
      <c r="AC7" s="1554" t="e">
        <f>D7/J7</f>
        <v>#DIV/0!</v>
      </c>
    </row>
    <row r="8" spans="1:29" s="1214" customFormat="1" ht="15.75" thickBot="1">
      <c r="A8" s="2749"/>
      <c r="B8" s="2756"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518" t="s">
        <v>533</v>
      </c>
      <c r="Q8" s="3519"/>
      <c r="R8" s="1551" t="s">
        <v>8</v>
      </c>
      <c r="S8" s="1552">
        <f t="shared" si="0"/>
        <v>0</v>
      </c>
      <c r="T8" s="1551" t="s">
        <v>8</v>
      </c>
      <c r="U8" s="1552">
        <f t="shared" si="1"/>
        <v>0</v>
      </c>
      <c r="V8" s="1551" t="s">
        <v>8</v>
      </c>
      <c r="W8" s="1552">
        <f t="shared" si="2"/>
        <v>0</v>
      </c>
      <c r="X8" s="1553"/>
      <c r="Y8" s="3518" t="s">
        <v>533</v>
      </c>
      <c r="Z8" s="3519"/>
      <c r="AA8" s="1554" t="e">
        <f t="shared" ref="AA8:AA34" si="3">D8/F8</f>
        <v>#DIV/0!</v>
      </c>
      <c r="AB8" s="1554" t="e">
        <f t="shared" ref="AB8:AB34" si="4">D8/H8</f>
        <v>#DIV/0!</v>
      </c>
      <c r="AC8" s="1554" t="e">
        <f t="shared" ref="AC8:AC34" si="5">D8/J8</f>
        <v>#DIV/0!</v>
      </c>
    </row>
    <row r="9" spans="1:29" s="1214" customFormat="1" ht="15">
      <c r="A9" s="2750"/>
      <c r="B9" s="2757" t="s">
        <v>2746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526" t="s">
        <v>535</v>
      </c>
      <c r="Q9" s="1145" t="str">
        <f t="shared" ref="Q9:Q14" si="6">B9</f>
        <v>用途</v>
      </c>
      <c r="R9" s="1551" t="s">
        <v>8</v>
      </c>
      <c r="S9" s="1552">
        <f t="shared" si="0"/>
        <v>100</v>
      </c>
      <c r="T9" s="1551" t="s">
        <v>8</v>
      </c>
      <c r="U9" s="1552">
        <f t="shared" si="1"/>
        <v>100</v>
      </c>
      <c r="V9" s="1551" t="s">
        <v>8</v>
      </c>
      <c r="W9" s="1552">
        <f t="shared" si="2"/>
        <v>100</v>
      </c>
      <c r="X9" s="1553"/>
      <c r="Y9" s="3480" t="s">
        <v>536</v>
      </c>
      <c r="Z9" s="1144" t="str">
        <f t="shared" ref="Z9:Z14" si="7">Q9</f>
        <v>用途</v>
      </c>
      <c r="AA9" s="1554">
        <f t="shared" si="3"/>
        <v>1</v>
      </c>
      <c r="AB9" s="1554">
        <f t="shared" si="4"/>
        <v>1</v>
      </c>
      <c r="AC9" s="1554">
        <f t="shared" si="5"/>
        <v>1</v>
      </c>
    </row>
    <row r="10" spans="1:29" s="1332" customFormat="1" ht="27">
      <c r="A10" s="2751"/>
      <c r="B10" s="2756" t="s">
        <v>2747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526"/>
      <c r="Q10" s="1145" t="str">
        <f t="shared" si="6"/>
        <v>土地使用年限（年）</v>
      </c>
      <c r="R10" s="1551" t="s">
        <v>8</v>
      </c>
      <c r="S10" s="1552">
        <f t="shared" si="0"/>
        <v>100</v>
      </c>
      <c r="T10" s="1551" t="s">
        <v>8</v>
      </c>
      <c r="U10" s="1552">
        <f t="shared" si="1"/>
        <v>100</v>
      </c>
      <c r="V10" s="1551" t="s">
        <v>8</v>
      </c>
      <c r="W10" s="1552">
        <f t="shared" si="2"/>
        <v>100</v>
      </c>
      <c r="X10" s="1553"/>
      <c r="Y10" s="3480"/>
      <c r="Z10" s="1144" t="str">
        <f t="shared" si="7"/>
        <v>土地使用年限（年）</v>
      </c>
      <c r="AA10" s="1554">
        <f t="shared" si="3"/>
        <v>1</v>
      </c>
      <c r="AB10" s="1554">
        <f t="shared" si="4"/>
        <v>1</v>
      </c>
      <c r="AC10" s="1554">
        <f t="shared" si="5"/>
        <v>1</v>
      </c>
    </row>
    <row r="11" spans="1:29" ht="15">
      <c r="A11" s="2753"/>
      <c r="B11" s="2759">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526"/>
      <c r="Q11" s="1145">
        <f t="shared" si="6"/>
        <v>111</v>
      </c>
      <c r="R11" s="1551" t="s">
        <v>8</v>
      </c>
      <c r="S11" s="1552">
        <f t="shared" si="0"/>
        <v>100</v>
      </c>
      <c r="T11" s="1551" t="s">
        <v>8</v>
      </c>
      <c r="U11" s="1552">
        <f t="shared" si="1"/>
        <v>100</v>
      </c>
      <c r="V11" s="1551" t="s">
        <v>8</v>
      </c>
      <c r="W11" s="1552">
        <f t="shared" si="2"/>
        <v>100</v>
      </c>
      <c r="X11" s="1553"/>
      <c r="Y11" s="3480"/>
      <c r="Z11" s="1144">
        <f t="shared" si="7"/>
        <v>111</v>
      </c>
      <c r="AA11" s="1554">
        <f t="shared" si="3"/>
        <v>1</v>
      </c>
      <c r="AB11" s="1554">
        <f t="shared" si="4"/>
        <v>1</v>
      </c>
      <c r="AC11" s="1554">
        <f t="shared" si="5"/>
        <v>1</v>
      </c>
    </row>
    <row r="12" spans="1:29" s="1214" customFormat="1" ht="15">
      <c r="A12" s="2753"/>
      <c r="B12" s="2759">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526"/>
      <c r="Q12" s="1145">
        <f t="shared" si="6"/>
        <v>111</v>
      </c>
      <c r="R12" s="1551" t="s">
        <v>8</v>
      </c>
      <c r="S12" s="1552">
        <f t="shared" si="0"/>
        <v>100</v>
      </c>
      <c r="T12" s="1551" t="s">
        <v>8</v>
      </c>
      <c r="U12" s="1552">
        <f t="shared" si="1"/>
        <v>100</v>
      </c>
      <c r="V12" s="1551" t="s">
        <v>8</v>
      </c>
      <c r="W12" s="1552">
        <f t="shared" si="2"/>
        <v>100</v>
      </c>
      <c r="X12" s="1553"/>
      <c r="Y12" s="3480"/>
      <c r="Z12" s="1144">
        <f t="shared" si="7"/>
        <v>111</v>
      </c>
      <c r="AA12" s="1554">
        <f>D12/F12</f>
        <v>1</v>
      </c>
      <c r="AB12" s="1554">
        <f>D12/H12</f>
        <v>1</v>
      </c>
      <c r="AC12" s="1554">
        <f>D12/J12</f>
        <v>1</v>
      </c>
    </row>
    <row r="13" spans="1:29" ht="15.75" thickBot="1">
      <c r="A13" s="2754"/>
      <c r="B13" s="2760">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526"/>
      <c r="Q13" s="1145">
        <f t="shared" si="6"/>
        <v>111</v>
      </c>
      <c r="R13" s="1551" t="s">
        <v>8</v>
      </c>
      <c r="S13" s="1552">
        <f t="shared" si="0"/>
        <v>100</v>
      </c>
      <c r="T13" s="1551" t="s">
        <v>8</v>
      </c>
      <c r="U13" s="1552">
        <f t="shared" si="1"/>
        <v>100</v>
      </c>
      <c r="V13" s="1551" t="s">
        <v>8</v>
      </c>
      <c r="W13" s="1552">
        <f t="shared" si="2"/>
        <v>100</v>
      </c>
      <c r="X13" s="1553"/>
      <c r="Y13" s="3480"/>
      <c r="Z13" s="1144">
        <f t="shared" si="7"/>
        <v>111</v>
      </c>
      <c r="AA13" s="1554">
        <f t="shared" si="3"/>
        <v>1</v>
      </c>
      <c r="AB13" s="1554">
        <f t="shared" si="4"/>
        <v>1</v>
      </c>
      <c r="AC13" s="1554">
        <f t="shared" si="5"/>
        <v>1</v>
      </c>
    </row>
    <row r="14" spans="1:29" ht="85.5">
      <c r="A14" s="2746" t="s">
        <v>2744</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528" t="s">
        <v>540</v>
      </c>
      <c r="Q14" s="1555" t="str">
        <f t="shared" si="6"/>
        <v>交通便捷度</v>
      </c>
      <c r="R14" s="1556" t="s">
        <v>8</v>
      </c>
      <c r="S14" s="1557">
        <f t="shared" si="0"/>
        <v>100</v>
      </c>
      <c r="T14" s="1556" t="s">
        <v>8</v>
      </c>
      <c r="U14" s="1557">
        <f t="shared" si="1"/>
        <v>100</v>
      </c>
      <c r="V14" s="1556" t="s">
        <v>8</v>
      </c>
      <c r="W14" s="1557">
        <f t="shared" si="2"/>
        <v>100</v>
      </c>
      <c r="X14" s="1550"/>
      <c r="Y14" s="3528"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8"/>
      <c r="L15" s="2124"/>
      <c r="M15" s="2116"/>
      <c r="N15" s="2116"/>
      <c r="O15" s="2123"/>
      <c r="P15" s="3529"/>
      <c r="Q15" s="1555"/>
      <c r="R15" s="1556"/>
      <c r="S15" s="1557"/>
      <c r="T15" s="1556"/>
      <c r="U15" s="1557"/>
      <c r="V15" s="1556"/>
      <c r="W15" s="1557"/>
      <c r="X15" s="1550"/>
      <c r="Y15" s="3529"/>
      <c r="Z15" s="1558"/>
      <c r="AA15" s="1559">
        <v>1</v>
      </c>
      <c r="AB15" s="1559">
        <v>1</v>
      </c>
      <c r="AC15" s="1559">
        <v>1</v>
      </c>
    </row>
    <row r="16" spans="1:29" ht="42.75">
      <c r="A16" s="531"/>
      <c r="B16" s="2564" t="s">
        <v>2537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529"/>
      <c r="Q16" s="1555" t="str">
        <f>B16</f>
        <v>公共配套设施</v>
      </c>
      <c r="R16" s="1556" t="s">
        <v>8</v>
      </c>
      <c r="S16" s="1557">
        <f>F16</f>
        <v>100</v>
      </c>
      <c r="T16" s="1556" t="s">
        <v>8</v>
      </c>
      <c r="U16" s="1557">
        <f>H16</f>
        <v>100</v>
      </c>
      <c r="V16" s="1556" t="s">
        <v>8</v>
      </c>
      <c r="W16" s="1557">
        <f>J16</f>
        <v>100</v>
      </c>
      <c r="X16" s="1550"/>
      <c r="Y16" s="3529"/>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8"/>
      <c r="L17" s="2124"/>
      <c r="M17" s="2116"/>
      <c r="N17" s="2116"/>
      <c r="O17" s="2123"/>
      <c r="P17" s="3529"/>
      <c r="Q17" s="1555"/>
      <c r="R17" s="1556"/>
      <c r="S17" s="1557"/>
      <c r="T17" s="1556"/>
      <c r="U17" s="1557"/>
      <c r="V17" s="1556"/>
      <c r="W17" s="1557"/>
      <c r="X17" s="1550"/>
      <c r="Y17" s="3529"/>
      <c r="Z17" s="1558"/>
      <c r="AA17" s="1559">
        <v>1</v>
      </c>
      <c r="AB17" s="1559">
        <v>1</v>
      </c>
      <c r="AC17" s="1559">
        <v>1</v>
      </c>
    </row>
    <row r="18" spans="1:29" ht="28.5">
      <c r="A18" s="531"/>
      <c r="B18" s="2552" t="s">
        <v>2549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529"/>
      <c r="Q18" s="2540" t="str">
        <f>B18</f>
        <v>基础设施水平</v>
      </c>
      <c r="R18" s="1556" t="s">
        <v>8</v>
      </c>
      <c r="S18" s="1557">
        <f>F18</f>
        <v>100</v>
      </c>
      <c r="T18" s="1556" t="s">
        <v>8</v>
      </c>
      <c r="U18" s="1557">
        <f>H18</f>
        <v>100</v>
      </c>
      <c r="V18" s="1556" t="s">
        <v>8</v>
      </c>
      <c r="W18" s="1557">
        <f>J18</f>
        <v>100</v>
      </c>
      <c r="X18" s="2542"/>
      <c r="Y18" s="3529"/>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529"/>
      <c r="Q19" s="2540"/>
      <c r="R19" s="1556"/>
      <c r="S19" s="1557"/>
      <c r="T19" s="1556"/>
      <c r="U19" s="1557"/>
      <c r="V19" s="1556"/>
      <c r="W19" s="1557"/>
      <c r="X19" s="2542"/>
      <c r="Y19" s="3529"/>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529"/>
      <c r="Q20" s="1555" t="str">
        <f>B20</f>
        <v>自然及人文环境</v>
      </c>
      <c r="R20" s="1556" t="s">
        <v>8</v>
      </c>
      <c r="S20" s="1557">
        <f>F20</f>
        <v>100</v>
      </c>
      <c r="T20" s="1556" t="s">
        <v>8</v>
      </c>
      <c r="U20" s="1557">
        <f>H20</f>
        <v>100</v>
      </c>
      <c r="V20" s="1556" t="s">
        <v>8</v>
      </c>
      <c r="W20" s="1557">
        <f>J20</f>
        <v>100</v>
      </c>
      <c r="X20" s="1550"/>
      <c r="Y20" s="3529"/>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8"/>
      <c r="L21" s="2124"/>
      <c r="M21" s="2116"/>
      <c r="N21" s="2116"/>
      <c r="O21" s="2123"/>
      <c r="P21" s="3529"/>
      <c r="Q21" s="1555"/>
      <c r="R21" s="1556"/>
      <c r="S21" s="1557"/>
      <c r="T21" s="1556"/>
      <c r="U21" s="1557"/>
      <c r="V21" s="1556"/>
      <c r="W21" s="1557"/>
      <c r="X21" s="1550"/>
      <c r="Y21" s="3529"/>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529"/>
      <c r="Q22" s="1555" t="str">
        <f>B22</f>
        <v>楼层</v>
      </c>
      <c r="R22" s="1556" t="s">
        <v>8</v>
      </c>
      <c r="S22" s="1557">
        <f>F22</f>
        <v>100</v>
      </c>
      <c r="T22" s="1556" t="s">
        <v>8</v>
      </c>
      <c r="U22" s="1557">
        <f>H22</f>
        <v>100</v>
      </c>
      <c r="V22" s="1556" t="s">
        <v>8</v>
      </c>
      <c r="W22" s="1557">
        <f>J22</f>
        <v>100</v>
      </c>
      <c r="X22" s="1550"/>
      <c r="Y22" s="3529"/>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529"/>
      <c r="Q23" s="1555">
        <f>B23</f>
        <v>111</v>
      </c>
      <c r="R23" s="1556" t="s">
        <v>8</v>
      </c>
      <c r="S23" s="1557">
        <f>F23</f>
        <v>100</v>
      </c>
      <c r="T23" s="1556" t="s">
        <v>8</v>
      </c>
      <c r="U23" s="1557">
        <f>H23</f>
        <v>100</v>
      </c>
      <c r="V23" s="1556" t="s">
        <v>8</v>
      </c>
      <c r="W23" s="1557">
        <f>J23</f>
        <v>100</v>
      </c>
      <c r="X23" s="1550"/>
      <c r="Y23" s="3529"/>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529"/>
      <c r="Q24" s="1555">
        <f t="shared" ref="Q24:Q34" si="11">B24</f>
        <v>111</v>
      </c>
      <c r="R24" s="1556" t="s">
        <v>8</v>
      </c>
      <c r="S24" s="1557">
        <f>F24</f>
        <v>100</v>
      </c>
      <c r="T24" s="1556" t="s">
        <v>8</v>
      </c>
      <c r="U24" s="1557">
        <f>H24</f>
        <v>100</v>
      </c>
      <c r="V24" s="1556" t="s">
        <v>8</v>
      </c>
      <c r="W24" s="1557">
        <f>J24</f>
        <v>100</v>
      </c>
      <c r="X24" s="1550"/>
      <c r="Y24" s="3529"/>
      <c r="Z24" s="1558">
        <f>Q24</f>
        <v>111</v>
      </c>
      <c r="AA24" s="1559">
        <f t="shared" si="3"/>
        <v>1</v>
      </c>
      <c r="AB24" s="1559">
        <f t="shared" si="4"/>
        <v>1</v>
      </c>
      <c r="AC24" s="1559">
        <f t="shared" si="5"/>
        <v>1</v>
      </c>
    </row>
    <row r="25" spans="1:29" s="1214"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529"/>
      <c r="Q25" s="1145">
        <f t="shared" si="11"/>
        <v>111</v>
      </c>
      <c r="R25" s="1551" t="s">
        <v>8</v>
      </c>
      <c r="S25" s="1552">
        <f>F25</f>
        <v>100</v>
      </c>
      <c r="T25" s="1551" t="s">
        <v>8</v>
      </c>
      <c r="U25" s="1552">
        <f>H25</f>
        <v>100</v>
      </c>
      <c r="V25" s="1551" t="s">
        <v>8</v>
      </c>
      <c r="W25" s="1552">
        <f>J25</f>
        <v>100</v>
      </c>
      <c r="X25" s="1553"/>
      <c r="Y25" s="3529"/>
      <c r="Z25" s="1144">
        <f>Q25</f>
        <v>111</v>
      </c>
      <c r="AA25" s="1559">
        <f>D25/F25</f>
        <v>1</v>
      </c>
      <c r="AB25" s="1559">
        <f>D25/H25</f>
        <v>1</v>
      </c>
      <c r="AC25" s="1559">
        <f>D25/J25</f>
        <v>1</v>
      </c>
    </row>
    <row r="26" spans="1:29" ht="15">
      <c r="A26" s="2743" t="s">
        <v>2745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530"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31" t="s">
        <v>821</v>
      </c>
      <c r="Z26" s="1558" t="str">
        <f t="shared" ref="Z26:Z34" si="15">Q26</f>
        <v>公共部分装修</v>
      </c>
      <c r="AA26" s="1559">
        <f t="shared" si="3"/>
        <v>1</v>
      </c>
      <c r="AB26" s="1559">
        <f t="shared" si="4"/>
        <v>1</v>
      </c>
      <c r="AC26" s="1559">
        <f t="shared" si="5"/>
        <v>1</v>
      </c>
    </row>
    <row r="27" spans="1:29" s="1333"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531"/>
      <c r="Q27" s="1587" t="str">
        <f t="shared" si="11"/>
        <v>成新率</v>
      </c>
      <c r="R27" s="1560" t="s">
        <v>8</v>
      </c>
      <c r="S27" s="1561" t="e">
        <f t="shared" si="12"/>
        <v>#N/A</v>
      </c>
      <c r="T27" s="1560" t="s">
        <v>8</v>
      </c>
      <c r="U27" s="1561" t="e">
        <f t="shared" si="13"/>
        <v>#N/A</v>
      </c>
      <c r="V27" s="1560" t="s">
        <v>8</v>
      </c>
      <c r="W27" s="1561" t="e">
        <f t="shared" si="14"/>
        <v>#N/A</v>
      </c>
      <c r="X27" s="1562"/>
      <c r="Y27" s="3531"/>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531"/>
      <c r="Q28" s="1555" t="str">
        <f t="shared" si="11"/>
        <v>物业等级</v>
      </c>
      <c r="R28" s="1556" t="s">
        <v>8</v>
      </c>
      <c r="S28" s="1557">
        <f t="shared" si="12"/>
        <v>100</v>
      </c>
      <c r="T28" s="1556" t="s">
        <v>8</v>
      </c>
      <c r="U28" s="1557">
        <f t="shared" si="13"/>
        <v>100</v>
      </c>
      <c r="V28" s="1556" t="s">
        <v>8</v>
      </c>
      <c r="W28" s="1557">
        <f t="shared" si="14"/>
        <v>100</v>
      </c>
      <c r="X28" s="1550"/>
      <c r="Y28" s="3531"/>
      <c r="Z28" s="1558" t="str">
        <f t="shared" si="15"/>
        <v>物业等级</v>
      </c>
      <c r="AA28" s="1559">
        <f t="shared" si="3"/>
        <v>1</v>
      </c>
      <c r="AB28" s="1559">
        <f t="shared" si="4"/>
        <v>1</v>
      </c>
      <c r="AC28" s="1559">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531"/>
      <c r="Q29" s="1555" t="str">
        <f t="shared" si="11"/>
        <v>有无电梯</v>
      </c>
      <c r="R29" s="1556" t="s">
        <v>8</v>
      </c>
      <c r="S29" s="1557">
        <f t="shared" si="12"/>
        <v>100</v>
      </c>
      <c r="T29" s="1556" t="s">
        <v>8</v>
      </c>
      <c r="U29" s="1557">
        <f t="shared" si="13"/>
        <v>100</v>
      </c>
      <c r="V29" s="1556" t="s">
        <v>8</v>
      </c>
      <c r="W29" s="1557">
        <f t="shared" si="14"/>
        <v>100</v>
      </c>
      <c r="X29" s="1550"/>
      <c r="Y29" s="3531"/>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531"/>
      <c r="Q30" s="1555" t="str">
        <f t="shared" si="11"/>
        <v>建筑面积</v>
      </c>
      <c r="R30" s="1556" t="s">
        <v>8</v>
      </c>
      <c r="S30" s="1557" t="e">
        <f t="shared" si="12"/>
        <v>#N/A</v>
      </c>
      <c r="T30" s="1556" t="s">
        <v>8</v>
      </c>
      <c r="U30" s="1557" t="e">
        <f t="shared" si="13"/>
        <v>#N/A</v>
      </c>
      <c r="V30" s="1556" t="s">
        <v>8</v>
      </c>
      <c r="W30" s="1557" t="e">
        <f t="shared" si="14"/>
        <v>#N/A</v>
      </c>
      <c r="X30" s="1550"/>
      <c r="Y30" s="3531"/>
      <c r="Z30" s="1558" t="str">
        <f t="shared" si="15"/>
        <v>建筑面积</v>
      </c>
      <c r="AA30" s="1559" t="e">
        <f t="shared" si="3"/>
        <v>#N/A</v>
      </c>
      <c r="AB30" s="1559" t="e">
        <f t="shared" si="4"/>
        <v>#N/A</v>
      </c>
      <c r="AC30" s="1559" t="e">
        <f t="shared" si="5"/>
        <v>#N/A</v>
      </c>
    </row>
    <row r="31" spans="1:29" s="1214"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531"/>
      <c r="Q31" s="1145" t="str">
        <f t="shared" si="11"/>
        <v>是否封闭</v>
      </c>
      <c r="R31" s="1551" t="s">
        <v>8</v>
      </c>
      <c r="S31" s="1552">
        <f t="shared" si="12"/>
        <v>100</v>
      </c>
      <c r="T31" s="1551" t="s">
        <v>8</v>
      </c>
      <c r="U31" s="1552">
        <f t="shared" si="13"/>
        <v>100</v>
      </c>
      <c r="V31" s="1551" t="s">
        <v>8</v>
      </c>
      <c r="W31" s="1552">
        <f t="shared" si="14"/>
        <v>100</v>
      </c>
      <c r="X31" s="1553"/>
      <c r="Y31" s="3531"/>
      <c r="Z31" s="1144"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531" t="s">
        <v>550</v>
      </c>
      <c r="Q32" s="1555">
        <f t="shared" si="11"/>
        <v>111</v>
      </c>
      <c r="R32" s="1556" t="s">
        <v>8</v>
      </c>
      <c r="S32" s="1557">
        <f t="shared" si="12"/>
        <v>100</v>
      </c>
      <c r="T32" s="1556" t="s">
        <v>8</v>
      </c>
      <c r="U32" s="1557">
        <f t="shared" si="13"/>
        <v>100</v>
      </c>
      <c r="V32" s="1556" t="s">
        <v>8</v>
      </c>
      <c r="W32" s="1557">
        <f t="shared" si="14"/>
        <v>100</v>
      </c>
      <c r="X32" s="1550"/>
      <c r="Y32" s="3531"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531"/>
      <c r="Q33" s="1555">
        <f t="shared" si="11"/>
        <v>111</v>
      </c>
      <c r="R33" s="1556" t="s">
        <v>8</v>
      </c>
      <c r="S33" s="1557">
        <f t="shared" si="12"/>
        <v>100</v>
      </c>
      <c r="T33" s="1556" t="s">
        <v>8</v>
      </c>
      <c r="U33" s="1557">
        <f t="shared" si="13"/>
        <v>100</v>
      </c>
      <c r="V33" s="1556" t="s">
        <v>8</v>
      </c>
      <c r="W33" s="1557">
        <f t="shared" si="14"/>
        <v>100</v>
      </c>
      <c r="X33" s="1550"/>
      <c r="Y33" s="3531"/>
      <c r="Z33" s="1558">
        <f t="shared" si="15"/>
        <v>111</v>
      </c>
      <c r="AA33" s="1559">
        <f t="shared" si="3"/>
        <v>1</v>
      </c>
      <c r="AB33" s="1559">
        <f t="shared" si="4"/>
        <v>1</v>
      </c>
      <c r="AC33" s="1559">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531"/>
      <c r="Q34" s="1555">
        <f t="shared" si="11"/>
        <v>111</v>
      </c>
      <c r="R34" s="1556" t="s">
        <v>8</v>
      </c>
      <c r="S34" s="1557">
        <f t="shared" si="12"/>
        <v>100</v>
      </c>
      <c r="T34" s="1556" t="s">
        <v>8</v>
      </c>
      <c r="U34" s="1557">
        <f t="shared" si="13"/>
        <v>100</v>
      </c>
      <c r="V34" s="1556" t="s">
        <v>8</v>
      </c>
      <c r="W34" s="1557">
        <f t="shared" si="14"/>
        <v>100</v>
      </c>
      <c r="X34" s="1550"/>
      <c r="Y34" s="3531"/>
      <c r="Z34" s="1558">
        <f t="shared" si="15"/>
        <v>111</v>
      </c>
      <c r="AA34" s="1559">
        <f t="shared" si="3"/>
        <v>1</v>
      </c>
      <c r="AB34" s="1559">
        <f t="shared" si="4"/>
        <v>1</v>
      </c>
      <c r="AC34" s="1559">
        <f t="shared" si="5"/>
        <v>1</v>
      </c>
    </row>
    <row r="35" spans="1:29" ht="15">
      <c r="A35" s="606" t="s">
        <v>736</v>
      </c>
      <c r="B35" s="886"/>
      <c r="C35" s="2588" t="s">
        <v>1</v>
      </c>
      <c r="D35" s="2589"/>
      <c r="E35" s="2590"/>
      <c r="F35" s="2591"/>
      <c r="G35" s="2592"/>
      <c r="H35" s="2593"/>
      <c r="I35" s="2590"/>
      <c r="J35" s="2593"/>
      <c r="K35" s="1593"/>
      <c r="L35" s="2126"/>
      <c r="M35" s="2127"/>
      <c r="N35" s="2116"/>
      <c r="O35" s="2127"/>
      <c r="P35" s="3526" t="str">
        <f>A35</f>
        <v>成交单价（元/平方米）</v>
      </c>
      <c r="Q35" s="3526"/>
      <c r="R35" s="3630">
        <f>E35</f>
        <v>0</v>
      </c>
      <c r="S35" s="3630"/>
      <c r="T35" s="3630">
        <f>G35</f>
        <v>0</v>
      </c>
      <c r="U35" s="3630"/>
      <c r="V35" s="3630">
        <f>I35</f>
        <v>0</v>
      </c>
      <c r="W35" s="3630"/>
      <c r="X35" s="1542"/>
      <c r="Y35" s="1564"/>
      <c r="Z35" s="1542"/>
      <c r="AA35" s="1542"/>
      <c r="AB35" s="1542"/>
      <c r="AC35" s="1542"/>
    </row>
    <row r="36" spans="1:29" ht="15.75" thickBot="1">
      <c r="A36" s="614" t="s">
        <v>2750</v>
      </c>
      <c r="B36" s="887"/>
      <c r="C36" s="2594" t="e">
        <f>R37</f>
        <v>#DIV/0!</v>
      </c>
      <c r="D36" s="2595"/>
      <c r="E36" s="2596" t="e">
        <f>R36</f>
        <v>#DIV/0!</v>
      </c>
      <c r="F36" s="2596"/>
      <c r="G36" s="2594" t="e">
        <f>T36</f>
        <v>#DIV/0!</v>
      </c>
      <c r="H36" s="2595"/>
      <c r="I36" s="2596" t="e">
        <f>V36</f>
        <v>#DIV/0!</v>
      </c>
      <c r="J36" s="2595"/>
      <c r="K36" s="1594"/>
      <c r="L36" s="2126"/>
      <c r="M36" s="2127"/>
      <c r="N36" s="2116"/>
      <c r="O36" s="2127"/>
      <c r="P36" s="3526" t="str">
        <f>A36</f>
        <v>比较价格（元/平方米）</v>
      </c>
      <c r="Q36" s="3526"/>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1542"/>
      <c r="Y36" s="1542"/>
      <c r="Z36" s="1542"/>
      <c r="AA36" s="1542"/>
      <c r="AB36" s="1542"/>
      <c r="AC36" s="1542"/>
    </row>
    <row r="37" spans="1:29" ht="15.75" thickBot="1">
      <c r="A37" s="620" t="s">
        <v>2925</v>
      </c>
      <c r="B37" s="621"/>
      <c r="C37" s="2597" t="e">
        <f>R37</f>
        <v>#DIV/0!</v>
      </c>
      <c r="D37" s="2597"/>
      <c r="E37" s="2597"/>
      <c r="F37" s="2597"/>
      <c r="G37" s="2597"/>
      <c r="H37" s="2597"/>
      <c r="I37" s="2597"/>
      <c r="J37" s="2597"/>
      <c r="K37" s="1595"/>
      <c r="L37" s="2126"/>
      <c r="M37" s="2127"/>
      <c r="N37" s="2127"/>
      <c r="O37" s="2127"/>
      <c r="P37" s="3547" t="str">
        <f>A37</f>
        <v>估价对象XX用房的比较价格（楼面单价，元/平方米）</v>
      </c>
      <c r="Q37" s="3548"/>
      <c r="R37" s="3629" t="e">
        <f>IF(F1="售价",ROUND(AVERAGE(R36:V36),0),ROUND(AVERAGE(R36:V36),1))</f>
        <v>#DIV/0!</v>
      </c>
      <c r="S37" s="3629"/>
      <c r="T37" s="3629"/>
      <c r="U37" s="3629"/>
      <c r="V37" s="3629"/>
      <c r="W37" s="3629"/>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4" t="s">
        <v>529</v>
      </c>
      <c r="B46" s="645"/>
      <c r="C46" s="2638" t="str">
        <f>YEAR(C7)&amp;"-"&amp;MONTH(C7)</f>
        <v>2020-8</v>
      </c>
      <c r="D46" s="2640">
        <f>EDATE(C46,-1)</f>
        <v>44013</v>
      </c>
      <c r="E46" s="2640">
        <f t="shared" ref="E46:O46" si="16">EDATE(D46,-1)</f>
        <v>43983</v>
      </c>
      <c r="F46" s="2640">
        <f t="shared" si="16"/>
        <v>43952</v>
      </c>
      <c r="G46" s="2640">
        <f t="shared" si="16"/>
        <v>43922</v>
      </c>
      <c r="H46" s="2640">
        <f t="shared" si="16"/>
        <v>43891</v>
      </c>
      <c r="I46" s="2640">
        <f t="shared" si="16"/>
        <v>43862</v>
      </c>
      <c r="J46" s="2640">
        <f t="shared" si="16"/>
        <v>43831</v>
      </c>
      <c r="K46" s="2640">
        <f t="shared" si="16"/>
        <v>43800</v>
      </c>
      <c r="L46" s="2640">
        <f t="shared" si="16"/>
        <v>43770</v>
      </c>
      <c r="M46" s="2640">
        <f t="shared" si="16"/>
        <v>43739</v>
      </c>
      <c r="N46" s="2640">
        <f t="shared" si="16"/>
        <v>43709</v>
      </c>
      <c r="O46" s="2640">
        <f t="shared" si="16"/>
        <v>43678</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2548</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2549</v>
      </c>
      <c r="C65" s="2559" t="s">
        <v>2550</v>
      </c>
      <c r="D65" s="2559" t="s">
        <v>2551</v>
      </c>
      <c r="E65" s="2559" t="s">
        <v>2552</v>
      </c>
      <c r="F65" s="2559" t="s">
        <v>2553</v>
      </c>
      <c r="G65" s="2559" t="s">
        <v>2554</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8" t="s">
        <v>2030</v>
      </c>
      <c r="B1" s="3348"/>
      <c r="C1" s="3348"/>
      <c r="D1" s="3348"/>
      <c r="E1" s="3348"/>
      <c r="F1" s="3348"/>
      <c r="G1" s="3348"/>
      <c r="H1" s="3348"/>
      <c r="I1" s="3348"/>
      <c r="J1" s="3348"/>
      <c r="K1" s="3348"/>
      <c r="L1" s="3348"/>
      <c r="M1" s="3348"/>
      <c r="N1" s="3348"/>
      <c r="O1" s="3348"/>
      <c r="P1" s="3348"/>
      <c r="Q1" s="3348"/>
      <c r="R1" s="3348"/>
    </row>
    <row r="2" spans="1:18">
      <c r="A2" s="1789" t="s">
        <v>2032</v>
      </c>
      <c r="B2" s="1789"/>
      <c r="C2" s="1789"/>
      <c r="D2" s="1789"/>
      <c r="E2" s="1789"/>
      <c r="F2" s="1789"/>
      <c r="G2" s="1789"/>
      <c r="H2" s="1789"/>
      <c r="I2" s="1790"/>
      <c r="J2" s="1790"/>
      <c r="K2" s="1791" t="str">
        <f>"估价期日："&amp;TEXT(项目基本情况!D3,"yyyy年m月d日;;")</f>
        <v>估价期日：2020年8月7日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49" t="s">
        <v>2021</v>
      </c>
      <c r="B3" s="3349" t="s">
        <v>2721</v>
      </c>
      <c r="C3" s="3350" t="s">
        <v>2022</v>
      </c>
      <c r="D3" s="3349" t="s">
        <v>2725</v>
      </c>
      <c r="E3" s="3344" t="s">
        <v>2023</v>
      </c>
      <c r="F3" s="3344"/>
      <c r="G3" s="3344"/>
      <c r="H3" s="3344" t="s">
        <v>2024</v>
      </c>
      <c r="I3" s="3344"/>
      <c r="J3" s="3344"/>
      <c r="K3" s="3350" t="s">
        <v>2025</v>
      </c>
      <c r="L3" s="3350" t="s">
        <v>2026</v>
      </c>
      <c r="M3" s="3349" t="s">
        <v>2722</v>
      </c>
      <c r="N3" s="3351" t="str">
        <f>"（分摊）"&amp;项目基本情况!B16&amp;"国有建设用地使用权面积/㎡"</f>
        <v>（分摊）出让国有建设用地使用权面积/㎡</v>
      </c>
      <c r="O3" s="3349" t="s">
        <v>2055</v>
      </c>
      <c r="P3" s="3350" t="s">
        <v>2035</v>
      </c>
      <c r="Q3" s="3350" t="s">
        <v>2056</v>
      </c>
      <c r="R3" s="3350" t="s">
        <v>2027</v>
      </c>
    </row>
    <row r="4" spans="1:18" ht="36.75" customHeight="1">
      <c r="A4" s="3349"/>
      <c r="B4" s="3349"/>
      <c r="C4" s="3350"/>
      <c r="D4" s="3349"/>
      <c r="E4" s="2610" t="s">
        <v>2034</v>
      </c>
      <c r="F4" s="2610" t="s">
        <v>2734</v>
      </c>
      <c r="G4" s="2610" t="s">
        <v>2028</v>
      </c>
      <c r="H4" s="2610" t="s">
        <v>2029</v>
      </c>
      <c r="I4" s="2610" t="s">
        <v>2735</v>
      </c>
      <c r="J4" s="2610" t="s">
        <v>2028</v>
      </c>
      <c r="K4" s="3350"/>
      <c r="L4" s="3350"/>
      <c r="M4" s="3349"/>
      <c r="N4" s="3351"/>
      <c r="O4" s="3349"/>
      <c r="P4" s="3350"/>
      <c r="Q4" s="3350"/>
      <c r="R4" s="3350"/>
    </row>
    <row r="5" spans="1:18" ht="135" customHeight="1">
      <c r="A5" s="1925" t="s">
        <v>2645</v>
      </c>
      <c r="B5" s="2703" t="s">
        <v>2643</v>
      </c>
      <c r="C5" s="2609">
        <v>22</v>
      </c>
      <c r="D5" s="2608" t="s">
        <v>2644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177193.01</v>
      </c>
      <c r="O5" s="1792">
        <f>项目基本情况!C21</f>
        <v>472085.52</v>
      </c>
      <c r="P5" s="1792">
        <f ca="1">结果表!E42</f>
        <v>10088</v>
      </c>
      <c r="Q5" s="1792">
        <f ca="1">结果表!D42</f>
        <v>3786</v>
      </c>
      <c r="R5" s="1793">
        <f ca="1">结果表!C42</f>
        <v>178751</v>
      </c>
    </row>
    <row r="6" spans="1:18">
      <c r="A6" s="3345" t="str">
        <f>IF(项目基本情况!B9="市场价格","——","抵押价格")</f>
        <v>抵押价格</v>
      </c>
      <c r="B6" s="3346"/>
      <c r="C6" s="3346"/>
      <c r="D6" s="3346"/>
      <c r="E6" s="3346"/>
      <c r="F6" s="3346"/>
      <c r="G6" s="3346"/>
      <c r="H6" s="3346"/>
      <c r="I6" s="3346"/>
      <c r="J6" s="3346"/>
      <c r="K6" s="3346"/>
      <c r="L6" s="3346"/>
      <c r="M6" s="3346"/>
      <c r="N6" s="3346"/>
      <c r="O6" s="3346"/>
      <c r="P6" s="3346"/>
      <c r="Q6" s="3347"/>
      <c r="R6" s="1794">
        <f ca="1">结果表!O39</f>
        <v>178751</v>
      </c>
    </row>
    <row r="7" spans="1:18">
      <c r="A7" s="3345" t="str">
        <f>IF(项目基本情况!B9="市场价格","——",IF(项目基本情况!E8="已注销及未注销","抵押担保权已注销时的抵押价格","——"))</f>
        <v>——</v>
      </c>
      <c r="B7" s="3346"/>
      <c r="C7" s="3346"/>
      <c r="D7" s="3346"/>
      <c r="E7" s="3346"/>
      <c r="F7" s="3346"/>
      <c r="G7" s="3346"/>
      <c r="H7" s="3346"/>
      <c r="I7" s="3346"/>
      <c r="J7" s="3346"/>
      <c r="K7" s="3346"/>
      <c r="L7" s="3346"/>
      <c r="M7" s="3346"/>
      <c r="N7" s="3346"/>
      <c r="O7" s="3346"/>
      <c r="P7" s="3346"/>
      <c r="Q7" s="3347"/>
      <c r="R7" s="1794" t="str">
        <f>结果表!O40</f>
        <v>——</v>
      </c>
    </row>
    <row r="8" spans="1:18">
      <c r="A8" s="3345">
        <f>IF(项目基本情况!B9="市场价格","——",项目基本情况!E9)</f>
        <v>0</v>
      </c>
      <c r="B8" s="3346"/>
      <c r="C8" s="3346"/>
      <c r="D8" s="3346"/>
      <c r="E8" s="3346"/>
      <c r="F8" s="3346"/>
      <c r="G8" s="3346"/>
      <c r="H8" s="3346"/>
      <c r="I8" s="3346"/>
      <c r="J8" s="3346"/>
      <c r="K8" s="3346"/>
      <c r="L8" s="3346"/>
      <c r="M8" s="3346"/>
      <c r="N8" s="3346"/>
      <c r="O8" s="3346"/>
      <c r="P8" s="3346"/>
      <c r="Q8" s="3347"/>
      <c r="R8" s="1794" t="str">
        <f>结果表!O41</f>
        <v>——</v>
      </c>
    </row>
    <row r="9" spans="1:18">
      <c r="A9" s="1795" t="s">
        <v>2033</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2020</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2778</v>
      </c>
      <c r="C1" s="2840">
        <f>项目基本情况!D3</f>
        <v>44050</v>
      </c>
      <c r="H1" s="2774">
        <f>IF(C1&gt;C13,0,MATCH(C1,C$13:C$100,-1))+IF(SUMIF(C13:C100,C1,D13:D100)=0,13,12)</f>
        <v>13</v>
      </c>
      <c r="I1" s="2774">
        <f ca="1">MATCH(C2,H3:H7,1)+IF(SUMIF(H3:H7,C2,I3:I7)=0,2,1)</f>
        <v>5</v>
      </c>
      <c r="J1" s="2833">
        <f ca="1">MATCH(C3,H3:H7,1)+IF(SUMIF(H3:H7,C3,J3:J7)=0,2,1)</f>
        <v>2</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2809</v>
      </c>
      <c r="C2" s="2841">
        <f>'数据-取费表'!B22</f>
        <v>3</v>
      </c>
      <c r="D2" s="2836" t="s">
        <v>2779</v>
      </c>
      <c r="E2" s="2839">
        <f ca="1">INDIRECT("I"&amp;$I$1)/100</f>
        <v>4.7500000000000001E-2</v>
      </c>
      <c r="G2" s="2776"/>
      <c r="H2" s="2776"/>
      <c r="I2" s="2776" t="s">
        <v>2780</v>
      </c>
      <c r="K2" s="2776"/>
      <c r="L2" s="2776"/>
      <c r="M2" s="2776"/>
      <c r="N2" s="2776" t="s">
        <v>2781</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2811</v>
      </c>
      <c r="C3" s="2838">
        <f>'数据-取费表'!B19</f>
        <v>0</v>
      </c>
      <c r="D3" s="2836" t="s">
        <v>2779</v>
      </c>
      <c r="E3" s="2839">
        <f ca="1">INDIRECT("J"&amp;$J$1)/100</f>
        <v>0</v>
      </c>
      <c r="G3" s="2778" t="s">
        <v>2782</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2810</v>
      </c>
      <c r="C4" s="2839">
        <f ca="1">N4/100</f>
        <v>1.4999999999999999E-2</v>
      </c>
      <c r="G4" s="2784" t="s">
        <v>2783</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2784</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2785</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2786</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2787</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2788</v>
      </c>
      <c r="C10" s="2803"/>
      <c r="D10" s="2803"/>
      <c r="E10" s="2803"/>
      <c r="F10" s="2803"/>
      <c r="G10" s="2803"/>
      <c r="H10" s="2803"/>
      <c r="I10" s="2777"/>
      <c r="J10" s="2777"/>
      <c r="K10" s="2803"/>
      <c r="L10" s="2804" t="s">
        <v>2789</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2790</v>
      </c>
      <c r="C11" s="2808" t="s">
        <v>2791</v>
      </c>
      <c r="D11" s="2809" t="s">
        <v>2792</v>
      </c>
      <c r="E11" s="2810"/>
      <c r="F11" s="2809" t="s">
        <v>2793</v>
      </c>
      <c r="G11" s="2811"/>
      <c r="H11" s="2810"/>
      <c r="I11" s="2809" t="s">
        <v>2794</v>
      </c>
      <c r="J11" s="2810"/>
      <c r="K11" s="2806"/>
      <c r="L11" s="2807" t="s">
        <v>2790</v>
      </c>
      <c r="M11" s="2808" t="s">
        <v>2791</v>
      </c>
      <c r="N11" s="2807" t="s">
        <v>2795</v>
      </c>
      <c r="O11" s="2809" t="s">
        <v>2796</v>
      </c>
      <c r="P11" s="2811"/>
      <c r="Q11" s="2811"/>
      <c r="R11" s="2811"/>
      <c r="S11" s="2811"/>
      <c r="T11" s="2810"/>
      <c r="U11" s="2809" t="s">
        <v>2797</v>
      </c>
      <c r="V11" s="2811"/>
      <c r="W11" s="2810"/>
      <c r="X11" s="2807" t="s">
        <v>2798</v>
      </c>
      <c r="Y11" s="2807" t="s">
        <v>2799</v>
      </c>
      <c r="Z11" s="2807" t="s">
        <v>2800</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2801</v>
      </c>
      <c r="E12" s="2816" t="s">
        <v>2802</v>
      </c>
      <c r="F12" s="2816" t="s">
        <v>2803</v>
      </c>
      <c r="G12" s="2816" t="s">
        <v>2804</v>
      </c>
      <c r="H12" s="2816" t="s">
        <v>2786</v>
      </c>
      <c r="I12" s="2817" t="s">
        <v>2805</v>
      </c>
      <c r="J12" s="2817" t="s">
        <v>2805</v>
      </c>
      <c r="K12" s="2813"/>
      <c r="L12" s="2814"/>
      <c r="M12" s="2815"/>
      <c r="N12" s="2814"/>
      <c r="O12" s="2817" t="s">
        <v>2806</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2807</v>
      </c>
      <c r="C13" s="2821">
        <v>42301</v>
      </c>
      <c r="D13" s="2822">
        <v>4.3499999999999996</v>
      </c>
      <c r="E13" s="2822">
        <v>4.3499999999999996</v>
      </c>
      <c r="F13" s="2822">
        <v>4.75</v>
      </c>
      <c r="G13" s="2822">
        <v>4.75</v>
      </c>
      <c r="H13" s="2822">
        <v>4.9000000000000004</v>
      </c>
      <c r="I13" s="2822">
        <v>2.75</v>
      </c>
      <c r="J13" s="2822">
        <v>3.25</v>
      </c>
      <c r="K13" s="2819"/>
      <c r="L13" s="2820" t="s">
        <v>2807</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2808</v>
      </c>
      <c r="Y42" s="2826" t="s">
        <v>2808</v>
      </c>
      <c r="Z42" s="2826" t="s">
        <v>2808</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2808</v>
      </c>
      <c r="Y43" s="2826" t="s">
        <v>2808</v>
      </c>
      <c r="Z43" s="2826" t="s">
        <v>2808</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2808</v>
      </c>
      <c r="Y44" s="2826" t="s">
        <v>2808</v>
      </c>
      <c r="Z44" s="2826" t="s">
        <v>2808</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2808</v>
      </c>
      <c r="Y45" s="2826" t="s">
        <v>2808</v>
      </c>
      <c r="Z45" s="2826" t="s">
        <v>2808</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2808</v>
      </c>
      <c r="Y46" s="2826" t="s">
        <v>2808</v>
      </c>
      <c r="Z46" s="2826" t="s">
        <v>2808</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2808</v>
      </c>
      <c r="Y47" s="2826" t="s">
        <v>2808</v>
      </c>
      <c r="Z47" s="2826" t="s">
        <v>2808</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2808</v>
      </c>
      <c r="Y48" s="2826" t="s">
        <v>2808</v>
      </c>
      <c r="Z48" s="2826" t="s">
        <v>2808</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2808</v>
      </c>
      <c r="Y49" s="2826" t="s">
        <v>2808</v>
      </c>
      <c r="Z49" s="2826" t="s">
        <v>2808</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2808</v>
      </c>
      <c r="Y50" s="2826" t="s">
        <v>2808</v>
      </c>
      <c r="Z50" s="2826" t="s">
        <v>2808</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2808</v>
      </c>
      <c r="V51" s="2826" t="s">
        <v>2808</v>
      </c>
      <c r="W51" s="2826" t="s">
        <v>2808</v>
      </c>
      <c r="X51" s="2826" t="s">
        <v>2808</v>
      </c>
      <c r="Y51" s="2826" t="s">
        <v>2808</v>
      </c>
      <c r="Z51" s="2826" t="s">
        <v>2808</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2808</v>
      </c>
      <c r="J55" s="2826" t="s">
        <v>2808</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352" t="s">
        <v>2057</v>
      </c>
      <c r="B1" s="3352"/>
      <c r="C1" s="3352"/>
      <c r="D1" s="3352"/>
    </row>
    <row r="2" spans="1:4" ht="47.25" customHeight="1">
      <c r="A2" s="3356" t="str">
        <f>"1.权利限制："&amp;项目基本情况!L24&amp;"未设定租赁等其他他项权利。"</f>
        <v>1.权利限制：根据估价对象《不动产权证书》原件、《国有土地使用权》复印件，截至估价期日，估价对象抵押权未见登记。未设定租赁等其他他项权利。</v>
      </c>
      <c r="B2" s="3356"/>
      <c r="C2" s="3356"/>
      <c r="D2" s="3356"/>
    </row>
    <row r="3" spans="1:4" ht="48" customHeight="1">
      <c r="A3" s="33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2"/>
      <c r="C3" s="3352"/>
      <c r="D3" s="3352"/>
    </row>
    <row r="4" spans="1:4" ht="36.75" customHeight="1">
      <c r="A4" s="3352" t="str">
        <f>"3.估价规划限制条件：详见"&amp;项目基本情况!E21&amp;"。"</f>
        <v>3.估价规划限制条件：详见《建设工程规划许可证》[]、《出让合同》[]。</v>
      </c>
      <c r="B4" s="3352"/>
      <c r="C4" s="3352"/>
      <c r="D4" s="3352"/>
    </row>
    <row r="5" spans="1:4">
      <c r="A5" s="3355" t="s">
        <v>2058</v>
      </c>
      <c r="B5" s="3355"/>
      <c r="C5" s="3355"/>
      <c r="D5" s="3355"/>
    </row>
    <row r="6" spans="1:4">
      <c r="A6" s="3352" t="s">
        <v>2036</v>
      </c>
      <c r="B6" s="3352"/>
      <c r="C6" s="3352"/>
      <c r="D6" s="3352"/>
    </row>
    <row r="7" spans="1:4" ht="33" customHeight="1">
      <c r="A7" s="3352" t="s">
        <v>2565</v>
      </c>
      <c r="B7" s="3352"/>
      <c r="C7" s="3352"/>
      <c r="D7" s="3352"/>
    </row>
    <row r="8" spans="1:4" ht="32.25" customHeight="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2"/>
      <c r="C8" s="3352"/>
      <c r="D8" s="3352"/>
    </row>
    <row r="9" spans="1:4" ht="33.75" customHeight="1">
      <c r="A9" s="33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2"/>
      <c r="C9" s="3352"/>
      <c r="D9" s="3352"/>
    </row>
    <row r="10" spans="1:4">
      <c r="A10" s="3352" t="str">
        <f>IF(项目基本情况!B8="抵押","4.估价师所知悉的法定优先受偿款情况为：","——")</f>
        <v>4.估价师所知悉的法定优先受偿款情况为：</v>
      </c>
      <c r="B10" s="3352"/>
      <c r="C10" s="3352"/>
      <c r="D10" s="3352"/>
    </row>
    <row r="11" spans="1:4" ht="37.5" customHeight="1">
      <c r="A11" s="33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4"/>
      <c r="C11" s="3354"/>
      <c r="D11" s="3354"/>
    </row>
    <row r="12" spans="1:4" ht="168" customHeight="1">
      <c r="A12" s="3355" t="s">
        <v>2060</v>
      </c>
      <c r="B12" s="3355"/>
      <c r="C12" s="3355"/>
      <c r="D12" s="3355"/>
    </row>
    <row r="13" spans="1:4">
      <c r="A13" s="3353" t="s">
        <v>2736</v>
      </c>
      <c r="B13" s="3353"/>
      <c r="C13" s="3353"/>
      <c r="D13" s="3353"/>
    </row>
    <row r="14" spans="1:4">
      <c r="A14" s="3354" t="str">
        <f>IF(项目基本情况!B8="抵押","综上，"&amp;结果表!K47,"——")</f>
        <v>综上，本次评估不存在估价师知悉的法定优先受偿款</v>
      </c>
      <c r="B14" s="3354"/>
      <c r="C14" s="3354"/>
      <c r="D14" s="3354"/>
    </row>
    <row r="15" spans="1:4" ht="58.5" customHeight="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2"/>
      <c r="C15" s="3352"/>
      <c r="D15" s="3352"/>
    </row>
    <row r="16" spans="1:4" ht="70.5" customHeight="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2"/>
      <c r="C16" s="3352"/>
      <c r="D16" s="3352"/>
    </row>
    <row r="17" spans="1:4">
      <c r="A17" s="3352" t="s">
        <v>2692</v>
      </c>
      <c r="B17" s="3352"/>
      <c r="C17" s="3352"/>
      <c r="D17" s="3352"/>
    </row>
    <row r="18" spans="1:4">
      <c r="A18" s="3352" t="s">
        <v>2684</v>
      </c>
      <c r="B18" s="3352"/>
      <c r="C18" s="3352"/>
      <c r="D18" s="3352"/>
    </row>
    <row r="19" spans="1:4">
      <c r="A19" s="2704" t="s">
        <v>2685</v>
      </c>
      <c r="B19" s="2704" t="s">
        <v>2686</v>
      </c>
      <c r="C19" s="2704" t="s">
        <v>2687</v>
      </c>
      <c r="D19" s="2704" t="s">
        <v>2688</v>
      </c>
    </row>
    <row r="20" spans="1:4">
      <c r="A20" s="2704" t="str">
        <f>项目基本情况!B4</f>
        <v>土地估价师</v>
      </c>
      <c r="B20" s="2704">
        <f>项目基本情况!C4</f>
        <v>0</v>
      </c>
      <c r="C20" s="2706"/>
      <c r="D20" s="1782" t="s">
        <v>2693</v>
      </c>
    </row>
    <row r="21" spans="1:4">
      <c r="A21" s="2704" t="str">
        <f>项目基本情况!D4</f>
        <v>土地估价师</v>
      </c>
      <c r="B21" s="2704">
        <f>项目基本情况!E4</f>
        <v>0</v>
      </c>
      <c r="C21" s="2706"/>
      <c r="D21" s="1782" t="s">
        <v>2694</v>
      </c>
    </row>
    <row r="23" spans="1:4">
      <c r="A23" s="3352" t="s">
        <v>2689</v>
      </c>
      <c r="B23" s="3352"/>
      <c r="C23" s="3352"/>
      <c r="D23" s="3352"/>
    </row>
    <row r="24" spans="1:4">
      <c r="A24" s="2704" t="s">
        <v>2685</v>
      </c>
      <c r="B24" s="2704" t="s">
        <v>2690</v>
      </c>
      <c r="C24" s="2704" t="s">
        <v>2687</v>
      </c>
      <c r="D24" s="2704" t="s">
        <v>2688</v>
      </c>
    </row>
    <row r="25" spans="1:4">
      <c r="A25" s="2707" t="s">
        <v>2691</v>
      </c>
      <c r="B25" s="2704" t="s">
        <v>949</v>
      </c>
      <c r="C25" s="2706"/>
      <c r="D25" s="1782" t="s">
        <v>2694</v>
      </c>
    </row>
    <row r="29" spans="1:4">
      <c r="D29" s="2705" t="s">
        <v>2031</v>
      </c>
    </row>
    <row r="30" spans="1:4">
      <c r="D30" s="2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364" t="s">
        <v>53</v>
      </c>
      <c r="B15" s="3365" t="s">
        <v>843</v>
      </c>
      <c r="C15" s="3361"/>
    </row>
    <row r="16" spans="1:7" ht="14.25">
      <c r="A16" s="3364"/>
      <c r="B16" s="3362" t="s">
        <v>54</v>
      </c>
      <c r="C16" s="1166" t="s">
        <v>53</v>
      </c>
    </row>
    <row r="17" spans="1:3" ht="14.25">
      <c r="A17" s="3364"/>
      <c r="B17" s="3362"/>
      <c r="C17" s="1166" t="s">
        <v>55</v>
      </c>
    </row>
    <row r="18" spans="1:3" ht="14.25">
      <c r="A18" s="3364"/>
      <c r="B18" s="3362"/>
      <c r="C18" s="1166" t="s">
        <v>56</v>
      </c>
    </row>
    <row r="19" spans="1:3" ht="14.25">
      <c r="A19" s="3364"/>
      <c r="B19" s="3360" t="s">
        <v>57</v>
      </c>
      <c r="C19" s="3361"/>
    </row>
    <row r="20" spans="1:3" ht="14.25">
      <c r="A20" s="1167" t="s">
        <v>58</v>
      </c>
      <c r="B20" s="1168"/>
      <c r="C20" s="1169"/>
    </row>
    <row r="21" spans="1:3" ht="14.25">
      <c r="A21" s="3363" t="s">
        <v>59</v>
      </c>
      <c r="B21" s="3360" t="s">
        <v>60</v>
      </c>
      <c r="C21" s="3361"/>
    </row>
    <row r="22" spans="1:3" ht="14.25">
      <c r="A22" s="3363"/>
      <c r="B22" s="3360" t="s">
        <v>61</v>
      </c>
      <c r="C22" s="3361"/>
    </row>
    <row r="23" spans="1:3" ht="14.25">
      <c r="A23" s="3363"/>
      <c r="B23" s="3360" t="s">
        <v>62</v>
      </c>
      <c r="C23" s="3361"/>
    </row>
    <row r="24" spans="1:3" ht="14.25">
      <c r="A24" s="3363"/>
      <c r="B24" s="3366" t="s">
        <v>63</v>
      </c>
      <c r="C24" s="1170" t="s">
        <v>834</v>
      </c>
    </row>
    <row r="25" spans="1:3" ht="14.25">
      <c r="A25" s="3363"/>
      <c r="B25" s="3367"/>
      <c r="C25" s="1170" t="s">
        <v>835</v>
      </c>
    </row>
    <row r="26" spans="1:3" ht="14.25">
      <c r="A26" s="3363"/>
      <c r="B26" s="3367"/>
      <c r="C26" s="1170" t="s">
        <v>836</v>
      </c>
    </row>
    <row r="27" spans="1:3" ht="14.25">
      <c r="A27" s="3363"/>
      <c r="B27" s="3367"/>
      <c r="C27" s="1170" t="s">
        <v>837</v>
      </c>
    </row>
    <row r="28" spans="1:3" ht="14.25">
      <c r="A28" s="3363"/>
      <c r="B28" s="3367"/>
      <c r="C28" s="1170" t="s">
        <v>838</v>
      </c>
    </row>
    <row r="29" spans="1:3" ht="14.25">
      <c r="A29" s="3363"/>
      <c r="B29" s="3367"/>
      <c r="C29" s="1170" t="s">
        <v>839</v>
      </c>
    </row>
    <row r="30" spans="1:3" ht="14.25">
      <c r="A30" s="3363"/>
      <c r="B30" s="3367"/>
      <c r="C30" s="1170" t="s">
        <v>840</v>
      </c>
    </row>
    <row r="31" spans="1:3" ht="14.25">
      <c r="A31" s="3363"/>
      <c r="B31" s="3367"/>
      <c r="C31" s="1170" t="s">
        <v>841</v>
      </c>
    </row>
    <row r="32" spans="1:3" ht="14.25">
      <c r="A32" s="3363"/>
      <c r="B32" s="3367"/>
      <c r="C32" s="1170" t="s">
        <v>1643</v>
      </c>
    </row>
    <row r="33" spans="1:3" ht="14.25">
      <c r="A33" s="3363"/>
      <c r="B33" s="3357" t="s">
        <v>1649</v>
      </c>
      <c r="C33" s="1170" t="s">
        <v>1644</v>
      </c>
    </row>
    <row r="34" spans="1:3" ht="14.25">
      <c r="A34" s="3363"/>
      <c r="B34" s="3358"/>
      <c r="C34" s="1175" t="s">
        <v>1645</v>
      </c>
    </row>
    <row r="35" spans="1:3" ht="14.25">
      <c r="A35" s="3363"/>
      <c r="B35" s="3358"/>
      <c r="C35" s="1176" t="s">
        <v>1646</v>
      </c>
    </row>
    <row r="36" spans="1:3" ht="14.25">
      <c r="A36" s="3363"/>
      <c r="B36" s="3358"/>
      <c r="C36" s="1176" t="s">
        <v>1647</v>
      </c>
    </row>
    <row r="37" spans="1:3" ht="14.25">
      <c r="A37" s="3363"/>
      <c r="B37" s="3359"/>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978" customWidth="1"/>
    <col min="2" max="5" width="22.625" style="2978"/>
    <col min="6" max="6" width="25.625" style="2978" customWidth="1"/>
    <col min="7" max="16384" width="22.625" style="2978"/>
  </cols>
  <sheetData>
    <row r="2" spans="1:6" ht="20.25" customHeight="1">
      <c r="A2" s="2975" t="s">
        <v>1901</v>
      </c>
      <c r="B2" s="2976">
        <f ca="1">TODAY()</f>
        <v>44053</v>
      </c>
      <c r="C2" s="2977" t="s">
        <v>1902</v>
      </c>
      <c r="D2" s="2977"/>
    </row>
    <row r="3" spans="1:6" ht="20.25" customHeight="1">
      <c r="A3" s="2979" t="s">
        <v>1903</v>
      </c>
      <c r="B3" s="2980" t="s">
        <v>1904</v>
      </c>
      <c r="C3" s="2980" t="s">
        <v>1905</v>
      </c>
      <c r="D3" s="2981" t="s">
        <v>1906</v>
      </c>
      <c r="E3" s="2980" t="s">
        <v>1907</v>
      </c>
      <c r="F3" s="2980" t="s">
        <v>1905</v>
      </c>
    </row>
    <row r="4" spans="1:6" ht="20.25" customHeight="1">
      <c r="A4" s="2980" t="s">
        <v>1908</v>
      </c>
      <c r="B4" s="2980">
        <f ca="1">IF(C4&lt;B2,"已过期",1119970066)</f>
        <v>1119970066</v>
      </c>
      <c r="C4" s="2982">
        <v>44876</v>
      </c>
      <c r="D4" s="2980" t="s">
        <v>1908</v>
      </c>
      <c r="E4" s="2980">
        <f ca="1">IF(F4&lt;B2,"已过期",96010014)</f>
        <v>96010014</v>
      </c>
      <c r="F4" s="2983">
        <v>47118</v>
      </c>
    </row>
    <row r="5" spans="1:6" ht="20.25" customHeight="1">
      <c r="A5" s="2980"/>
      <c r="B5" s="2980"/>
      <c r="C5" s="2982"/>
      <c r="D5" s="2980"/>
      <c r="E5" s="2980"/>
      <c r="F5" s="2983"/>
    </row>
    <row r="6" spans="1:6" ht="20.25" customHeight="1">
      <c r="A6" s="2980" t="s">
        <v>1909</v>
      </c>
      <c r="B6" s="2980">
        <f ca="1">IF(C6&lt;B2,"已过期",1119970111)</f>
        <v>1119970111</v>
      </c>
      <c r="C6" s="2982">
        <v>44876</v>
      </c>
      <c r="D6" s="2980" t="s">
        <v>1909</v>
      </c>
      <c r="E6" s="2980">
        <f ca="1">IF(F6&lt;B2,"已过期",94010078)</f>
        <v>94010078</v>
      </c>
      <c r="F6" s="2983">
        <v>46387</v>
      </c>
    </row>
    <row r="7" spans="1:6" ht="20.25" customHeight="1">
      <c r="A7" s="2980" t="s">
        <v>1910</v>
      </c>
      <c r="B7" s="2980">
        <f ca="1">IF(C7&lt;B2,"已过期",1120050019)</f>
        <v>1120050019</v>
      </c>
      <c r="C7" s="2982">
        <v>44395</v>
      </c>
      <c r="D7" s="2980" t="s">
        <v>1910</v>
      </c>
      <c r="E7" s="2980">
        <f ca="1">IF(F7&lt;B2,"已过期",2002110030)</f>
        <v>2002110030</v>
      </c>
      <c r="F7" s="2983">
        <v>46387</v>
      </c>
    </row>
    <row r="8" spans="1:6" ht="20.25" customHeight="1">
      <c r="A8" s="2980" t="s">
        <v>1911</v>
      </c>
      <c r="B8" s="2980">
        <f ca="1">IF(C8&lt;B2,"已过期",1120000080)</f>
        <v>1120000080</v>
      </c>
      <c r="C8" s="2982">
        <v>44876</v>
      </c>
      <c r="D8" s="2980" t="s">
        <v>1911</v>
      </c>
      <c r="E8" s="2980">
        <f ca="1">IF(F8&lt;B2,"已过期",2000110082)</f>
        <v>2000110082</v>
      </c>
      <c r="F8" s="2983">
        <v>46387</v>
      </c>
    </row>
    <row r="9" spans="1:6" ht="20.25" customHeight="1">
      <c r="A9" s="2980" t="s">
        <v>1912</v>
      </c>
      <c r="B9" s="2980">
        <f ca="1">IF(C9&lt;B2,"已过期",1419970001)</f>
        <v>1419970001</v>
      </c>
      <c r="C9" s="2982">
        <v>44899</v>
      </c>
      <c r="D9" s="2980" t="s">
        <v>1912</v>
      </c>
      <c r="E9" s="2980">
        <f ca="1">IF(F9&lt;B2,"已过期",2002110125)</f>
        <v>2002110125</v>
      </c>
      <c r="F9" s="2983">
        <v>47118</v>
      </c>
    </row>
    <row r="10" spans="1:6" ht="20.25" customHeight="1">
      <c r="A10" s="2980" t="s">
        <v>1913</v>
      </c>
      <c r="B10" s="2980">
        <f ca="1">IF(C10&lt;B2,"已过期",1120060040)</f>
        <v>1120060040</v>
      </c>
      <c r="C10" s="2982">
        <v>44554</v>
      </c>
      <c r="D10" s="2980" t="s">
        <v>1913</v>
      </c>
      <c r="E10" s="2980">
        <f ca="1">IF(F10&lt;B2,"已过期",2004110096)</f>
        <v>2004110096</v>
      </c>
      <c r="F10" s="2983">
        <v>47118</v>
      </c>
    </row>
    <row r="11" spans="1:6" ht="20.25" customHeight="1">
      <c r="A11" s="2980" t="s">
        <v>1914</v>
      </c>
      <c r="B11" s="2980">
        <f ca="1">IF(C11&lt;B2,"已过期",1120100036)</f>
        <v>1120100036</v>
      </c>
      <c r="C11" s="2982">
        <v>44675</v>
      </c>
      <c r="D11" s="2980" t="s">
        <v>1914</v>
      </c>
      <c r="E11" s="2980">
        <f ca="1">IF(F11&lt;B2,"已过期",2010110070)</f>
        <v>2010110070</v>
      </c>
      <c r="F11" s="2983">
        <v>47907</v>
      </c>
    </row>
    <row r="12" spans="1:6" ht="20.25" customHeight="1">
      <c r="A12" s="2980"/>
      <c r="B12" s="2980"/>
      <c r="C12" s="2982"/>
      <c r="D12" s="2980"/>
      <c r="E12" s="2980"/>
      <c r="F12" s="2983"/>
    </row>
    <row r="13" spans="1:6" ht="20.25" customHeight="1">
      <c r="A13" s="2980" t="s">
        <v>1915</v>
      </c>
      <c r="B13" s="2980">
        <f ca="1">IF(C13&lt;B2,"已过期",1120070131)</f>
        <v>1120070131</v>
      </c>
      <c r="C13" s="2982">
        <v>44849</v>
      </c>
      <c r="D13" s="2980" t="s">
        <v>1915</v>
      </c>
      <c r="E13" s="2980">
        <f ca="1">IF(F13&lt;B2,"已过期",2014110011)</f>
        <v>2014110011</v>
      </c>
      <c r="F13" s="2983">
        <v>49302</v>
      </c>
    </row>
    <row r="14" spans="1:6" ht="20.25" customHeight="1">
      <c r="A14" s="2980" t="s">
        <v>2970</v>
      </c>
      <c r="B14" s="2980">
        <f ca="1">IF(C14&lt;B2,"已过期",1120040230)</f>
        <v>1120040230</v>
      </c>
      <c r="C14" s="2984">
        <v>44864</v>
      </c>
      <c r="D14" s="2985" t="s">
        <v>2971</v>
      </c>
      <c r="E14" s="2980">
        <f ca="1">IF(F14&lt;B2,"已过期",98030020)</f>
        <v>98030020</v>
      </c>
      <c r="F14" s="2983">
        <v>47118</v>
      </c>
    </row>
    <row r="15" spans="1:6" ht="20.25" customHeight="1">
      <c r="A15" s="2980"/>
      <c r="B15" s="2980"/>
      <c r="C15" s="2984"/>
      <c r="D15" s="2980"/>
      <c r="E15" s="2980"/>
      <c r="F15" s="2986"/>
    </row>
    <row r="16" spans="1:6" ht="20.25" customHeight="1">
      <c r="A16" s="2980"/>
      <c r="B16" s="2980"/>
      <c r="C16" s="2982"/>
      <c r="D16" s="2980"/>
      <c r="E16" s="2980"/>
      <c r="F16" s="2983"/>
    </row>
    <row r="17" spans="1:7" ht="20.25" customHeight="1">
      <c r="A17" s="2980"/>
      <c r="B17" s="2980"/>
      <c r="C17" s="2982"/>
      <c r="D17" s="2985"/>
      <c r="E17" s="2980"/>
      <c r="F17" s="2983"/>
    </row>
    <row r="18" spans="1:7" ht="20.25" customHeight="1">
      <c r="A18" s="2980" t="s">
        <v>2984</v>
      </c>
      <c r="B18" s="2980">
        <v>1120190079</v>
      </c>
      <c r="C18" s="2982">
        <v>44826</v>
      </c>
      <c r="D18" s="2980"/>
      <c r="E18" s="2980"/>
      <c r="F18" s="2983"/>
    </row>
    <row r="19" spans="1:7" ht="20.25" customHeight="1">
      <c r="A19" s="2980"/>
      <c r="B19" s="2980"/>
      <c r="C19" s="2982"/>
      <c r="D19" s="2980"/>
      <c r="E19" s="2980"/>
      <c r="F19" s="2980"/>
    </row>
    <row r="20" spans="1:7" ht="20.25" customHeight="1">
      <c r="A20" s="2980"/>
      <c r="B20" s="2980"/>
      <c r="C20" s="2982"/>
      <c r="D20" s="2980"/>
      <c r="E20" s="2980"/>
      <c r="F20" s="2980"/>
    </row>
    <row r="21" spans="1:7" ht="20.25" customHeight="1">
      <c r="A21" s="2980"/>
      <c r="B21" s="2980"/>
      <c r="C21" s="2982"/>
      <c r="D21" s="2980" t="s">
        <v>1916</v>
      </c>
      <c r="E21" s="2980">
        <f ca="1">IF(F21&lt;B2,"已过期",2011110090)</f>
        <v>2011110090</v>
      </c>
      <c r="F21" s="2983">
        <v>48302</v>
      </c>
    </row>
    <row r="22" spans="1:7" ht="20.25" customHeight="1">
      <c r="A22" s="2980" t="s">
        <v>1917</v>
      </c>
      <c r="B22" s="2980">
        <f ca="1">IF(C22&lt;B2,"已过期",1120020033)</f>
        <v>1120020033</v>
      </c>
      <c r="C22" s="2982">
        <v>44339</v>
      </c>
      <c r="D22" s="2980" t="s">
        <v>1917</v>
      </c>
      <c r="E22" s="2980">
        <f ca="1">IF(F22&lt;B2,"已过期",2000110137)</f>
        <v>2000110137</v>
      </c>
      <c r="F22" s="2983">
        <v>46387</v>
      </c>
    </row>
    <row r="23" spans="1:7" ht="20.25" customHeight="1">
      <c r="A23" s="2980" t="s">
        <v>2986</v>
      </c>
      <c r="B23" s="2980">
        <v>1119980106</v>
      </c>
      <c r="C23" s="2982">
        <v>44969</v>
      </c>
      <c r="D23" s="2980"/>
      <c r="E23" s="2980"/>
      <c r="F23" s="2980"/>
    </row>
    <row r="24" spans="1:7" s="2988" customFormat="1" ht="20.25" customHeight="1">
      <c r="A24" s="2979" t="s">
        <v>2045</v>
      </c>
      <c r="B24" s="2979" t="s">
        <v>2045</v>
      </c>
      <c r="C24" s="2982"/>
      <c r="D24" s="2987" t="s">
        <v>2045</v>
      </c>
      <c r="E24" s="2979" t="s">
        <v>2045</v>
      </c>
      <c r="F24" s="2986"/>
    </row>
    <row r="25" spans="1:7" ht="20.25" customHeight="1">
      <c r="A25" s="3368" t="s">
        <v>1918</v>
      </c>
      <c r="B25" s="3368"/>
      <c r="C25" s="3368"/>
      <c r="D25" s="3368"/>
      <c r="E25" s="3368"/>
      <c r="F25" s="3368"/>
      <c r="G25" s="3368"/>
    </row>
    <row r="26" spans="1:7" ht="20.25" customHeight="1">
      <c r="A26" s="3369" t="s">
        <v>1919</v>
      </c>
      <c r="B26" s="3369"/>
      <c r="C26" s="3369"/>
      <c r="D26" s="3369" t="s">
        <v>1920</v>
      </c>
      <c r="E26" s="3369"/>
      <c r="F26" s="3369"/>
    </row>
    <row r="27" spans="1:7" s="2975" customFormat="1" ht="20.25" customHeight="1">
      <c r="A27" s="2989" t="s">
        <v>1921</v>
      </c>
      <c r="B27" s="2990" t="s">
        <v>1922</v>
      </c>
      <c r="C27" s="2990" t="s">
        <v>1923</v>
      </c>
      <c r="D27" s="2980" t="s">
        <v>1921</v>
      </c>
      <c r="E27" s="2990" t="s">
        <v>1922</v>
      </c>
      <c r="F27" s="2990" t="s">
        <v>1923</v>
      </c>
    </row>
    <row r="28" spans="1:7" s="2975" customFormat="1" ht="20.25" customHeight="1">
      <c r="A28" s="2991" t="s">
        <v>1924</v>
      </c>
      <c r="B28" s="2991" t="s">
        <v>1925</v>
      </c>
      <c r="C28" s="2983">
        <v>44820</v>
      </c>
      <c r="D28" s="2991" t="s">
        <v>1926</v>
      </c>
      <c r="E28" s="2991" t="s">
        <v>1927</v>
      </c>
      <c r="F28" s="2992">
        <v>44377</v>
      </c>
    </row>
    <row r="29" spans="1:7" s="2975" customFormat="1" ht="20.25" customHeight="1">
      <c r="A29" s="2991"/>
      <c r="B29" s="2991"/>
      <c r="C29" s="2993"/>
      <c r="D29" s="2991" t="s">
        <v>1928</v>
      </c>
      <c r="E29" s="2991" t="s">
        <v>2985</v>
      </c>
      <c r="F29" s="2992">
        <v>44012</v>
      </c>
    </row>
    <row r="30" spans="1:7" ht="20.25" customHeight="1">
      <c r="C30" s="2994"/>
      <c r="D30" s="2994"/>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1702</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2536</v>
      </c>
      <c r="R1" s="2543" t="s">
        <v>2530</v>
      </c>
      <c r="S1" s="6" t="s">
        <v>146</v>
      </c>
      <c r="T1" s="7" t="s">
        <v>147</v>
      </c>
      <c r="U1" s="6" t="s">
        <v>148</v>
      </c>
      <c r="V1" s="6" t="s">
        <v>149</v>
      </c>
      <c r="W1" s="1002" t="s">
        <v>871</v>
      </c>
    </row>
    <row r="2" spans="1:23">
      <c r="A2" s="8" t="s">
        <v>73</v>
      </c>
      <c r="B2" s="8" t="s">
        <v>150</v>
      </c>
      <c r="C2" s="1534" t="s">
        <v>1703</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2531</v>
      </c>
      <c r="S2" s="9" t="s">
        <v>75</v>
      </c>
      <c r="T2" s="9" t="s">
        <v>76</v>
      </c>
      <c r="U2" s="9" t="s">
        <v>75</v>
      </c>
      <c r="V2" s="9" t="s">
        <v>77</v>
      </c>
      <c r="W2" s="9" t="s">
        <v>872</v>
      </c>
    </row>
    <row r="3" spans="1:23">
      <c r="A3" s="8" t="s">
        <v>78</v>
      </c>
      <c r="B3" s="10" t="s">
        <v>151</v>
      </c>
      <c r="C3" s="1535" t="s">
        <v>1704</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2532</v>
      </c>
      <c r="S3" s="9" t="s">
        <v>84</v>
      </c>
      <c r="T3" s="9" t="s">
        <v>85</v>
      </c>
      <c r="U3" s="9" t="s">
        <v>84</v>
      </c>
      <c r="V3" s="9" t="s">
        <v>86</v>
      </c>
      <c r="W3" s="9" t="s">
        <v>873</v>
      </c>
    </row>
    <row r="4" spans="1:23">
      <c r="A4" s="8" t="s">
        <v>87</v>
      </c>
      <c r="B4" s="8" t="s">
        <v>152</v>
      </c>
      <c r="C4" s="1534" t="s">
        <v>1705</v>
      </c>
      <c r="D4" s="9" t="s">
        <v>1986</v>
      </c>
      <c r="E4" s="9" t="s">
        <v>88</v>
      </c>
      <c r="F4" s="9" t="s">
        <v>89</v>
      </c>
      <c r="G4" s="9">
        <v>70</v>
      </c>
      <c r="H4" s="9" t="s">
        <v>90</v>
      </c>
      <c r="I4" s="9" t="s">
        <v>91</v>
      </c>
      <c r="K4" s="9" t="s">
        <v>92</v>
      </c>
      <c r="L4" s="9" t="s">
        <v>92</v>
      </c>
      <c r="M4" s="9" t="s">
        <v>92</v>
      </c>
      <c r="N4" s="9" t="s">
        <v>92</v>
      </c>
      <c r="O4" s="9" t="s">
        <v>92</v>
      </c>
      <c r="P4" s="1004" t="s">
        <v>760</v>
      </c>
      <c r="Q4" s="9" t="s">
        <v>92</v>
      </c>
      <c r="R4" s="1004" t="s">
        <v>2533</v>
      </c>
      <c r="S4" s="9" t="s">
        <v>92</v>
      </c>
      <c r="T4" s="9" t="s">
        <v>93</v>
      </c>
      <c r="U4" s="9" t="s">
        <v>92</v>
      </c>
      <c r="W4" s="9" t="s">
        <v>874</v>
      </c>
    </row>
    <row r="5" spans="1:23">
      <c r="A5" s="8" t="s">
        <v>94</v>
      </c>
      <c r="B5" s="8" t="s">
        <v>153</v>
      </c>
      <c r="C5" s="1534" t="s">
        <v>1706</v>
      </c>
      <c r="F5" s="9" t="s">
        <v>95</v>
      </c>
      <c r="H5" s="9" t="s">
        <v>70</v>
      </c>
      <c r="I5" s="9" t="s">
        <v>96</v>
      </c>
      <c r="K5" s="9" t="s">
        <v>97</v>
      </c>
      <c r="L5" s="9" t="s">
        <v>97</v>
      </c>
      <c r="M5" s="9" t="s">
        <v>97</v>
      </c>
      <c r="N5" s="9" t="s">
        <v>97</v>
      </c>
      <c r="O5" s="9" t="s">
        <v>97</v>
      </c>
      <c r="P5" s="1004" t="s">
        <v>546</v>
      </c>
      <c r="Q5" s="9" t="s">
        <v>97</v>
      </c>
      <c r="R5" s="1004" t="s">
        <v>2534</v>
      </c>
      <c r="S5" s="9" t="s">
        <v>97</v>
      </c>
      <c r="T5" s="9" t="s">
        <v>98</v>
      </c>
      <c r="U5" s="9" t="s">
        <v>97</v>
      </c>
      <c r="W5" s="9" t="s">
        <v>875</v>
      </c>
    </row>
    <row r="6" spans="1:23">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2535</v>
      </c>
      <c r="S6" s="9" t="s">
        <v>101</v>
      </c>
      <c r="T6" s="9"/>
      <c r="U6" s="9" t="s">
        <v>101</v>
      </c>
      <c r="W6" s="9" t="s">
        <v>876</v>
      </c>
    </row>
    <row r="7" spans="1:23">
      <c r="A7" s="8" t="s">
        <v>102</v>
      </c>
      <c r="B7" s="8" t="s">
        <v>103</v>
      </c>
      <c r="C7" s="1534" t="s">
        <v>1708</v>
      </c>
      <c r="F7" s="9" t="s">
        <v>154</v>
      </c>
      <c r="H7" s="9" t="s">
        <v>104</v>
      </c>
      <c r="I7" s="9" t="s">
        <v>105</v>
      </c>
    </row>
    <row r="8" spans="1:23">
      <c r="A8" s="8" t="s">
        <v>106</v>
      </c>
      <c r="B8" s="8" t="s">
        <v>107</v>
      </c>
      <c r="C8" s="1534" t="s">
        <v>1709</v>
      </c>
      <c r="F8" s="9" t="s">
        <v>155</v>
      </c>
      <c r="H8" s="9"/>
      <c r="I8" s="9" t="s">
        <v>108</v>
      </c>
    </row>
    <row r="9" spans="1:23">
      <c r="A9" s="8" t="s">
        <v>109</v>
      </c>
      <c r="B9" s="8" t="s">
        <v>156</v>
      </c>
      <c r="C9" s="1534" t="s">
        <v>1710</v>
      </c>
      <c r="F9" s="9" t="s">
        <v>110</v>
      </c>
      <c r="H9" s="9"/>
    </row>
    <row r="10" spans="1:23">
      <c r="A10" s="8" t="s">
        <v>111</v>
      </c>
      <c r="B10" s="8" t="s">
        <v>157</v>
      </c>
      <c r="C10" s="1534" t="s">
        <v>1711</v>
      </c>
      <c r="F10" s="9" t="s">
        <v>6</v>
      </c>
    </row>
    <row r="11" spans="1:23">
      <c r="A11" s="8" t="s">
        <v>112</v>
      </c>
      <c r="B11" s="8" t="s">
        <v>158</v>
      </c>
      <c r="C11" s="1534" t="s">
        <v>1712</v>
      </c>
    </row>
    <row r="12" spans="1:23">
      <c r="A12" s="8" t="s">
        <v>113</v>
      </c>
      <c r="B12" s="8" t="s">
        <v>159</v>
      </c>
      <c r="C12" s="1534" t="s">
        <v>1713</v>
      </c>
    </row>
    <row r="13" spans="1:23">
      <c r="A13" s="8" t="s">
        <v>114</v>
      </c>
      <c r="B13" s="8" t="s">
        <v>160</v>
      </c>
      <c r="C13" s="1534" t="s">
        <v>1714</v>
      </c>
    </row>
    <row r="14" spans="1:23">
      <c r="A14" s="8" t="s">
        <v>115</v>
      </c>
      <c r="B14" s="8" t="s">
        <v>161</v>
      </c>
      <c r="C14" s="1537" t="s">
        <v>1890</v>
      </c>
    </row>
    <row r="15" spans="1:23">
      <c r="A15" s="8" t="s">
        <v>116</v>
      </c>
      <c r="B15" s="3205" t="s">
        <v>3298</v>
      </c>
      <c r="C15" s="1537"/>
    </row>
    <row r="16" spans="1:23">
      <c r="A16" s="8" t="s">
        <v>117</v>
      </c>
      <c r="B16" s="3205" t="s">
        <v>3299</v>
      </c>
      <c r="C16" s="1537"/>
    </row>
    <row r="17" spans="1:3">
      <c r="A17" s="8" t="s">
        <v>118</v>
      </c>
      <c r="B17" s="3205" t="s">
        <v>3314</v>
      </c>
      <c r="C17" s="1537"/>
    </row>
    <row r="18" spans="1:3">
      <c r="A18" s="8" t="s">
        <v>119</v>
      </c>
      <c r="B18" s="2938" t="s">
        <v>2944</v>
      </c>
      <c r="C18" s="1537"/>
    </row>
    <row r="19" spans="1:3">
      <c r="A19" s="8" t="s">
        <v>120</v>
      </c>
      <c r="B19" s="2938" t="s">
        <v>2952</v>
      </c>
      <c r="C19" s="1537"/>
    </row>
    <row r="20" spans="1:3">
      <c r="A20" s="8" t="s">
        <v>121</v>
      </c>
      <c r="B20" s="8" t="s">
        <v>1638</v>
      </c>
      <c r="C20" s="1537"/>
    </row>
    <row r="21" spans="1:3">
      <c r="A21" s="8" t="s">
        <v>122</v>
      </c>
      <c r="B21" s="8" t="s">
        <v>1638</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1934</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1978</v>
      </c>
      <c r="B52" s="1750" t="s">
        <v>1979</v>
      </c>
      <c r="C52" s="1748" t="s">
        <v>1980</v>
      </c>
      <c r="D52" s="1748" t="s">
        <v>1981</v>
      </c>
      <c r="E52" s="1749"/>
    </row>
    <row r="53" spans="1:5">
      <c r="A53" s="3370" t="s">
        <v>1982</v>
      </c>
      <c r="B53" s="1748" t="s">
        <v>1988</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7日，在规划利用条件下、设定土地开发程度为红线外“七通”、宗地内场地，设定用途为，剩余土地使用年限为的出让国有建设用地使用权价格。</v>
      </c>
      <c r="D53" s="1749"/>
      <c r="E53" s="1749"/>
    </row>
    <row r="54" spans="1:5">
      <c r="A54" s="3370"/>
      <c r="B54" s="1748" t="s">
        <v>1989</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70"/>
      <c r="B55" s="1748" t="s">
        <v>1983</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70"/>
      <c r="B56" s="1748" t="s">
        <v>1984</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70"/>
      <c r="B57" s="1748" t="s">
        <v>1985</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2041</v>
      </c>
      <c r="B58" s="1748" t="s">
        <v>2042</v>
      </c>
      <c r="C58" s="11" t="s">
        <v>2043</v>
      </c>
      <c r="D58" s="1313" t="s">
        <v>2044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132</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最新土地案例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典型户型修正</vt:lpstr>
      <vt:lpstr>不动产比较法-商业</vt:lpstr>
      <vt:lpstr>不动产比较法-办公</vt:lpstr>
      <vt:lpstr>不动产比较法-工业</vt:lpstr>
      <vt:lpstr>不动产收益法商业</vt:lpstr>
      <vt:lpstr>不动产收益法办公</vt:lpstr>
      <vt:lpstr>不动产收益法车库</vt:lpstr>
      <vt:lpstr>评估动态信息</vt:lpstr>
      <vt:lpstr>2#4#1# 按揭回款</vt:lpstr>
      <vt:lpstr>已售住宅均价</vt:lpstr>
      <vt:lpstr>已售叠墅均价</vt:lpstr>
      <vt:lpstr>已售合院均价</vt:lpstr>
      <vt:lpstr>不动产比较法-车位</vt:lpstr>
      <vt:lpstr>不动产比较法-仓储</vt:lpstr>
      <vt:lpstr>存贷款利率</vt:lpstr>
      <vt:lpstr>'2#4#1# 按揭回款'!Print_Area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2020-08-10T02:07:00Z</dcterms:modified>
</cp:coreProperties>
</file>