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C411A7ED-632E-4EF0-B85B-A5355D7966A2}" xr6:coauthVersionLast="45" xr6:coauthVersionMax="45" xr10:uidLastSave="{00000000-0000-0000-0000-000000000000}"/>
  <bookViews>
    <workbookView xWindow="-120" yWindow="-120" windowWidth="19440" windowHeight="15000" tabRatio="875" firstSheet="10" activeTab="14"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最新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住宅案例" sheetId="71" r:id="rId35"/>
    <sheet name="典型户型修正" sheetId="31" r:id="rId36"/>
    <sheet name="不动产比较法-商业" sheetId="33" state="hidden" r:id="rId37"/>
    <sheet name="不动产比较法-办公" sheetId="34" state="hidden" r:id="rId38"/>
    <sheet name="不动产比较法-工业" sheetId="37" state="hidden" r:id="rId39"/>
    <sheet name="不动产收益法商业" sheetId="72" r:id="rId40"/>
    <sheet name="不动产收益法办公" sheetId="73" r:id="rId41"/>
    <sheet name="不动产收益法车库" sheetId="15" r:id="rId42"/>
    <sheet name="评估动态信息" sheetId="69" r:id="rId43"/>
    <sheet name="不动产比较法-车位" sheetId="35" state="hidden" r:id="rId44"/>
    <sheet name="不动产比较法-仓储" sheetId="36" state="hidden" r:id="rId45"/>
    <sheet name="存贷款利率" sheetId="65" state="hidden" r:id="rId46"/>
    <sheet name="Sheet6" sheetId="75" r:id="rId47"/>
  </sheets>
  <externalReferences>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2">'[1]不动产比较法-办公'!$B$119:$M$119</definedName>
    <definedName name="办公层高">'不动产比较法-办公'!$B$119:$M$119</definedName>
    <definedName name="办公朝向" localSheetId="42">'[1]不动产比较法-办公'!$B$91:$M$91</definedName>
    <definedName name="办公朝向">'不动产比较法-办公'!$B$91:$M$91</definedName>
    <definedName name="办公道路级别" localSheetId="42">'[1]不动产比较法-办公'!$B$87:$M$87</definedName>
    <definedName name="办公道路级别">'不动产比较法-办公'!$B$87:$M$87</definedName>
    <definedName name="办公公共部分装修" localSheetId="42">'[1]不动产比较法-办公'!$B$108:$M$108</definedName>
    <definedName name="办公公共部分装修">'不动产比较法-办公'!$B$108:$M$108</definedName>
    <definedName name="办公基础设施水平" localSheetId="42">'[1]不动产比较法-办公'!$B$117:$M$117</definedName>
    <definedName name="办公基础设施水平">'不动产比较法-办公'!$B$117:$M$117</definedName>
    <definedName name="办公集聚程度" localSheetId="42">[1]定义!$M$1:$M$6</definedName>
    <definedName name="办公集聚程度">定义!$M$1:$M$6</definedName>
    <definedName name="办公建筑结构" localSheetId="42">'[1]不动产比较法-办公'!$B$106:$M$106</definedName>
    <definedName name="办公建筑结构">'不动产比较法-办公'!$B$106:$M$106</definedName>
    <definedName name="办公建筑类型" localSheetId="42">'[1]不动产比较法-办公'!$B$101:$M$101</definedName>
    <definedName name="办公建筑类型">'不动产比较法-办公'!$B$101:$M$101</definedName>
    <definedName name="办公交易情况" localSheetId="42">'[1]不动产比较法-办公'!$A$62:$M$62</definedName>
    <definedName name="办公交易情况">'不动产比较法-办公'!$A$62:$M$62</definedName>
    <definedName name="办公楼层" localSheetId="42">'[1]不动产比较法-办公'!$B$89:$M$89</definedName>
    <definedName name="办公楼层">'不动产比较法-办公'!$B$89:$M$89</definedName>
    <definedName name="办公内部装修" localSheetId="42">'[1]不动产比较法-办公'!$B$123:$M$123</definedName>
    <definedName name="办公内部装修">'不动产比较法-办公'!$B$123:$M$123</definedName>
    <definedName name="办公物业管理" localSheetId="42">'[1]不动产比较法-办公'!$B$115:$M$115</definedName>
    <definedName name="办公物业管理">'不动产比较法-办公'!$B$115:$M$115</definedName>
    <definedName name="办公用途" localSheetId="42">'[1]不动产比较法-办公'!$B$64:$M$64</definedName>
    <definedName name="办公用途">'不动产比较法-办公'!$B$64:$M$64</definedName>
    <definedName name="仓储公共部分装修" localSheetId="42">'[1]不动产比较法-仓储'!$B$77:$M$77</definedName>
    <definedName name="仓储公共部分装修">'不动产比较法-仓储'!$B$77:$M$77</definedName>
    <definedName name="仓储交易情况" localSheetId="42">'[1]不动产比较法-仓储'!$A$49:$M$49</definedName>
    <definedName name="仓储交易情况">'不动产比较法-仓储'!$A$49:$M$49</definedName>
    <definedName name="仓储楼层" localSheetId="42">'[1]不动产比较法-仓储'!$B$69:$M$69</definedName>
    <definedName name="仓储楼层">'不动产比较法-仓储'!$B$69:$M$69</definedName>
    <definedName name="仓储物业等级" localSheetId="42">'[1]不动产比较法-仓储'!$B$82:$M$82</definedName>
    <definedName name="仓储物业等级">'不动产比较法-仓储'!$B$82:$M$82</definedName>
    <definedName name="仓储用途" localSheetId="42">'[1]不动产比较法-仓储'!$B$51:$M$51</definedName>
    <definedName name="仓储用途">'不动产比较法-仓储'!$B$51:$M$51</definedName>
    <definedName name="产业集聚程度" localSheetId="42">[1]定义!$N$1:$N$6</definedName>
    <definedName name="产业集聚程度">定义!$N$1:$N$6</definedName>
    <definedName name="车位公共部分装修" localSheetId="42">'[1]不动产比较法-车位'!$B$83:$M$83</definedName>
    <definedName name="车位公共部分装修">'不动产比较法-车位'!$B$83:$M$83</definedName>
    <definedName name="车位交易情况" localSheetId="42">'[1]不动产比较法-车位'!$A$51:$M$51</definedName>
    <definedName name="车位交易情况">'不动产比较法-车位'!$A$51:$M$51</definedName>
    <definedName name="车位类型" localSheetId="42">'[1]不动产比较法-车位'!$B$93:$M$93</definedName>
    <definedName name="车位类型">'不动产比较法-车位'!$B$93:$M$93</definedName>
    <definedName name="车位楼层" localSheetId="42">'[1]不动产比较法-车位'!$B$71:$M$71</definedName>
    <definedName name="车位楼层">'不动产比较法-车位'!$B$71:$M$71</definedName>
    <definedName name="车位配套类型" localSheetId="42">'[1]不动产比较法-车位'!$B$79:$M$79</definedName>
    <definedName name="车位配套类型">'不动产比较法-车位'!$B$79:$M$79</definedName>
    <definedName name="车位物业等级" localSheetId="42">'[1]不动产比较法-车位'!$B$88:$M$88</definedName>
    <definedName name="车位物业等级">'不动产比较法-车位'!$B$88:$M$88</definedName>
    <definedName name="车位用途" localSheetId="42">'[1]不动产比较法-车位'!$B$53:$M$53</definedName>
    <definedName name="车位用途">'不动产比较法-车位'!$B$53:$M$53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区片价!$J$1:$J$20</definedName>
    <definedName name="二级分类" localSheetId="42">[1]修正!$C$17:$C$39</definedName>
    <definedName name="二级分类">修正!$C$17:$C$39</definedName>
    <definedName name="法定最高年限" localSheetId="42">[1]定义!$G$2:$G$4</definedName>
    <definedName name="法定最高年限">定义!$G$2:$G$4</definedName>
    <definedName name="工业公共部分装修" localSheetId="42">'[1]不动产比较法-工业'!$B$95:$M$95</definedName>
    <definedName name="工业公共部分装修">'不动产比较法-工业'!$B$95:$M$95</definedName>
    <definedName name="工业基础设施水平" localSheetId="42">'[1]不动产比较法-工业'!$B$102:$M$102</definedName>
    <definedName name="工业基础设施水平">'不动产比较法-工业'!$B$102:$M$102</definedName>
    <definedName name="工业建筑结构" localSheetId="42">'[1]不动产比较法-工业'!$B$93:$M$93</definedName>
    <definedName name="工业建筑结构">'不动产比较法-工业'!$B$93:$M$93</definedName>
    <definedName name="工业建筑类型" localSheetId="42">'[1]不动产比较法-工业'!$B$88:$M$88</definedName>
    <definedName name="工业建筑类型">'不动产比较法-工业'!$B$88:$M$88</definedName>
    <definedName name="工业交易情况" localSheetId="42">'[1]不动产比较法-工业'!$A$55:$M$55</definedName>
    <definedName name="工业交易情况">'不动产比较法-工业'!$A$55:$M$55</definedName>
    <definedName name="工业内部装修" localSheetId="42">'[1]不动产比较法-工业'!$B$104:$M$104</definedName>
    <definedName name="工业内部装修">'不动产比较法-工业'!$B$104:$M$104</definedName>
    <definedName name="工业物业管理" localSheetId="42">'[1]不动产比较法-工业'!$B$100:$M$100</definedName>
    <definedName name="工业物业管理">'不动产比较法-工业'!$B$100:$M$100</definedName>
    <definedName name="工业用途" localSheetId="42">'[1]不动产比较法-工业'!$B$57:$M$57</definedName>
    <definedName name="工业用途">'不动产比较法-工业'!$B$57:$M$57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基准地价!$N$19:$AB$19</definedName>
    <definedName name="季度2014">地价!$A$2:$A$31</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区片价!$O$1:$O$49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区片价!$K$1:$K$21</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定义!$L$1:$L$6</definedName>
    <definedName name="商业公共部分装修" localSheetId="42">'[1]不动产比较法-商业'!$B$107:$M$107</definedName>
    <definedName name="商业公共部分装修">'不动产比较法-商业'!$B$107:$M$107</definedName>
    <definedName name="商业基础设施水平" localSheetId="42">'[1]不动产比较法-商业'!$B$112:$M$112</definedName>
    <definedName name="商业基础设施水平">'不动产比较法-商业'!$B$112:$M$112</definedName>
    <definedName name="商业建筑结构" localSheetId="42">'[1]不动产比较法-商业'!$B$105:$M$105</definedName>
    <definedName name="商业建筑结构">'不动产比较法-商业'!$B$105:$M$105</definedName>
    <definedName name="商业交易情况" localSheetId="42">'[1]不动产比较法-商业'!$A$61:$M$61</definedName>
    <definedName name="商业交易情况">'不动产比较法-商业'!$A$61:$M$61</definedName>
    <definedName name="商业街名称" localSheetId="42">[1]修正!$C$59:$C$119</definedName>
    <definedName name="商业街名称">修正!$C$59:$C$119</definedName>
    <definedName name="商业进深比" localSheetId="42">'[1]不动产比较法-商业'!$B$120:$M$120</definedName>
    <definedName name="商业进深比">'不动产比较法-商业'!$B$120:$M$120</definedName>
    <definedName name="商业类型" localSheetId="42">'[1]不动产比较法-商业'!$B$100:$M$100</definedName>
    <definedName name="商业类型">'不动产比较法-商业'!$B$100:$M$100</definedName>
    <definedName name="商业临街状况" localSheetId="42">'[1]不动产比较法-商业'!$B$86:$M$86</definedName>
    <definedName name="商业临街状况">'不动产比较法-商业'!$B$86:$M$86</definedName>
    <definedName name="商业楼层" localSheetId="42">'[1]不动产比较法-商业'!$B$92:$M$92</definedName>
    <definedName name="商业楼层">'不动产比较法-商业'!$B$92:$M$92</definedName>
    <definedName name="商业内部装修" localSheetId="42">'[1]不动产比较法-商业'!$B$122:$M$122</definedName>
    <definedName name="商业内部装修">'不动产比较法-商业'!$B$122:$M$122</definedName>
    <definedName name="商业人流量" localSheetId="42">'[1]不动产比较法-商业'!$B$90:$M$90</definedName>
    <definedName name="商业人流量">'不动产比较法-商业'!$B$90:$M$90</definedName>
    <definedName name="商业业态" localSheetId="42">'[1]不动产比较法-商业'!$B$114:$M$114</definedName>
    <definedName name="商业业态">'不动产比较法-商业'!$B$114:$M$114</definedName>
    <definedName name="商业用途" localSheetId="4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'[1]不动产比较法-仓储'!$B$89:$M$89</definedName>
    <definedName name="是否封闭">'不动产比较法-仓储'!$B$89:$M$89</definedName>
    <definedName name="是否直接入户" localSheetId="42">'[1]不动产比较法-车位'!$B$95:$M$95</definedName>
    <definedName name="是否直接入户">'不动产比较法-车位'!$B$95:$M$95</definedName>
    <definedName name="四级">区片价!$L$1:$L$28</definedName>
    <definedName name="套工道路等级">'[2]土地比较法-工业'!$B$97:$M$97</definedName>
    <definedName name="套工地质条件">'[2]土地比较法-工业'!$B$114:$M$114</definedName>
    <definedName name="套工工程地质条件" localSheetId="42">'[1]比较法-工业'!$B$116:$M$116</definedName>
    <definedName name="套工工程地质条件">'比较法-工业'!$B$116:$M$116</definedName>
    <definedName name="套工交易情况" localSheetId="42">'[1]比较法-住宅、综合'!$A$75:$M$75</definedName>
    <definedName name="套工交易情况">'比较法-住宅、综合'!$A$75:$M$75</definedName>
    <definedName name="套工开发程度" localSheetId="42">'[1]比较法-工业'!$B$114:$M$114</definedName>
    <definedName name="套工开发程度">'比较法-工业'!$B$114:$M$114</definedName>
    <definedName name="套工临街等级" localSheetId="42">'[1]比较法-工业'!$B$99:$M$99</definedName>
    <definedName name="套工临街等级">'比较法-工业'!$B$99:$M$99</definedName>
    <definedName name="套工土地级别" localSheetId="42">'[1]比较法-工业'!$B$101:$M$101</definedName>
    <definedName name="套工土地级别">'比较法-工业'!$B$101:$M$101</definedName>
    <definedName name="套工用途" localSheetId="42">'[1]比较法-工业'!$B$72:$M$72</definedName>
    <definedName name="套工用途">'比较法-工业'!$B$72:$M$72</definedName>
    <definedName name="套工宗地开发程度">'[2]土地比较法-工业'!$B$112:$M$112</definedName>
    <definedName name="套工宗地形状" localSheetId="42">'[1]比较法-工业'!$B$112:$M$112</definedName>
    <definedName name="套工宗地形状">'比较法-工业'!$B$112:$M$112</definedName>
    <definedName name="套综道路等级" localSheetId="42">'[1]比较法-住宅、综合'!$B$108:$M$108</definedName>
    <definedName name="套综道路等级">'比较法-住宅、综合'!$B$108:$M$108</definedName>
    <definedName name="套综工程地质条件" localSheetId="42">'[1]比较法-住宅、综合'!$B$127:$M$127</definedName>
    <definedName name="套综工程地质条件">'比较法-住宅、综合'!$B$127:$M$127</definedName>
    <definedName name="套综交易情况" localSheetId="42">'[1]比较法-住宅、综合'!$A$75:$M$75</definedName>
    <definedName name="套综交易情况">'比较法-住宅、综合'!$A$75:$M$75</definedName>
    <definedName name="套综临街宽度及深度" localSheetId="42">'[1]比较法-住宅、综合'!$B$123:$M$123</definedName>
    <definedName name="套综临街宽度及深度">'比较法-住宅、综合'!$B$123:$M$123</definedName>
    <definedName name="套综土地级别" localSheetId="42">'[1]比较法-住宅、综合'!$B$110:$M$110</definedName>
    <definedName name="套综土地级别">'比较法-住宅、综合'!$B$110:$M$110</definedName>
    <definedName name="套综用途" localSheetId="42">'[1]比较法-住宅、综合'!$B$77:$M$77</definedName>
    <definedName name="套综用途">'比较法-住宅、综合'!$B$77:$M$77</definedName>
    <definedName name="套综宗地内开发程度" localSheetId="42">'[1]比较法-住宅、综合'!$B$125:$M$125</definedName>
    <definedName name="套综宗地内开发程度">'比较法-住宅、综合'!$B$125:$M$125</definedName>
    <definedName name="套综宗地形状" localSheetId="42">'[1]比较法-住宅、综合'!$B$121:$M$121</definedName>
    <definedName name="套综宗地形状">'比较法-住宅、综合'!$B$121:$M$121</definedName>
    <definedName name="土地估价师" localSheetId="42">[1]估价师及机构信息!$D$3:$D$24</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区片价!$M$1:$M$35</definedName>
    <definedName name="项目类型" localSheetId="42">'[1]数据-汇总表'!$C$17:$C$26</definedName>
    <definedName name="项目类型">'数据-汇总表'!$C$17:$C$26</definedName>
    <definedName name="写字楼等级" localSheetId="42">'[1]不动产比较法-办公'!$B$113:$M$113</definedName>
    <definedName name="写字楼等级">'不动产比较法-办公'!$B$113:$M$113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类型" localSheetId="42">[1]定义!$A$1:$A$50</definedName>
    <definedName name="用途类型">定义!$A$1:$A$50</definedName>
    <definedName name="用途明细">[2]定义!$A$1:$A$50</definedName>
    <definedName name="有无电梯" localSheetId="42">'[1]不动产比较法-仓储'!$B$84:$M$84</definedName>
    <definedName name="有无电梯">'不动产比较法-仓储'!$B$84:$M$84</definedName>
    <definedName name="主用途" localSheetId="42">[1]定义!$F$1:$F$10</definedName>
    <definedName name="主用途">定义!$F$1:$F$10</definedName>
    <definedName name="住宅朝向" localSheetId="42">'[1]不动产比较法-住宅'!$B$88:$M$88</definedName>
    <definedName name="住宅朝向">'不动产比较法-住宅'!$B$88:$M$88</definedName>
    <definedName name="住宅房型" localSheetId="42">'[1]不动产比较法-住宅'!$B$118:$M$118</definedName>
    <definedName name="住宅房型">'不动产比较法-住宅'!$B$118:$M$118</definedName>
    <definedName name="住宅公共部分装修" localSheetId="42">'[1]不动产比较法-住宅'!$B$109:$M$109</definedName>
    <definedName name="住宅公共部分装修">'不动产比较法-住宅'!$B$109:$M$109</definedName>
    <definedName name="住宅基础设施水平" localSheetId="42">'[1]不动产比较法-住宅'!$B$116:$M$116</definedName>
    <definedName name="住宅基础设施水平">'不动产比较法-住宅'!$B$116:$M$116</definedName>
    <definedName name="住宅建筑结构" localSheetId="42">'[1]不动产比较法-住宅'!$B$105:$M$105</definedName>
    <definedName name="住宅建筑结构">'不动产比较法-住宅'!$B$105:$M$105</definedName>
    <definedName name="住宅建筑类型" localSheetId="42">'[1]不动产比较法-住宅'!$B$100:$M$100</definedName>
    <definedName name="住宅建筑类型">'不动产比较法-住宅'!$B$100:$M$100</definedName>
    <definedName name="住宅建筑品质" localSheetId="42">'[1]不动产比较法-住宅'!$B$107:$M$107</definedName>
    <definedName name="住宅建筑品质">'不动产比较法-住宅'!$B$107:$M$107</definedName>
    <definedName name="住宅交易情况" localSheetId="42">'[1]不动产比较法-住宅'!$A$61:$M$61</definedName>
    <definedName name="住宅交易情况">'不动产比较法-住宅'!$A$61:$M$61</definedName>
    <definedName name="住宅楼层" localSheetId="42">'[1]不动产比较法-住宅'!$B$86:$M$86</definedName>
    <definedName name="住宅楼层">'不动产比较法-住宅'!$B$86:$M$86</definedName>
    <definedName name="住宅内部装修" localSheetId="42">'[1]不动产比较法-住宅'!$B$122:$M$122</definedName>
    <definedName name="住宅内部装修">'不动产比较法-住宅'!$B$122:$M$122</definedName>
    <definedName name="住宅物业管理" localSheetId="42">'[1]不动产比较法-住宅'!$B$114:$M$114</definedName>
    <definedName name="住宅物业管理">'不动产比较法-住宅'!$B$114:$M$114</definedName>
    <definedName name="住宅用途" localSheetId="42">'[1]不动产比较法-住宅'!$B$63:$M$63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iterate="1"/>
</workbook>
</file>

<file path=xl/calcChain.xml><?xml version="1.0" encoding="utf-8"?>
<calcChain xmlns="http://schemas.openxmlformats.org/spreadsheetml/2006/main">
  <c r="W21" i="1" l="1"/>
  <c r="W20" i="1"/>
  <c r="F34" i="6"/>
  <c r="I40" i="39" l="1"/>
  <c r="G40" i="39"/>
  <c r="E40" i="39"/>
  <c r="I9" i="39"/>
  <c r="I7" i="39"/>
  <c r="G9" i="39"/>
  <c r="G7" i="39"/>
  <c r="E9" i="39"/>
  <c r="E7" i="39"/>
  <c r="Q73" i="73" l="1"/>
  <c r="Q60" i="73"/>
  <c r="D60" i="73"/>
  <c r="Q59" i="73"/>
  <c r="K59" i="73"/>
  <c r="P75" i="73" s="1"/>
  <c r="F58" i="73"/>
  <c r="Q52" i="73"/>
  <c r="J50" i="73"/>
  <c r="J51" i="73" s="1"/>
  <c r="M47" i="73"/>
  <c r="F33" i="73"/>
  <c r="F60" i="73" s="1"/>
  <c r="F31" i="73"/>
  <c r="F23" i="73"/>
  <c r="D23" i="73" s="1"/>
  <c r="F21" i="73"/>
  <c r="F20" i="73"/>
  <c r="M19" i="73"/>
  <c r="F18" i="73"/>
  <c r="M17" i="73"/>
  <c r="F17" i="73"/>
  <c r="F15" i="73"/>
  <c r="Q73" i="72"/>
  <c r="Q60" i="72"/>
  <c r="D60" i="72"/>
  <c r="Q59" i="72"/>
  <c r="K59" i="72"/>
  <c r="P75" i="72" s="1"/>
  <c r="F58" i="72"/>
  <c r="Q52" i="72"/>
  <c r="J51" i="72"/>
  <c r="J50" i="72"/>
  <c r="M47" i="72"/>
  <c r="F33" i="72"/>
  <c r="F60" i="72" s="1"/>
  <c r="F31" i="72"/>
  <c r="F23" i="72"/>
  <c r="D24" i="72" s="1"/>
  <c r="D23" i="72"/>
  <c r="D22" i="72"/>
  <c r="F21" i="72"/>
  <c r="F20" i="72"/>
  <c r="M19" i="72"/>
  <c r="F18" i="72"/>
  <c r="M17" i="72"/>
  <c r="F17" i="72"/>
  <c r="F15" i="72"/>
  <c r="P62" i="72" l="1"/>
  <c r="D24" i="73"/>
  <c r="P62" i="73"/>
  <c r="D22" i="73"/>
  <c r="D73" i="39"/>
  <c r="E73" i="39" s="1"/>
  <c r="F73" i="39" s="1"/>
  <c r="G73" i="39" s="1"/>
  <c r="H73" i="39" s="1"/>
  <c r="I73" i="39" s="1"/>
  <c r="J73" i="39" s="1"/>
  <c r="K73" i="39" s="1"/>
  <c r="L73" i="39" s="1"/>
  <c r="M73" i="39" s="1"/>
  <c r="N73" i="39" s="1"/>
  <c r="D5" i="69"/>
  <c r="D4" i="69"/>
  <c r="N12" i="1"/>
  <c r="J12" i="1"/>
  <c r="I12" i="1"/>
  <c r="H12" i="1"/>
  <c r="Q8" i="1"/>
  <c r="Q7" i="1"/>
  <c r="N14" i="1"/>
  <c r="N11" i="1"/>
  <c r="N10" i="1"/>
  <c r="N9" i="1"/>
  <c r="N8" i="1"/>
  <c r="N7" i="1"/>
  <c r="L8" i="1"/>
  <c r="L7" i="1"/>
  <c r="J10" i="1"/>
  <c r="I10" i="1"/>
  <c r="H10" i="1"/>
  <c r="J8" i="1"/>
  <c r="I8" i="1"/>
  <c r="H8" i="1"/>
  <c r="J7" i="1"/>
  <c r="I7" i="1"/>
  <c r="H7" i="1"/>
  <c r="G24" i="6"/>
  <c r="AN13" i="3"/>
  <c r="F25" i="6"/>
  <c r="F23" i="6"/>
  <c r="F22" i="6"/>
  <c r="H56" i="68"/>
  <c r="F56" i="68"/>
  <c r="M13" i="3" s="1"/>
  <c r="J56" i="68"/>
  <c r="I56" i="68"/>
  <c r="G56" i="68"/>
  <c r="E56" i="68"/>
  <c r="K13" i="3" s="1"/>
  <c r="D56" i="68"/>
  <c r="A3" i="3"/>
  <c r="C40" i="39" s="1"/>
  <c r="B25" i="31" l="1"/>
  <c r="I13" i="3"/>
  <c r="F20" i="6"/>
  <c r="B26" i="31"/>
  <c r="F21" i="6"/>
  <c r="I7" i="6"/>
  <c r="AH5" i="59"/>
  <c r="AG5" i="59"/>
  <c r="AE5" i="59"/>
  <c r="AF5" i="59" s="1"/>
  <c r="AD5" i="59"/>
  <c r="Q5" i="59"/>
  <c r="P5" i="59"/>
  <c r="O5" i="59"/>
  <c r="N5" i="59"/>
  <c r="B24" i="31" l="1"/>
  <c r="F19" i="6"/>
  <c r="A21" i="31"/>
  <c r="C109" i="9" l="1"/>
  <c r="AH6" i="59" l="1"/>
  <c r="AG6" i="59"/>
  <c r="AE6" i="59"/>
  <c r="AF6" i="59" s="1"/>
  <c r="AD6" i="59"/>
  <c r="Q6" i="59"/>
  <c r="P6" i="59"/>
  <c r="O6" i="59"/>
  <c r="N6" i="59"/>
  <c r="Q8" i="59" l="1"/>
  <c r="P8" i="59"/>
  <c r="O8" i="59"/>
  <c r="N8" i="59"/>
  <c r="AH7" i="59"/>
  <c r="AG7" i="59"/>
  <c r="AE7" i="59"/>
  <c r="AF7" i="59" s="1"/>
  <c r="AD7" i="59"/>
  <c r="Q7" i="59"/>
  <c r="P7" i="59"/>
  <c r="O7" i="59"/>
  <c r="N7" i="59"/>
  <c r="AH8" i="59"/>
  <c r="AG8" i="59"/>
  <c r="AE8" i="59"/>
  <c r="AF8" i="59"/>
  <c r="AD8" i="59"/>
  <c r="Q9" i="59"/>
  <c r="Q10" i="59"/>
  <c r="P9" i="59"/>
  <c r="P10" i="59"/>
  <c r="O9" i="59"/>
  <c r="O10" i="59"/>
  <c r="N9" i="59"/>
  <c r="N10" i="59"/>
  <c r="AH9" i="59"/>
  <c r="AG9" i="59"/>
  <c r="AE9" i="59"/>
  <c r="AF9" i="59" s="1"/>
  <c r="AD9" i="59"/>
  <c r="F25" i="12"/>
  <c r="AH10" i="59"/>
  <c r="AG10" i="59"/>
  <c r="AE10" i="59"/>
  <c r="AF10" i="59" s="1"/>
  <c r="AD10" i="59"/>
  <c r="M15" i="49"/>
  <c r="L15" i="49"/>
  <c r="K15" i="49"/>
  <c r="J15" i="49"/>
  <c r="I15" i="49"/>
  <c r="H15" i="49"/>
  <c r="G15" i="49"/>
  <c r="F15" i="49"/>
  <c r="E15" i="49"/>
  <c r="D15" i="49"/>
  <c r="C15" i="49"/>
  <c r="B15" i="49"/>
  <c r="AH11" i="59"/>
  <c r="AG11" i="59"/>
  <c r="AE11" i="59"/>
  <c r="AF11" i="59" s="1"/>
  <c r="AD11" i="59"/>
  <c r="Q11" i="59"/>
  <c r="P11" i="59"/>
  <c r="O11" i="59"/>
  <c r="N11" i="59"/>
  <c r="L3" i="59"/>
  <c r="AH3" i="59" s="1"/>
  <c r="K3" i="59"/>
  <c r="AG3" i="59" s="1"/>
  <c r="J3" i="59"/>
  <c r="AE3" i="59" s="1"/>
  <c r="AF3" i="59" s="1"/>
  <c r="I3" i="59"/>
  <c r="AD3" i="59" s="1"/>
  <c r="AH12" i="59"/>
  <c r="AG12" i="59"/>
  <c r="AE12" i="59"/>
  <c r="AF12" i="59" s="1"/>
  <c r="AD12" i="59"/>
  <c r="Q12" i="59"/>
  <c r="Q13" i="59"/>
  <c r="P12" i="59"/>
  <c r="P13" i="59"/>
  <c r="O12" i="59"/>
  <c r="O13" i="59"/>
  <c r="N12" i="59"/>
  <c r="N13" i="59"/>
  <c r="AH13" i="59"/>
  <c r="AG13" i="59"/>
  <c r="AE13" i="59"/>
  <c r="AF13" i="59"/>
  <c r="AD13" i="59"/>
  <c r="Q14" i="59"/>
  <c r="P14" i="59"/>
  <c r="O14" i="59"/>
  <c r="N14" i="59"/>
  <c r="M19" i="46"/>
  <c r="J50" i="15"/>
  <c r="J51" i="15" s="1"/>
  <c r="D16" i="59"/>
  <c r="AH14" i="59"/>
  <c r="AG14" i="59"/>
  <c r="AE14" i="59"/>
  <c r="AF14" i="59"/>
  <c r="AD14" i="59"/>
  <c r="AE15" i="59"/>
  <c r="AF15" i="59" s="1"/>
  <c r="AG15" i="59"/>
  <c r="AH15" i="59"/>
  <c r="AD15" i="59"/>
  <c r="Q15" i="59"/>
  <c r="P15" i="59"/>
  <c r="O15" i="59"/>
  <c r="N15" i="59"/>
  <c r="N16" i="59"/>
  <c r="Q16" i="59"/>
  <c r="P16" i="59"/>
  <c r="O16" i="59"/>
  <c r="K59" i="15"/>
  <c r="P62" i="15" s="1"/>
  <c r="P75" i="15"/>
  <c r="Q74" i="44"/>
  <c r="Q61" i="44"/>
  <c r="Q60" i="44"/>
  <c r="Q53" i="44"/>
  <c r="J51" i="44"/>
  <c r="J52" i="44"/>
  <c r="M48" i="44"/>
  <c r="A16" i="55"/>
  <c r="A15" i="55"/>
  <c r="B66" i="63"/>
  <c r="A10" i="55"/>
  <c r="B61" i="63"/>
  <c r="A9" i="55"/>
  <c r="B60" i="63"/>
  <c r="A8" i="55"/>
  <c r="A6" i="54"/>
  <c r="A8" i="54"/>
  <c r="A7" i="54"/>
  <c r="A27" i="51"/>
  <c r="B20" i="63" s="1"/>
  <c r="Q17" i="59"/>
  <c r="O17" i="59"/>
  <c r="N18" i="59"/>
  <c r="O18" i="59"/>
  <c r="P18" i="59"/>
  <c r="Q18" i="59"/>
  <c r="N17" i="59"/>
  <c r="P17" i="59"/>
  <c r="K75" i="9"/>
  <c r="K6" i="4"/>
  <c r="L76" i="9" s="1"/>
  <c r="B22" i="31"/>
  <c r="E15" i="66"/>
  <c r="F15" i="66"/>
  <c r="E16" i="66"/>
  <c r="F16" i="66"/>
  <c r="E17" i="66"/>
  <c r="F17" i="66"/>
  <c r="E18" i="66"/>
  <c r="F18" i="66"/>
  <c r="E19" i="66"/>
  <c r="F19" i="66"/>
  <c r="E20" i="66"/>
  <c r="F20" i="66"/>
  <c r="E21" i="66"/>
  <c r="F21" i="66"/>
  <c r="E22" i="66"/>
  <c r="F22" i="66"/>
  <c r="E23" i="66"/>
  <c r="F23" i="66"/>
  <c r="B3" i="66"/>
  <c r="E15" i="59"/>
  <c r="E14" i="59" s="1"/>
  <c r="E13" i="59"/>
  <c r="E12" i="59" s="1"/>
  <c r="E11" i="59" s="1"/>
  <c r="E10" i="59" s="1"/>
  <c r="E9" i="59" s="1"/>
  <c r="E8" i="59" s="1"/>
  <c r="F15" i="59"/>
  <c r="V15" i="59" s="1"/>
  <c r="U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H30" i="59"/>
  <c r="AG30" i="59"/>
  <c r="AE30" i="59"/>
  <c r="AF30" i="59" s="1"/>
  <c r="AD30" i="59"/>
  <c r="AD31" i="59"/>
  <c r="AE31" i="59"/>
  <c r="AF31" i="59" s="1"/>
  <c r="AG31" i="59"/>
  <c r="AH31" i="59"/>
  <c r="S2" i="31"/>
  <c r="M2" i="31"/>
  <c r="N2" i="31"/>
  <c r="O2" i="31"/>
  <c r="P2" i="31"/>
  <c r="Q2" i="31"/>
  <c r="R2" i="31"/>
  <c r="C15" i="59"/>
  <c r="C14" i="59"/>
  <c r="C3" i="65"/>
  <c r="C1" i="65"/>
  <c r="N1" i="65" s="1"/>
  <c r="T15" i="59"/>
  <c r="D15" i="59"/>
  <c r="B76" i="63"/>
  <c r="M5" i="54"/>
  <c r="A23" i="51"/>
  <c r="Y12" i="46"/>
  <c r="AA9" i="46"/>
  <c r="AB9" i="46"/>
  <c r="AB10" i="46"/>
  <c r="AC9" i="46"/>
  <c r="AD9" i="46"/>
  <c r="AD10" i="46" s="1"/>
  <c r="AE9" i="46"/>
  <c r="AF9" i="46"/>
  <c r="AF10" i="46" s="1"/>
  <c r="AG9" i="46"/>
  <c r="AG10" i="46" s="1"/>
  <c r="AH9" i="46"/>
  <c r="AH10" i="46"/>
  <c r="AI9" i="46"/>
  <c r="AJ9" i="46"/>
  <c r="AJ10" i="46" s="1"/>
  <c r="Z9" i="46"/>
  <c r="Z10" i="46" s="1"/>
  <c r="AI10" i="46"/>
  <c r="AE10" i="46"/>
  <c r="AC10" i="46"/>
  <c r="AA10" i="46"/>
  <c r="Y10" i="46"/>
  <c r="Z12" i="46"/>
  <c r="AI12" i="46"/>
  <c r="AG12" i="46"/>
  <c r="AE12" i="46"/>
  <c r="AC12" i="46"/>
  <c r="AA12" i="46"/>
  <c r="B73" i="63"/>
  <c r="A21" i="64"/>
  <c r="B75" i="63" s="1"/>
  <c r="A27" i="64"/>
  <c r="A15" i="64"/>
  <c r="A14" i="64"/>
  <c r="A11" i="64"/>
  <c r="A3" i="64"/>
  <c r="A45" i="9"/>
  <c r="A44" i="9"/>
  <c r="C57" i="10"/>
  <c r="A28" i="51" s="1"/>
  <c r="C56" i="10"/>
  <c r="C55" i="10"/>
  <c r="C54" i="10"/>
  <c r="A26" i="51" s="1"/>
  <c r="B19" i="63" s="1"/>
  <c r="B49" i="63"/>
  <c r="B44" i="63"/>
  <c r="B40" i="63"/>
  <c r="B30" i="63"/>
  <c r="B27" i="63"/>
  <c r="B25" i="63"/>
  <c r="A11" i="51"/>
  <c r="A26" i="64"/>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s="1"/>
  <c r="A4" i="55"/>
  <c r="B57" i="63" s="1"/>
  <c r="B41" i="63"/>
  <c r="G5" i="54"/>
  <c r="B34" i="63"/>
  <c r="E5" i="54"/>
  <c r="B32" i="63"/>
  <c r="R2" i="54"/>
  <c r="B24" i="63"/>
  <c r="B49" i="50"/>
  <c r="B5" i="63" s="1"/>
  <c r="B40" i="50"/>
  <c r="B3" i="63" s="1"/>
  <c r="N4" i="63"/>
  <c r="B21" i="63"/>
  <c r="B67" i="63"/>
  <c r="I19" i="46"/>
  <c r="Q19" i="59"/>
  <c r="P19" i="59"/>
  <c r="E19" i="59" s="1"/>
  <c r="U19" i="59" s="1"/>
  <c r="O19" i="59"/>
  <c r="N19" i="59"/>
  <c r="B19" i="59" s="1"/>
  <c r="D80" i="59"/>
  <c r="F79" i="59"/>
  <c r="E79" i="59"/>
  <c r="E78" i="59" s="1"/>
  <c r="E77" i="59" s="1"/>
  <c r="C79" i="59"/>
  <c r="D79" i="59"/>
  <c r="B79" i="59"/>
  <c r="F78" i="59"/>
  <c r="F77" i="59" s="1"/>
  <c r="B78" i="59"/>
  <c r="B77" i="59" s="1"/>
  <c r="D76" i="59"/>
  <c r="F75" i="59"/>
  <c r="E75" i="59"/>
  <c r="E74" i="59" s="1"/>
  <c r="E73" i="59"/>
  <c r="C75" i="59"/>
  <c r="D75" i="59"/>
  <c r="B75" i="59"/>
  <c r="F74" i="59"/>
  <c r="F73" i="59" s="1"/>
  <c r="B74" i="59"/>
  <c r="B73" i="59" s="1"/>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s="1"/>
  <c r="E67" i="59"/>
  <c r="U67" i="59" s="1"/>
  <c r="C67" i="59"/>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E59" i="59"/>
  <c r="E58" i="59" s="1"/>
  <c r="P58" i="59"/>
  <c r="C59" i="59"/>
  <c r="B59" i="59"/>
  <c r="D56" i="59"/>
  <c r="Q55" i="59"/>
  <c r="P55" i="59"/>
  <c r="O55" i="59"/>
  <c r="N55" i="59"/>
  <c r="Q54" i="59"/>
  <c r="P54" i="59"/>
  <c r="O54" i="59"/>
  <c r="N54" i="59"/>
  <c r="Q53" i="59"/>
  <c r="P53" i="59"/>
  <c r="O53" i="59"/>
  <c r="N53" i="59"/>
  <c r="Q52" i="59"/>
  <c r="F53" i="59" s="1"/>
  <c r="P52" i="59"/>
  <c r="E53" i="59" s="1"/>
  <c r="E54" i="59" s="1"/>
  <c r="E55" i="59" s="1"/>
  <c r="U55" i="59"/>
  <c r="O52" i="59"/>
  <c r="C53" i="59"/>
  <c r="C54" i="59" s="1"/>
  <c r="D54" i="59" s="1"/>
  <c r="N52" i="59"/>
  <c r="B53" i="59"/>
  <c r="B54" i="59" s="1"/>
  <c r="B55" i="59" s="1"/>
  <c r="S55" i="59" s="1"/>
  <c r="D52" i="59"/>
  <c r="Q51" i="59"/>
  <c r="P51" i="59"/>
  <c r="O51" i="59"/>
  <c r="N51" i="59"/>
  <c r="Q50" i="59"/>
  <c r="P50" i="59"/>
  <c r="O50" i="59"/>
  <c r="N50" i="59"/>
  <c r="Q49" i="59"/>
  <c r="P49" i="59"/>
  <c r="O49" i="59"/>
  <c r="N49" i="59"/>
  <c r="Q48" i="59"/>
  <c r="F49" i="59"/>
  <c r="P48" i="59"/>
  <c r="E49" i="59"/>
  <c r="E50" i="59" s="1"/>
  <c r="E51" i="59" s="1"/>
  <c r="U51" i="59" s="1"/>
  <c r="O48" i="59"/>
  <c r="C49" i="59" s="1"/>
  <c r="N48" i="59"/>
  <c r="B49" i="59" s="1"/>
  <c r="B50" i="59"/>
  <c r="B51" i="59" s="1"/>
  <c r="S51" i="59" s="1"/>
  <c r="D48" i="59"/>
  <c r="Q47" i="59"/>
  <c r="P47" i="59"/>
  <c r="O47" i="59"/>
  <c r="N47" i="59"/>
  <c r="Q46" i="59"/>
  <c r="P46" i="59"/>
  <c r="O46" i="59"/>
  <c r="N46" i="59"/>
  <c r="Q45" i="59"/>
  <c r="P45" i="59"/>
  <c r="O45" i="59"/>
  <c r="N45" i="59"/>
  <c r="Q44" i="59"/>
  <c r="F45" i="59" s="1"/>
  <c r="P44" i="59"/>
  <c r="E45" i="59" s="1"/>
  <c r="E46" i="59" s="1"/>
  <c r="E47" i="59" s="1"/>
  <c r="U47" i="59"/>
  <c r="O44" i="59"/>
  <c r="C45" i="59"/>
  <c r="C46" i="59" s="1"/>
  <c r="D46" i="59" s="1"/>
  <c r="N44" i="59"/>
  <c r="B45" i="59"/>
  <c r="B46" i="59" s="1"/>
  <c r="B47" i="59" s="1"/>
  <c r="S47" i="59" s="1"/>
  <c r="D44" i="59"/>
  <c r="Q43" i="59"/>
  <c r="P43" i="59"/>
  <c r="O43" i="59"/>
  <c r="N43" i="59"/>
  <c r="Q42" i="59"/>
  <c r="P42" i="59"/>
  <c r="O42" i="59"/>
  <c r="N42" i="59"/>
  <c r="Q41" i="59"/>
  <c r="P41" i="59"/>
  <c r="O41" i="59"/>
  <c r="N41" i="59"/>
  <c r="Q40" i="59"/>
  <c r="F41" i="59"/>
  <c r="F42" i="59" s="1"/>
  <c r="F43" i="59" s="1"/>
  <c r="V43" i="59" s="1"/>
  <c r="P40" i="59"/>
  <c r="E41" i="59" s="1"/>
  <c r="E42" i="59" s="1"/>
  <c r="E43" i="59" s="1"/>
  <c r="U43" i="59" s="1"/>
  <c r="O40" i="59"/>
  <c r="C41" i="59" s="1"/>
  <c r="C42" i="59" s="1"/>
  <c r="D42" i="59" s="1"/>
  <c r="N40" i="59"/>
  <c r="B41" i="59" s="1"/>
  <c r="B42" i="59" s="1"/>
  <c r="B43" i="59" s="1"/>
  <c r="S43" i="59" s="1"/>
  <c r="D40" i="59"/>
  <c r="T39" i="59"/>
  <c r="Q39" i="59"/>
  <c r="P39" i="59"/>
  <c r="O39" i="59"/>
  <c r="N39" i="59"/>
  <c r="D39" i="59"/>
  <c r="Q38" i="59"/>
  <c r="P38" i="59"/>
  <c r="O38" i="59"/>
  <c r="N38" i="59"/>
  <c r="Q37" i="59"/>
  <c r="P37" i="59"/>
  <c r="O37" i="59"/>
  <c r="N37" i="59"/>
  <c r="Q36" i="59"/>
  <c r="F37" i="59"/>
  <c r="P36" i="59"/>
  <c r="E37" i="59"/>
  <c r="E38" i="59" s="1"/>
  <c r="E39" i="59"/>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s="1"/>
  <c r="E34" i="59"/>
  <c r="E35" i="59" s="1"/>
  <c r="U35" i="59" s="1"/>
  <c r="O32" i="59"/>
  <c r="C33" i="59"/>
  <c r="D33" i="59" s="1"/>
  <c r="N32" i="59"/>
  <c r="B33" i="59"/>
  <c r="B34" i="59" s="1"/>
  <c r="B35" i="59"/>
  <c r="S35" i="59" s="1"/>
  <c r="D32" i="59"/>
  <c r="Q31" i="59"/>
  <c r="P31" i="59"/>
  <c r="O31" i="59"/>
  <c r="N31" i="59"/>
  <c r="Q30" i="59"/>
  <c r="AB30" i="59"/>
  <c r="P30" i="59"/>
  <c r="O30" i="59"/>
  <c r="Y30" i="59" s="1"/>
  <c r="Z30" i="59"/>
  <c r="N30" i="59"/>
  <c r="X30" i="59"/>
  <c r="Q29" i="59"/>
  <c r="AB29" i="59" s="1"/>
  <c r="P29" i="59"/>
  <c r="AA29" i="59" s="1"/>
  <c r="O29" i="59"/>
  <c r="N29" i="59"/>
  <c r="X29" i="59" s="1"/>
  <c r="Q28" i="59"/>
  <c r="AB28" i="59" s="1"/>
  <c r="F29" i="59"/>
  <c r="F30" i="59" s="1"/>
  <c r="F31" i="59" s="1"/>
  <c r="P28" i="59"/>
  <c r="E29" i="59"/>
  <c r="E30" i="59" s="1"/>
  <c r="E31" i="59" s="1"/>
  <c r="U31" i="59" s="1"/>
  <c r="O28" i="59"/>
  <c r="N28" i="59"/>
  <c r="D28" i="59"/>
  <c r="Q27" i="59"/>
  <c r="AB27" i="59" s="1"/>
  <c r="P27" i="59"/>
  <c r="O27" i="59"/>
  <c r="N27" i="59"/>
  <c r="Q26" i="59"/>
  <c r="AB26" i="59" s="1"/>
  <c r="P26" i="59"/>
  <c r="O26" i="59"/>
  <c r="N26" i="59"/>
  <c r="Q25" i="59"/>
  <c r="AB25" i="59" s="1"/>
  <c r="P25" i="59"/>
  <c r="O25" i="59"/>
  <c r="N25" i="59"/>
  <c r="Q24" i="59"/>
  <c r="P24" i="59"/>
  <c r="O24" i="59"/>
  <c r="C25" i="59"/>
  <c r="N24" i="59"/>
  <c r="B25" i="59"/>
  <c r="B26" i="59" s="1"/>
  <c r="B27" i="59" s="1"/>
  <c r="S27" i="59" s="1"/>
  <c r="D24" i="59"/>
  <c r="Q23" i="59"/>
  <c r="P23" i="59"/>
  <c r="AA23" i="59" s="1"/>
  <c r="O23" i="59"/>
  <c r="N23" i="59"/>
  <c r="X23" i="59" s="1"/>
  <c r="Q22" i="59"/>
  <c r="P22" i="59"/>
  <c r="AA22" i="59" s="1"/>
  <c r="O22" i="59"/>
  <c r="N22" i="59"/>
  <c r="X22" i="59" s="1"/>
  <c r="Q21" i="59"/>
  <c r="P21" i="59"/>
  <c r="O21" i="59"/>
  <c r="N21" i="59"/>
  <c r="Q20" i="59"/>
  <c r="F21" i="59"/>
  <c r="P20" i="59"/>
  <c r="O20" i="59"/>
  <c r="N20" i="59"/>
  <c r="D20" i="59"/>
  <c r="AA17" i="59"/>
  <c r="E21" i="59"/>
  <c r="AA30" i="59"/>
  <c r="F22" i="59"/>
  <c r="F23" i="59" s="1"/>
  <c r="V23" i="59" s="1"/>
  <c r="V31" i="59"/>
  <c r="F38" i="59"/>
  <c r="F39" i="59" s="1"/>
  <c r="V39" i="59" s="1"/>
  <c r="F46" i="59"/>
  <c r="F47" i="59"/>
  <c r="V47" i="59" s="1"/>
  <c r="F50" i="59"/>
  <c r="F51" i="59" s="1"/>
  <c r="V51" i="59" s="1"/>
  <c r="F54" i="59"/>
  <c r="F55" i="59"/>
  <c r="V55" i="59" s="1"/>
  <c r="C34" i="59"/>
  <c r="D34" i="59" s="1"/>
  <c r="C38" i="59"/>
  <c r="D38" i="59" s="1"/>
  <c r="D37" i="59"/>
  <c r="D41" i="59"/>
  <c r="D45" i="59"/>
  <c r="E57" i="59"/>
  <c r="T59" i="59"/>
  <c r="O59" i="59"/>
  <c r="D59" i="59"/>
  <c r="C58" i="59"/>
  <c r="P59" i="59"/>
  <c r="U59" i="59"/>
  <c r="C62" i="59"/>
  <c r="C61" i="59" s="1"/>
  <c r="E62" i="59"/>
  <c r="E61" i="59"/>
  <c r="D63" i="59"/>
  <c r="C66" i="59"/>
  <c r="D66" i="59" s="1"/>
  <c r="E66" i="59"/>
  <c r="E65" i="59"/>
  <c r="C70" i="59"/>
  <c r="E70" i="59"/>
  <c r="E69" i="59"/>
  <c r="D71" i="59"/>
  <c r="C74" i="59"/>
  <c r="C78" i="59"/>
  <c r="U16" i="4"/>
  <c r="S16" i="4"/>
  <c r="Q16" i="4"/>
  <c r="O16" i="4"/>
  <c r="M16" i="4"/>
  <c r="K16" i="4"/>
  <c r="P56" i="59"/>
  <c r="P57" i="59"/>
  <c r="D78" i="59"/>
  <c r="C77" i="59"/>
  <c r="D77" i="59"/>
  <c r="D62" i="59"/>
  <c r="D61" i="59"/>
  <c r="O58" i="59"/>
  <c r="C65" i="59"/>
  <c r="D65" i="59" s="1"/>
  <c r="C55" i="59"/>
  <c r="C43" i="59"/>
  <c r="D43" i="59" s="1"/>
  <c r="T43" i="59"/>
  <c r="O27" i="6"/>
  <c r="N27" i="6"/>
  <c r="P26" i="6"/>
  <c r="L26" i="6"/>
  <c r="P25" i="6"/>
  <c r="L25" i="6"/>
  <c r="P24" i="6"/>
  <c r="L24" i="6"/>
  <c r="P23" i="6"/>
  <c r="L23" i="6"/>
  <c r="P22" i="6"/>
  <c r="L22" i="6"/>
  <c r="P21" i="6"/>
  <c r="L21" i="6"/>
  <c r="P20" i="6"/>
  <c r="P19" i="6"/>
  <c r="P27" i="6" s="1"/>
  <c r="Z18" i="36"/>
  <c r="Q18" i="36"/>
  <c r="C18" i="36"/>
  <c r="D66" i="36"/>
  <c r="F18" i="36"/>
  <c r="Z18" i="35"/>
  <c r="Q18" i="35"/>
  <c r="F18" i="35"/>
  <c r="AA18" i="35" s="1"/>
  <c r="C18" i="35"/>
  <c r="D68" i="35"/>
  <c r="E68" i="35"/>
  <c r="F68" i="35" s="1"/>
  <c r="G68" i="35"/>
  <c r="Q21" i="37"/>
  <c r="Z21" i="37" s="1"/>
  <c r="F21" i="37"/>
  <c r="AA21" i="37"/>
  <c r="C21" i="37"/>
  <c r="E77" i="37"/>
  <c r="F77" i="37" s="1"/>
  <c r="G77" i="37"/>
  <c r="D77" i="37"/>
  <c r="Z21" i="34"/>
  <c r="Q21" i="34"/>
  <c r="C21" i="34"/>
  <c r="D84" i="34"/>
  <c r="F21" i="34"/>
  <c r="AA21" i="34" s="1"/>
  <c r="Z21" i="33"/>
  <c r="Q21" i="33"/>
  <c r="C21" i="33"/>
  <c r="D83" i="33"/>
  <c r="E83" i="33"/>
  <c r="F83" i="33" s="1"/>
  <c r="G83" i="33"/>
  <c r="Q21" i="21"/>
  <c r="Z21" i="21" s="1"/>
  <c r="D83" i="21"/>
  <c r="E83" i="21"/>
  <c r="F83" i="21" s="1"/>
  <c r="G83" i="21" s="1"/>
  <c r="F21" i="21"/>
  <c r="AA21" i="21" s="1"/>
  <c r="C21" i="21"/>
  <c r="Q27" i="40"/>
  <c r="Z27" i="40" s="1"/>
  <c r="D96" i="40"/>
  <c r="E96" i="40"/>
  <c r="F96" i="40" s="1"/>
  <c r="F27" i="40"/>
  <c r="AA27" i="40"/>
  <c r="Q31" i="39"/>
  <c r="Z31" i="39" s="1"/>
  <c r="D105" i="39"/>
  <c r="E105" i="39" s="1"/>
  <c r="F105" i="39" s="1"/>
  <c r="G105" i="39" s="1"/>
  <c r="F31" i="39"/>
  <c r="AA31" i="39" s="1"/>
  <c r="G20" i="20"/>
  <c r="B85" i="46"/>
  <c r="C22" i="20"/>
  <c r="B65" i="46"/>
  <c r="S18" i="35"/>
  <c r="S21" i="37"/>
  <c r="S21" i="34"/>
  <c r="S27" i="40"/>
  <c r="C27" i="40"/>
  <c r="C31" i="39"/>
  <c r="B54" i="46"/>
  <c r="B74"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E26" i="57" s="1"/>
  <c r="I23" i="57"/>
  <c r="D20" i="57"/>
  <c r="I19" i="57"/>
  <c r="I18" i="57"/>
  <c r="I17" i="57"/>
  <c r="I20" i="57"/>
  <c r="E15" i="57"/>
  <c r="I14" i="57"/>
  <c r="I13" i="57"/>
  <c r="I12" i="57"/>
  <c r="I15" i="57" s="1"/>
  <c r="I9" i="57"/>
  <c r="I8" i="57"/>
  <c r="I7" i="57"/>
  <c r="I6" i="57"/>
  <c r="I5" i="57"/>
  <c r="I4" i="57"/>
  <c r="I3" i="57"/>
  <c r="I10" i="57" s="1"/>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3" i="1"/>
  <c r="AP13" i="1" s="1"/>
  <c r="D11" i="1"/>
  <c r="D12" i="1"/>
  <c r="D13" i="1"/>
  <c r="D6" i="1"/>
  <c r="D7" i="1"/>
  <c r="D8" i="1"/>
  <c r="D9" i="1"/>
  <c r="D10"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AZ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AZ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AZ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AZ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AZ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AZ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AZ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AZ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AZ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Z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AZ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AZ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AZ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AZ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G19" i="46"/>
  <c r="R27" i="31"/>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R60" i="31"/>
  <c r="S60" i="31" s="1"/>
  <c r="R61" i="31"/>
  <c r="S61" i="31" s="1"/>
  <c r="R62" i="31"/>
  <c r="S62" i="31" s="1"/>
  <c r="R63" i="31"/>
  <c r="R64" i="31"/>
  <c r="S64" i="31" s="1"/>
  <c r="R65" i="31"/>
  <c r="S65" i="31" s="1"/>
  <c r="R66" i="31"/>
  <c r="S66" i="31" s="1"/>
  <c r="R67" i="31"/>
  <c r="S67" i="31" s="1"/>
  <c r="R68" i="31"/>
  <c r="S68" i="31" s="1"/>
  <c r="R69" i="31"/>
  <c r="S69" i="31" s="1"/>
  <c r="R70" i="31"/>
  <c r="S70" i="31" s="1"/>
  <c r="R71" i="31"/>
  <c r="R72" i="31"/>
  <c r="S72" i="31" s="1"/>
  <c r="R73" i="31"/>
  <c r="S73" i="31" s="1"/>
  <c r="R74" i="31"/>
  <c r="S74" i="31" s="1"/>
  <c r="R75" i="3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S101" i="31" s="1"/>
  <c r="R102" i="31"/>
  <c r="S102" i="31" s="1"/>
  <c r="R103" i="3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R300" i="31"/>
  <c r="S300" i="31" s="1"/>
  <c r="R301" i="31"/>
  <c r="S301" i="31" s="1"/>
  <c r="R302" i="31"/>
  <c r="S302" i="31" s="1"/>
  <c r="R303" i="3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R316" i="31"/>
  <c r="S316" i="31" s="1"/>
  <c r="R317" i="31"/>
  <c r="S317" i="31" s="1"/>
  <c r="R318" i="31"/>
  <c r="S318" i="31" s="1"/>
  <c r="R319" i="31"/>
  <c r="R320" i="31"/>
  <c r="S320" i="31" s="1"/>
  <c r="R321" i="31"/>
  <c r="S321" i="31" s="1"/>
  <c r="R322" i="31"/>
  <c r="S322" i="31" s="1"/>
  <c r="R323" i="31"/>
  <c r="R324" i="31"/>
  <c r="S324" i="31" s="1"/>
  <c r="R325" i="31"/>
  <c r="S325" i="31" s="1"/>
  <c r="R326" i="31"/>
  <c r="S326" i="31" s="1"/>
  <c r="R327" i="31"/>
  <c r="S327" i="31" s="1"/>
  <c r="R328" i="31"/>
  <c r="S328" i="31" s="1"/>
  <c r="R329" i="31"/>
  <c r="S329" i="31" s="1"/>
  <c r="R330" i="31"/>
  <c r="S330" i="31" s="1"/>
  <c r="R331" i="3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R348" i="31"/>
  <c r="S348" i="31" s="1"/>
  <c r="R349" i="31"/>
  <c r="S349" i="31" s="1"/>
  <c r="R350" i="31"/>
  <c r="S350" i="31" s="1"/>
  <c r="R351" i="31"/>
  <c r="S351" i="31" s="1"/>
  <c r="R352" i="31"/>
  <c r="S352" i="31" s="1"/>
  <c r="R353" i="31"/>
  <c r="S353" i="31" s="1"/>
  <c r="R354" i="31"/>
  <c r="S354" i="31" s="1"/>
  <c r="R355" i="31"/>
  <c r="R356" i="31"/>
  <c r="S356" i="31" s="1"/>
  <c r="R357" i="31"/>
  <c r="S357" i="31" s="1"/>
  <c r="R358" i="31"/>
  <c r="S358" i="31" s="1"/>
  <c r="R359" i="31"/>
  <c r="S359" i="31" s="1"/>
  <c r="R360" i="31"/>
  <c r="S360" i="31" s="1"/>
  <c r="R361" i="31"/>
  <c r="S361" i="31" s="1"/>
  <c r="R362" i="31"/>
  <c r="S362" i="31" s="1"/>
  <c r="R363" i="3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R412" i="31"/>
  <c r="S412" i="31" s="1"/>
  <c r="R413" i="31"/>
  <c r="S413" i="31" s="1"/>
  <c r="R414" i="31"/>
  <c r="S414" i="31" s="1"/>
  <c r="R415" i="31"/>
  <c r="S415" i="31" s="1"/>
  <c r="R416" i="31"/>
  <c r="S416" i="31" s="1"/>
  <c r="R417" i="31"/>
  <c r="S417" i="31" s="1"/>
  <c r="R418" i="31"/>
  <c r="S418" i="31" s="1"/>
  <c r="R419" i="3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c r="N3" i="54"/>
  <c r="B42" i="63"/>
  <c r="A2" i="9"/>
  <c r="T16" i="4"/>
  <c r="D14" i="4"/>
  <c r="M4" i="9"/>
  <c r="L4" i="9"/>
  <c r="G36" i="4"/>
  <c r="K2" i="54"/>
  <c r="B23" i="63" s="1"/>
  <c r="A3" i="51"/>
  <c r="R41" i="4"/>
  <c r="Q41" i="4"/>
  <c r="P41" i="4"/>
  <c r="O41" i="4"/>
  <c r="N41" i="4"/>
  <c r="M41" i="4"/>
  <c r="L41" i="4"/>
  <c r="K40" i="4"/>
  <c r="T40" i="4" s="1"/>
  <c r="L5" i="54" s="1"/>
  <c r="B39" i="63" s="1"/>
  <c r="F23" i="4"/>
  <c r="D19" i="4"/>
  <c r="C12" i="39" s="1"/>
  <c r="I19" i="4"/>
  <c r="H19" i="4"/>
  <c r="G19" i="4"/>
  <c r="F11" i="1" s="1"/>
  <c r="AP11" i="1" s="1"/>
  <c r="F19" i="4"/>
  <c r="F10" i="1" s="1"/>
  <c r="E19" i="4"/>
  <c r="F9" i="1" s="1"/>
  <c r="G9" i="1" s="1"/>
  <c r="F7" i="1"/>
  <c r="G7" i="1" s="1"/>
  <c r="B2" i="52"/>
  <c r="E14" i="52" s="1"/>
  <c r="I2" i="46"/>
  <c r="N12" i="46" s="1"/>
  <c r="A7" i="46"/>
  <c r="F41" i="4"/>
  <c r="J52" i="40"/>
  <c r="H61" i="49"/>
  <c r="H39" i="46"/>
  <c r="H38" i="46"/>
  <c r="H37" i="46"/>
  <c r="H36" i="46"/>
  <c r="H35" i="46"/>
  <c r="H34" i="46"/>
  <c r="H33" i="46"/>
  <c r="J20" i="46"/>
  <c r="C18" i="46"/>
  <c r="F15" i="46"/>
  <c r="E15" i="46"/>
  <c r="D15" i="46"/>
  <c r="C15" i="46"/>
  <c r="C10" i="46"/>
  <c r="C11" i="46" s="1"/>
  <c r="E10" i="46" s="1"/>
  <c r="C9" i="46"/>
  <c r="E19" i="6"/>
  <c r="E32" i="6"/>
  <c r="E20" i="6"/>
  <c r="E21" i="6"/>
  <c r="K8" i="1" s="1"/>
  <c r="M8" i="1" s="1"/>
  <c r="O8" i="1" s="1"/>
  <c r="P8" i="1" s="1"/>
  <c r="E22" i="6"/>
  <c r="E23" i="6"/>
  <c r="E24" i="6"/>
  <c r="H9" i="12" s="1"/>
  <c r="E25" i="6"/>
  <c r="K12" i="1" s="1"/>
  <c r="M12" i="1" s="1"/>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C18" i="9" s="1"/>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c r="H10" i="39"/>
  <c r="AB10" i="39" s="1"/>
  <c r="H11" i="39"/>
  <c r="AB11" i="39" s="1"/>
  <c r="H36" i="39"/>
  <c r="AB36" i="39"/>
  <c r="H40" i="39"/>
  <c r="AB40" i="39" s="1"/>
  <c r="H42" i="39"/>
  <c r="AB42" i="39" s="1"/>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19" i="31"/>
  <c r="S411" i="31"/>
  <c r="S395" i="31"/>
  <c r="S379" i="31"/>
  <c r="S363" i="31"/>
  <c r="S355" i="31"/>
  <c r="S347" i="31"/>
  <c r="S331" i="31"/>
  <c r="S323" i="31"/>
  <c r="S319" i="31"/>
  <c r="S315" i="31"/>
  <c r="S303" i="31"/>
  <c r="S299" i="31"/>
  <c r="S283" i="31"/>
  <c r="S271" i="31"/>
  <c r="S255" i="31"/>
  <c r="S251" i="31"/>
  <c r="S239" i="31"/>
  <c r="S235" i="31"/>
  <c r="S223" i="31"/>
  <c r="S203" i="31"/>
  <c r="S191" i="31"/>
  <c r="S187" i="31"/>
  <c r="S183" i="31"/>
  <c r="S175" i="31"/>
  <c r="S171" i="31"/>
  <c r="S167" i="31"/>
  <c r="S163" i="31"/>
  <c r="S155" i="31"/>
  <c r="S135" i="31"/>
  <c r="S123" i="31"/>
  <c r="S435" i="31"/>
  <c r="S431" i="31"/>
  <c r="S467" i="31"/>
  <c r="S47" i="31"/>
  <c r="S43" i="31"/>
  <c r="S39" i="31"/>
  <c r="S35" i="31"/>
  <c r="S75" i="31"/>
  <c r="S71" i="31"/>
  <c r="S63" i="31"/>
  <c r="S59" i="31"/>
  <c r="S95" i="31"/>
  <c r="S91" i="31"/>
  <c r="S31" i="31"/>
  <c r="S103" i="31"/>
  <c r="S511"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I9" i="12"/>
  <c r="I10" i="12" s="1"/>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F41" i="21"/>
  <c r="J41" i="21"/>
  <c r="AC41" i="21" s="1"/>
  <c r="H41" i="21"/>
  <c r="U41" i="21" s="1"/>
  <c r="D83" i="39"/>
  <c r="E83" i="39" s="1"/>
  <c r="F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F98" i="40" s="1"/>
  <c r="G98" i="40" s="1"/>
  <c r="H98" i="40" s="1"/>
  <c r="I98" i="40" s="1"/>
  <c r="J98" i="40" s="1"/>
  <c r="K98" i="40" s="1"/>
  <c r="L98" i="40" s="1"/>
  <c r="M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H33" i="39" s="1"/>
  <c r="U33" i="39" s="1"/>
  <c r="D99" i="39"/>
  <c r="E99" i="39" s="1"/>
  <c r="F99" i="39" s="1"/>
  <c r="G99" i="39" s="1"/>
  <c r="D97" i="39"/>
  <c r="E97" i="39" s="1"/>
  <c r="D95" i="39"/>
  <c r="E95" i="39" s="1"/>
  <c r="F95" i="39" s="1"/>
  <c r="G95" i="39" s="1"/>
  <c r="D93" i="39"/>
  <c r="E93" i="39" s="1"/>
  <c r="F93" i="39" s="1"/>
  <c r="G93" i="39" s="1"/>
  <c r="D91" i="39"/>
  <c r="E91" i="39" s="1"/>
  <c r="F91" i="39" s="1"/>
  <c r="G91" i="39" s="1"/>
  <c r="B88" i="39"/>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F75" i="37" s="1"/>
  <c r="G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J34" i="35" s="1"/>
  <c r="B77" i="35"/>
  <c r="B75" i="35"/>
  <c r="J24" i="35" s="1"/>
  <c r="B73" i="35"/>
  <c r="B57" i="35"/>
  <c r="H11" i="35" s="1"/>
  <c r="B61" i="35"/>
  <c r="B59" i="35"/>
  <c r="H12" i="35" s="1"/>
  <c r="B131" i="34"/>
  <c r="H47" i="34" s="1"/>
  <c r="B129" i="34"/>
  <c r="B127" i="34"/>
  <c r="H45" i="34" s="1"/>
  <c r="B99" i="34"/>
  <c r="B97" i="34"/>
  <c r="J31" i="34" s="1"/>
  <c r="B95" i="34"/>
  <c r="B93" i="34"/>
  <c r="J29" i="34" s="1"/>
  <c r="B75" i="34"/>
  <c r="B73" i="34"/>
  <c r="H13" i="34" s="1"/>
  <c r="B71" i="34"/>
  <c r="B130" i="33"/>
  <c r="J46" i="33" s="1"/>
  <c r="B128" i="33"/>
  <c r="H45" i="33"/>
  <c r="U45" i="33" s="1"/>
  <c r="B126" i="33"/>
  <c r="H44" i="33" s="1"/>
  <c r="B98" i="33"/>
  <c r="F31" i="33"/>
  <c r="AA31" i="33" s="1"/>
  <c r="B96" i="33"/>
  <c r="B94" i="33"/>
  <c r="B74" i="33"/>
  <c r="B72" i="33"/>
  <c r="B70" i="33"/>
  <c r="J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59" i="34" s="1"/>
  <c r="E59"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s="1"/>
  <c r="C7" i="33"/>
  <c r="C58" i="33"/>
  <c r="D58" i="33" s="1"/>
  <c r="E58" i="33" s="1"/>
  <c r="M102" i="21"/>
  <c r="D102" i="21"/>
  <c r="E102" i="21"/>
  <c r="F102" i="21"/>
  <c r="G102" i="21"/>
  <c r="H102" i="21"/>
  <c r="I102" i="21"/>
  <c r="J102" i="21"/>
  <c r="K102" i="21"/>
  <c r="L102" i="21"/>
  <c r="C102" i="21"/>
  <c r="C63" i="21"/>
  <c r="F9" i="21" s="1"/>
  <c r="AA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D81" i="21"/>
  <c r="E81" i="21"/>
  <c r="F81" i="21" s="1"/>
  <c r="G81" i="21" s="1"/>
  <c r="D77" i="21"/>
  <c r="E77" i="21" s="1"/>
  <c r="F77" i="21" s="1"/>
  <c r="G77" i="21" s="1"/>
  <c r="B130" i="21"/>
  <c r="H46" i="21" s="1"/>
  <c r="B128" i="21"/>
  <c r="B126" i="21"/>
  <c r="J44" i="21" s="1"/>
  <c r="B98" i="21"/>
  <c r="B96" i="21"/>
  <c r="B94" i="21"/>
  <c r="B92" i="21"/>
  <c r="H28" i="21" s="1"/>
  <c r="B90" i="21"/>
  <c r="B74" i="21"/>
  <c r="F14" i="21" s="1"/>
  <c r="B72" i="21"/>
  <c r="B70" i="21"/>
  <c r="F12" i="21" s="1"/>
  <c r="F10" i="21"/>
  <c r="AA10" i="21" s="1"/>
  <c r="C7" i="21"/>
  <c r="C58"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S8" i="21" s="1"/>
  <c r="E13" i="11"/>
  <c r="E12" i="11"/>
  <c r="C9" i="12"/>
  <c r="BB12" i="3"/>
  <c r="F9" i="12"/>
  <c r="D9" i="12"/>
  <c r="E9" i="12"/>
  <c r="G9" i="12"/>
  <c r="K5" i="3"/>
  <c r="I4" i="6" s="1"/>
  <c r="J5" i="3"/>
  <c r="BE10" i="3"/>
  <c r="BD13" i="3"/>
  <c r="BE13" i="3"/>
  <c r="BE5" i="3" s="1"/>
  <c r="BF13" i="3"/>
  <c r="BG13" i="3"/>
  <c r="BH13" i="3"/>
  <c r="BI13" i="3"/>
  <c r="BJ13" i="3"/>
  <c r="BJ5" i="3" s="1"/>
  <c r="BK13" i="3"/>
  <c r="BM13" i="3"/>
  <c r="BN13" i="3"/>
  <c r="BO13" i="3"/>
  <c r="BO5" i="3" s="1"/>
  <c r="BP13" i="3"/>
  <c r="BS13" i="3"/>
  <c r="BS5" i="3" s="1"/>
  <c r="F28" i="6" s="1"/>
  <c r="BT13" i="3"/>
  <c r="BT5" i="3"/>
  <c r="BB570" i="3"/>
  <c r="BC570" i="3"/>
  <c r="BA570" i="3" s="1"/>
  <c r="AZ570" i="3" s="1"/>
  <c r="BD570" i="3"/>
  <c r="BD5" i="3" s="1"/>
  <c r="BE570" i="3"/>
  <c r="BF570" i="3"/>
  <c r="BF5" i="3" s="1"/>
  <c r="BG570" i="3"/>
  <c r="BH570" i="3"/>
  <c r="BI570" i="3"/>
  <c r="BJ570" i="3"/>
  <c r="BK570" i="3"/>
  <c r="BM570" i="3"/>
  <c r="BL570" i="3" s="1"/>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A572" i="3" s="1"/>
  <c r="AZ572" i="3" s="1"/>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c r="H38" i="21"/>
  <c r="AB38" i="21"/>
  <c r="H43" i="21"/>
  <c r="AB43" i="21"/>
  <c r="F32" i="21"/>
  <c r="F38" i="21"/>
  <c r="S38" i="21" s="1"/>
  <c r="F36" i="21"/>
  <c r="S36" i="21" s="1"/>
  <c r="F39" i="21"/>
  <c r="AA39" i="21" s="1"/>
  <c r="J40" i="21"/>
  <c r="W40" i="21" s="1"/>
  <c r="H35" i="21"/>
  <c r="AB35" i="21" s="1"/>
  <c r="J8" i="21"/>
  <c r="AC8" i="21" s="1"/>
  <c r="H8" i="21"/>
  <c r="U8" i="21" s="1"/>
  <c r="H10" i="21"/>
  <c r="U10" i="21" s="1"/>
  <c r="H39" i="21"/>
  <c r="AB39" i="21" s="1"/>
  <c r="J34" i="21"/>
  <c r="W34" i="21" s="1"/>
  <c r="H36" i="21"/>
  <c r="AB36" i="21" s="1"/>
  <c r="U36" i="21"/>
  <c r="F35" i="21"/>
  <c r="AA35" i="21"/>
  <c r="J10" i="21"/>
  <c r="AC10" i="21" s="1"/>
  <c r="H26" i="21"/>
  <c r="U26" i="21" s="1"/>
  <c r="J12" i="21"/>
  <c r="AC12" i="21" s="1"/>
  <c r="J26" i="21"/>
  <c r="W26" i="21"/>
  <c r="F26" i="21"/>
  <c r="AA26" i="21"/>
  <c r="AB41" i="21"/>
  <c r="S41" i="21"/>
  <c r="AA41" i="21"/>
  <c r="W41" i="21"/>
  <c r="S10" i="39"/>
  <c r="U30" i="37"/>
  <c r="E103" i="37"/>
  <c r="F103" i="37"/>
  <c r="G103" i="37" s="1"/>
  <c r="H103" i="37" s="1"/>
  <c r="I103" i="37" s="1"/>
  <c r="J103" i="37" s="1"/>
  <c r="K103" i="37" s="1"/>
  <c r="L103" i="37" s="1"/>
  <c r="M103" i="37" s="1"/>
  <c r="F29" i="36"/>
  <c r="AA29" i="36" s="1"/>
  <c r="F16" i="36"/>
  <c r="AA16" i="36" s="1"/>
  <c r="U22" i="36"/>
  <c r="W23" i="36"/>
  <c r="W22" i="36"/>
  <c r="U26" i="36"/>
  <c r="AC31" i="36"/>
  <c r="J33" i="36"/>
  <c r="W33" i="36"/>
  <c r="U31" i="35"/>
  <c r="S31" i="35"/>
  <c r="W31" i="35"/>
  <c r="F36" i="34"/>
  <c r="S36" i="34"/>
  <c r="W9" i="34"/>
  <c r="S34" i="34"/>
  <c r="H39" i="33"/>
  <c r="AB39" i="33" s="1"/>
  <c r="F26" i="33"/>
  <c r="AA26" i="33" s="1"/>
  <c r="U33" i="33"/>
  <c r="W38" i="33"/>
  <c r="S40" i="33"/>
  <c r="S33" i="33"/>
  <c r="W33" i="33"/>
  <c r="U38" i="33"/>
  <c r="H39" i="37"/>
  <c r="AB39" i="37" s="1"/>
  <c r="AB27" i="35"/>
  <c r="S10" i="40"/>
  <c r="W10" i="40"/>
  <c r="S11" i="40"/>
  <c r="U11" i="40"/>
  <c r="S36" i="40"/>
  <c r="U36" i="40"/>
  <c r="S40" i="39"/>
  <c r="S36" i="39"/>
  <c r="AC40" i="21"/>
  <c r="AC35" i="21"/>
  <c r="C29" i="39"/>
  <c r="C23" i="39"/>
  <c r="U36" i="39"/>
  <c r="S42" i="39"/>
  <c r="H32" i="33"/>
  <c r="AB32" i="33"/>
  <c r="J11" i="21"/>
  <c r="W11" i="21" s="1"/>
  <c r="F100" i="40"/>
  <c r="F86" i="40"/>
  <c r="G86" i="40" s="1"/>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F35" i="37"/>
  <c r="AA35" i="37" s="1"/>
  <c r="E101" i="37"/>
  <c r="F101" i="37"/>
  <c r="G101" i="37" s="1"/>
  <c r="H101" i="37" s="1"/>
  <c r="I101" i="37" s="1"/>
  <c r="J101" i="37" s="1"/>
  <c r="K101" i="37" s="1"/>
  <c r="L101" i="37" s="1"/>
  <c r="M101" i="37" s="1"/>
  <c r="J34" i="37"/>
  <c r="W34" i="37" s="1"/>
  <c r="H43" i="34"/>
  <c r="U42" i="34"/>
  <c r="E114" i="34"/>
  <c r="H36" i="34"/>
  <c r="U36" i="34" s="1"/>
  <c r="F37" i="34"/>
  <c r="AA37" i="34" s="1"/>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W40" i="33"/>
  <c r="AB30" i="36"/>
  <c r="S22" i="35"/>
  <c r="H29" i="35"/>
  <c r="U34" i="37"/>
  <c r="S34" i="37"/>
  <c r="AA34" i="37"/>
  <c r="AC43" i="34"/>
  <c r="AB42" i="34"/>
  <c r="W36" i="34"/>
  <c r="J19" i="34"/>
  <c r="AC19" i="34"/>
  <c r="H37" i="33"/>
  <c r="AB37" i="33"/>
  <c r="S37" i="33"/>
  <c r="W43" i="34"/>
  <c r="AC42" i="34"/>
  <c r="W42" i="34"/>
  <c r="AA42" i="34"/>
  <c r="S42" i="34"/>
  <c r="AC38" i="34"/>
  <c r="W38" i="34"/>
  <c r="AA38" i="34"/>
  <c r="S38" i="34"/>
  <c r="J37" i="33"/>
  <c r="W37" i="33"/>
  <c r="J44" i="34"/>
  <c r="AC44" i="34" s="1"/>
  <c r="F44" i="34"/>
  <c r="S44" i="34" s="1"/>
  <c r="J10" i="35"/>
  <c r="W10" i="35" s="1"/>
  <c r="AL5" i="3"/>
  <c r="BQ13" i="3"/>
  <c r="BL572" i="3"/>
  <c r="J14" i="21"/>
  <c r="W14" i="21" s="1"/>
  <c r="J28" i="21"/>
  <c r="AC28" i="21" s="1"/>
  <c r="H30" i="21"/>
  <c r="U30" i="21" s="1"/>
  <c r="F30" i="21"/>
  <c r="S30" i="21" s="1"/>
  <c r="J30" i="21"/>
  <c r="AC30" i="21" s="1"/>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s="1"/>
  <c r="F45" i="33"/>
  <c r="S45" i="33" s="1"/>
  <c r="F11" i="35"/>
  <c r="S11" i="35" s="1"/>
  <c r="H28" i="36"/>
  <c r="U28" i="36" s="1"/>
  <c r="H32" i="36"/>
  <c r="AB32" i="36" s="1"/>
  <c r="J32" i="36"/>
  <c r="W32" i="36" s="1"/>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c r="H37" i="37"/>
  <c r="U37" i="37"/>
  <c r="H40" i="37"/>
  <c r="U40" i="37"/>
  <c r="J40" i="37"/>
  <c r="F40" i="37"/>
  <c r="AA40" i="37" s="1"/>
  <c r="H14" i="33"/>
  <c r="U14" i="33" s="1"/>
  <c r="F14" i="33"/>
  <c r="AA14" i="33" s="1"/>
  <c r="J14" i="33"/>
  <c r="AC14" i="33" s="1"/>
  <c r="H30" i="33"/>
  <c r="AB30" i="33" s="1"/>
  <c r="F30" i="33"/>
  <c r="S30" i="33" s="1"/>
  <c r="J30" i="33"/>
  <c r="W30" i="33"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27" i="37"/>
  <c r="AA27" i="37"/>
  <c r="J27" i="37"/>
  <c r="W27" i="37"/>
  <c r="AA38" i="37"/>
  <c r="W35" i="35"/>
  <c r="AB13" i="35"/>
  <c r="AB40" i="37"/>
  <c r="J36" i="37"/>
  <c r="AC36" i="37"/>
  <c r="AB28" i="36"/>
  <c r="AB31" i="21"/>
  <c r="AB13" i="21"/>
  <c r="W30" i="21"/>
  <c r="AC14" i="21"/>
  <c r="U36" i="37"/>
  <c r="AC13" i="36"/>
  <c r="AB31" i="33"/>
  <c r="AA27" i="33"/>
  <c r="AB27" i="33"/>
  <c r="S45" i="21"/>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AZ565" i="3" s="1"/>
  <c r="BA561" i="3"/>
  <c r="AZ561" i="3"/>
  <c r="BA559" i="3"/>
  <c r="BA557" i="3"/>
  <c r="AZ557" i="3" s="1"/>
  <c r="BA555" i="3"/>
  <c r="AZ555" i="3" s="1"/>
  <c r="BA551" i="3"/>
  <c r="AZ551" i="3" s="1"/>
  <c r="BA545" i="3"/>
  <c r="AZ545" i="3" s="1"/>
  <c r="BA543" i="3"/>
  <c r="BA541" i="3"/>
  <c r="AZ541" i="3" s="1"/>
  <c r="BA531" i="3"/>
  <c r="BA521" i="3"/>
  <c r="BA509" i="3"/>
  <c r="AZ509" i="3" s="1"/>
  <c r="BA505" i="3"/>
  <c r="BA501" i="3"/>
  <c r="BA493" i="3"/>
  <c r="AZ493" i="3"/>
  <c r="BA487" i="3"/>
  <c r="BA19" i="3"/>
  <c r="BA566" i="3"/>
  <c r="AZ566" i="3" s="1"/>
  <c r="BA562" i="3"/>
  <c r="BA560" i="3"/>
  <c r="BA558" i="3"/>
  <c r="BA556" i="3"/>
  <c r="AZ556" i="3" s="1"/>
  <c r="BA554" i="3"/>
  <c r="BA550" i="3"/>
  <c r="AZ550" i="3" s="1"/>
  <c r="BA546" i="3"/>
  <c r="BA544" i="3"/>
  <c r="BA540" i="3"/>
  <c r="AZ540" i="3" s="1"/>
  <c r="BA536" i="3"/>
  <c r="BA532" i="3"/>
  <c r="BA528" i="3"/>
  <c r="BA524" i="3"/>
  <c r="BA520" i="3"/>
  <c r="BA516" i="3"/>
  <c r="BA512" i="3"/>
  <c r="AZ512" i="3" s="1"/>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BQ530" i="3"/>
  <c r="BL530" i="3" s="1"/>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c r="AZ488" i="3" s="1"/>
  <c r="BQ486" i="3"/>
  <c r="BQ484" i="3"/>
  <c r="BL484" i="3" s="1"/>
  <c r="BQ482" i="3"/>
  <c r="BL482" i="3" s="1"/>
  <c r="BQ20" i="3"/>
  <c r="BL20" i="3" s="1"/>
  <c r="AZ20" i="3" s="1"/>
  <c r="BQ18" i="3"/>
  <c r="AZ501" i="3"/>
  <c r="S503" i="31"/>
  <c r="O27" i="31"/>
  <c r="O28" i="31"/>
  <c r="O26" i="31"/>
  <c r="M27" i="31"/>
  <c r="M28" i="31"/>
  <c r="M26" i="31"/>
  <c r="I26" i="31"/>
  <c r="I25" i="31"/>
  <c r="Q26" i="31"/>
  <c r="K26" i="31"/>
  <c r="I27" i="31"/>
  <c r="Q27" i="31"/>
  <c r="K27" i="31"/>
  <c r="I28" i="31"/>
  <c r="Q28" i="31"/>
  <c r="K28" i="31"/>
  <c r="AC28" i="34"/>
  <c r="H25" i="21"/>
  <c r="U25" i="21"/>
  <c r="F25" i="21"/>
  <c r="S25" i="21"/>
  <c r="J25" i="21"/>
  <c r="AC25" i="2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H23" i="37"/>
  <c r="AB23" i="37"/>
  <c r="J32" i="37"/>
  <c r="AC32" i="37"/>
  <c r="F36" i="37"/>
  <c r="S36" i="37"/>
  <c r="F37" i="37"/>
  <c r="AA37" i="37"/>
  <c r="U23" i="37"/>
  <c r="AC41" i="34"/>
  <c r="H42" i="33"/>
  <c r="U42" i="33"/>
  <c r="J43" i="33"/>
  <c r="AC43" i="33"/>
  <c r="J23" i="37"/>
  <c r="W23" i="37" s="1"/>
  <c r="F17" i="37"/>
  <c r="AA17" i="37" s="1"/>
  <c r="AB43" i="33"/>
  <c r="D3" i="21"/>
  <c r="AC33" i="36"/>
  <c r="W23" i="35"/>
  <c r="S27" i="37"/>
  <c r="AC8" i="37"/>
  <c r="AC36" i="34"/>
  <c r="AB8" i="34"/>
  <c r="AC37" i="33"/>
  <c r="AA13" i="33"/>
  <c r="AC45" i="33"/>
  <c r="F43" i="33"/>
  <c r="AA43" i="33" s="1"/>
  <c r="AA23" i="37"/>
  <c r="S10" i="35"/>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AZ558" i="3"/>
  <c r="AZ560" i="3"/>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G298" i="3"/>
  <c r="BA300" i="3"/>
  <c r="BL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21" i="3"/>
  <c r="AZ225" i="3"/>
  <c r="AZ229" i="3"/>
  <c r="AZ237" i="3"/>
  <c r="AZ241" i="3"/>
  <c r="AZ245" i="3"/>
  <c r="AZ309" i="3"/>
  <c r="AZ317" i="3"/>
  <c r="AZ321" i="3"/>
  <c r="AZ325" i="3"/>
  <c r="AZ333" i="3"/>
  <c r="AZ337"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53" i="3"/>
  <c r="AZ257" i="3"/>
  <c r="AZ261" i="3"/>
  <c r="AZ375" i="3"/>
  <c r="AZ383" i="3"/>
  <c r="AZ270" i="3"/>
  <c r="AZ278" i="3"/>
  <c r="AZ282" i="3"/>
  <c r="AZ286" i="3"/>
  <c r="AZ295" i="3"/>
  <c r="AZ311" i="3"/>
  <c r="AZ313" i="3"/>
  <c r="AZ315" i="3"/>
  <c r="AZ331" i="3"/>
  <c r="AZ335" i="3"/>
  <c r="AZ339" i="3"/>
  <c r="AZ351" i="3"/>
  <c r="AZ369" i="3"/>
  <c r="AZ390" i="3"/>
  <c r="AZ394" i="3"/>
  <c r="AZ398" i="3"/>
  <c r="AZ410" i="3"/>
  <c r="AZ414" i="3"/>
  <c r="AZ418" i="3"/>
  <c r="AZ422" i="3"/>
  <c r="AZ426" i="3"/>
  <c r="AZ430" i="3"/>
  <c r="AZ438" i="3"/>
  <c r="AZ442" i="3"/>
  <c r="AZ446" i="3"/>
  <c r="AZ455" i="3"/>
  <c r="AZ463" i="3"/>
  <c r="AZ467" i="3"/>
  <c r="AZ471" i="3"/>
  <c r="AZ479" i="3"/>
  <c r="H7" i="48"/>
  <c r="F33" i="46"/>
  <c r="H16" i="48"/>
  <c r="H9" i="48"/>
  <c r="H8" i="48"/>
  <c r="C12" i="46"/>
  <c r="AB15" i="37"/>
  <c r="AA43" i="21"/>
  <c r="U43" i="21"/>
  <c r="AA13" i="40"/>
  <c r="E78" i="40"/>
  <c r="F78" i="40" s="1"/>
  <c r="G78" i="40" s="1"/>
  <c r="H78" i="40" s="1"/>
  <c r="I78" i="40" s="1"/>
  <c r="J78" i="40" s="1"/>
  <c r="K78" i="40" s="1"/>
  <c r="L78" i="40" s="1"/>
  <c r="M78" i="40" s="1"/>
  <c r="R16" i="4"/>
  <c r="D3" i="35"/>
  <c r="G4" i="4"/>
  <c r="S37" i="34"/>
  <c r="J16" i="35"/>
  <c r="W16" i="35"/>
  <c r="AC26" i="36"/>
  <c r="W25" i="35"/>
  <c r="AZ354" i="3"/>
  <c r="AA36" i="35"/>
  <c r="H11" i="37"/>
  <c r="AB11" i="37"/>
  <c r="W37" i="37"/>
  <c r="AA30" i="33"/>
  <c r="AA36" i="37"/>
  <c r="S42" i="33"/>
  <c r="U32" i="33"/>
  <c r="AB17" i="37"/>
  <c r="AZ508" i="3"/>
  <c r="AC29" i="33"/>
  <c r="AA45" i="33"/>
  <c r="AC11" i="36"/>
  <c r="AC10" i="36"/>
  <c r="AB35" i="35"/>
  <c r="S25" i="35"/>
  <c r="AC30" i="33"/>
  <c r="AC29" i="37"/>
  <c r="AC32" i="36"/>
  <c r="J33" i="34"/>
  <c r="AC33" i="34"/>
  <c r="J40" i="34"/>
  <c r="W40" i="34" s="1"/>
  <c r="F16" i="35"/>
  <c r="AA16" i="35" s="1"/>
  <c r="S24" i="36"/>
  <c r="J35" i="34"/>
  <c r="W35" i="34" s="1"/>
  <c r="F107" i="34"/>
  <c r="G107" i="34" s="1"/>
  <c r="H107" i="34" s="1"/>
  <c r="I107" i="34" s="1"/>
  <c r="J107" i="34" s="1"/>
  <c r="K107" i="34" s="1"/>
  <c r="L107" i="34" s="1"/>
  <c r="M107" i="34" s="1"/>
  <c r="S30" i="36"/>
  <c r="H16" i="36"/>
  <c r="AB16" i="36"/>
  <c r="H35" i="37"/>
  <c r="AB35" i="37" s="1"/>
  <c r="S26" i="21"/>
  <c r="H32" i="21"/>
  <c r="U32" i="21" s="1"/>
  <c r="AB26" i="21"/>
  <c r="J32" i="21"/>
  <c r="AC32" i="21" s="1"/>
  <c r="F17" i="21"/>
  <c r="S17" i="21" s="1"/>
  <c r="J17" i="21"/>
  <c r="W17" i="21" s="1"/>
  <c r="F40" i="21"/>
  <c r="S40" i="21" s="1"/>
  <c r="H40" i="21"/>
  <c r="AB40" i="21" s="1"/>
  <c r="E119" i="21"/>
  <c r="F119" i="21" s="1"/>
  <c r="G119" i="21" s="1"/>
  <c r="H119" i="21" s="1"/>
  <c r="I119" i="21" s="1"/>
  <c r="J119" i="21" s="1"/>
  <c r="K119" i="21" s="1"/>
  <c r="L119" i="21" s="1"/>
  <c r="M119" i="21" s="1"/>
  <c r="S8" i="33"/>
  <c r="AC8" i="33"/>
  <c r="H66" i="33"/>
  <c r="F10" i="33"/>
  <c r="AA10" i="33"/>
  <c r="F11" i="33"/>
  <c r="S11" i="33"/>
  <c r="J15" i="33"/>
  <c r="W15" i="33"/>
  <c r="H19" i="33"/>
  <c r="AB19" i="33"/>
  <c r="F32" i="33"/>
  <c r="AA32" i="33"/>
  <c r="J32" i="33"/>
  <c r="AC32" i="33"/>
  <c r="F35" i="33"/>
  <c r="AA35" i="33"/>
  <c r="F11" i="34"/>
  <c r="S11" i="34" s="1"/>
  <c r="E80" i="34"/>
  <c r="F80" i="34" s="1"/>
  <c r="G80" i="34" s="1"/>
  <c r="H17" i="34"/>
  <c r="AB17" i="34" s="1"/>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H32" i="37"/>
  <c r="AB32" i="37"/>
  <c r="H19" i="39"/>
  <c r="AB19" i="39" s="1"/>
  <c r="F43" i="39"/>
  <c r="AA43" i="39" s="1"/>
  <c r="F99" i="37"/>
  <c r="AC27" i="37"/>
  <c r="U25" i="35"/>
  <c r="AC40" i="37"/>
  <c r="W40" i="37"/>
  <c r="W27" i="33"/>
  <c r="AC45" i="21"/>
  <c r="S28" i="33"/>
  <c r="AA44" i="34"/>
  <c r="AB29" i="35"/>
  <c r="U29" i="35"/>
  <c r="AC19" i="33"/>
  <c r="W19" i="33"/>
  <c r="U43" i="34"/>
  <c r="AB43" i="34"/>
  <c r="S35" i="37"/>
  <c r="AB10" i="35"/>
  <c r="AA32" i="21"/>
  <c r="S32" i="21"/>
  <c r="U38" i="21"/>
  <c r="BL571" i="3"/>
  <c r="F42" i="21"/>
  <c r="AA42" i="21" s="1"/>
  <c r="AB40" i="33"/>
  <c r="U40" i="33"/>
  <c r="AA35" i="34"/>
  <c r="S35" i="34"/>
  <c r="E90" i="34"/>
  <c r="H27" i="34"/>
  <c r="AB27" i="34" s="1"/>
  <c r="AB8" i="35"/>
  <c r="U8" i="35"/>
  <c r="S9" i="35"/>
  <c r="J14" i="35"/>
  <c r="AC14" i="35"/>
  <c r="F14" i="35"/>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AB34" i="36"/>
  <c r="H33" i="36"/>
  <c r="U33" i="36"/>
  <c r="F33" i="36"/>
  <c r="AA33" i="36"/>
  <c r="H27" i="36"/>
  <c r="AB27" i="36"/>
  <c r="AC25" i="37"/>
  <c r="W26" i="37"/>
  <c r="AB29" i="37"/>
  <c r="AA30" i="37"/>
  <c r="S30" i="37"/>
  <c r="AC30" i="37"/>
  <c r="AC31" i="37"/>
  <c r="W31" i="37"/>
  <c r="F17" i="39"/>
  <c r="AA17" i="39" s="1"/>
  <c r="H17" i="39"/>
  <c r="U17" i="39" s="1"/>
  <c r="J17" i="39"/>
  <c r="W17" i="39" s="1"/>
  <c r="F21" i="39"/>
  <c r="S21" i="39" s="1"/>
  <c r="H21" i="39"/>
  <c r="AB21" i="39" s="1"/>
  <c r="J21" i="39"/>
  <c r="W21" i="39" s="1"/>
  <c r="F33" i="39"/>
  <c r="AA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c r="J39" i="39"/>
  <c r="J29" i="35"/>
  <c r="AC29" i="35" s="1"/>
  <c r="F29" i="35"/>
  <c r="S29" i="35" s="1"/>
  <c r="W30" i="36"/>
  <c r="AC30" i="36"/>
  <c r="F37" i="39"/>
  <c r="S37" i="39" s="1"/>
  <c r="H37" i="39"/>
  <c r="U37" i="39" s="1"/>
  <c r="J37" i="39"/>
  <c r="W37" i="39" s="1"/>
  <c r="BL568" i="3"/>
  <c r="BA568" i="3"/>
  <c r="AZ568" i="3"/>
  <c r="BL567" i="3"/>
  <c r="BA567" i="3"/>
  <c r="AZ567" i="3" s="1"/>
  <c r="BL566" i="3"/>
  <c r="BL565" i="3"/>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BA511" i="3"/>
  <c r="AZ511" i="3" s="1"/>
  <c r="BA510" i="3"/>
  <c r="AZ510" i="3" s="1"/>
  <c r="BL509" i="3"/>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W12" i="21"/>
  <c r="S35" i="21"/>
  <c r="S34" i="21"/>
  <c r="AB8" i="33"/>
  <c r="U8" i="33"/>
  <c r="H34" i="33"/>
  <c r="U34" i="33" s="1"/>
  <c r="F34" i="33"/>
  <c r="S34" i="33" s="1"/>
  <c r="E121" i="33"/>
  <c r="F121" i="33" s="1"/>
  <c r="G121" i="33" s="1"/>
  <c r="H121" i="33" s="1"/>
  <c r="I121" i="33" s="1"/>
  <c r="J121" i="33" s="1"/>
  <c r="K121" i="33" s="1"/>
  <c r="L121" i="33" s="1"/>
  <c r="M121" i="33" s="1"/>
  <c r="F41" i="33"/>
  <c r="S41" i="33"/>
  <c r="AC34" i="34"/>
  <c r="W34" i="34"/>
  <c r="S39" i="34"/>
  <c r="E78" i="34"/>
  <c r="F15" i="34"/>
  <c r="AC28" i="35"/>
  <c r="J20" i="35"/>
  <c r="AC20" i="35" s="1"/>
  <c r="E72" i="35"/>
  <c r="F72" i="35" s="1"/>
  <c r="G72" i="35" s="1"/>
  <c r="H22" i="35"/>
  <c r="AB22" i="35"/>
  <c r="H23" i="35"/>
  <c r="F23" i="35"/>
  <c r="AA23" i="35" s="1"/>
  <c r="AB36" i="35"/>
  <c r="W12" i="36"/>
  <c r="AC12" i="36"/>
  <c r="U31" i="36"/>
  <c r="AA8" i="37"/>
  <c r="H14" i="39"/>
  <c r="AB14" i="39" s="1"/>
  <c r="F16" i="39"/>
  <c r="AA16" i="39" s="1"/>
  <c r="H16" i="39"/>
  <c r="U16" i="39" s="1"/>
  <c r="J16" i="39"/>
  <c r="AC16" i="39" s="1"/>
  <c r="F27" i="39"/>
  <c r="AA27" i="39" s="1"/>
  <c r="J27" i="39"/>
  <c r="AC27" i="39" s="1"/>
  <c r="F15" i="40"/>
  <c r="AA15" i="40"/>
  <c r="J15" i="40"/>
  <c r="H15" i="40"/>
  <c r="AB15" i="40" s="1"/>
  <c r="E92" i="40"/>
  <c r="F92" i="40" s="1"/>
  <c r="G92" i="40" s="1"/>
  <c r="H23" i="40"/>
  <c r="U23" i="40" s="1"/>
  <c r="H41" i="40"/>
  <c r="AB41" i="40" s="1"/>
  <c r="F41" i="40"/>
  <c r="AA41" i="40" s="1"/>
  <c r="J41" i="40"/>
  <c r="W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7" i="3"/>
  <c r="AZ423" i="3"/>
  <c r="AZ439" i="3"/>
  <c r="B41" i="1"/>
  <c r="J42" i="40"/>
  <c r="AC42" i="40"/>
  <c r="J40" i="40"/>
  <c r="AC40" i="40"/>
  <c r="J34" i="40"/>
  <c r="AC34" i="40"/>
  <c r="H16" i="40"/>
  <c r="AB16" i="40"/>
  <c r="H14" i="40"/>
  <c r="U14" i="40"/>
  <c r="F32" i="40"/>
  <c r="AA32" i="40"/>
  <c r="AZ428" i="3"/>
  <c r="AZ436" i="3"/>
  <c r="AZ444" i="3"/>
  <c r="AZ449" i="3"/>
  <c r="AZ452" i="3"/>
  <c r="M1" i="46"/>
  <c r="M6" i="46"/>
  <c r="M10" i="46"/>
  <c r="N2" i="46"/>
  <c r="N5" i="46"/>
  <c r="F58" i="46"/>
  <c r="H61" i="46" s="1"/>
  <c r="N7" i="46"/>
  <c r="AZ458" i="3"/>
  <c r="AZ466" i="3"/>
  <c r="AZ469" i="3"/>
  <c r="AZ474" i="3"/>
  <c r="AZ388" i="3"/>
  <c r="AZ207" i="3"/>
  <c r="AZ212" i="3"/>
  <c r="AZ220" i="3"/>
  <c r="AZ223" i="3"/>
  <c r="AZ228" i="3"/>
  <c r="AZ236" i="3"/>
  <c r="AZ239" i="3"/>
  <c r="AZ244" i="3"/>
  <c r="AZ252" i="3"/>
  <c r="AZ255" i="3"/>
  <c r="AZ260" i="3"/>
  <c r="AZ268" i="3"/>
  <c r="AZ273" i="3"/>
  <c r="AZ276" i="3"/>
  <c r="AZ284" i="3"/>
  <c r="AZ289" i="3"/>
  <c r="AZ292"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1" i="9"/>
  <c r="AC14" i="40"/>
  <c r="S33" i="40"/>
  <c r="AC47" i="39"/>
  <c r="U37" i="34"/>
  <c r="AB37" i="34"/>
  <c r="AC41" i="40"/>
  <c r="U41" i="40"/>
  <c r="J23" i="40"/>
  <c r="AC23" i="40"/>
  <c r="F23" i="40"/>
  <c r="S23" i="40" s="1"/>
  <c r="AC15" i="40"/>
  <c r="W15" i="40"/>
  <c r="AB16" i="39"/>
  <c r="U23" i="35"/>
  <c r="AB23" i="35"/>
  <c r="H20" i="35"/>
  <c r="F20" i="35"/>
  <c r="S20" i="35" s="1"/>
  <c r="H15" i="34"/>
  <c r="AB15" i="34" s="1"/>
  <c r="F78" i="34"/>
  <c r="G78" i="34" s="1"/>
  <c r="J15" i="34"/>
  <c r="W15" i="34" s="1"/>
  <c r="H41" i="33"/>
  <c r="U41" i="33"/>
  <c r="F30" i="40"/>
  <c r="AA30" i="40"/>
  <c r="H100" i="40"/>
  <c r="I100" i="40"/>
  <c r="J100" i="40" s="1"/>
  <c r="K100" i="40" s="1"/>
  <c r="L100" i="40" s="1"/>
  <c r="M100" i="40" s="1"/>
  <c r="AB38" i="34"/>
  <c r="AZ486" i="3"/>
  <c r="AZ504" i="3"/>
  <c r="AZ529" i="3"/>
  <c r="AZ537" i="3"/>
  <c r="AZ548" i="3"/>
  <c r="AB37" i="39"/>
  <c r="U39" i="39"/>
  <c r="J29" i="39"/>
  <c r="AC29" i="39" s="1"/>
  <c r="AB33" i="36"/>
  <c r="AA14" i="35"/>
  <c r="S14" i="35"/>
  <c r="G99" i="37"/>
  <c r="F33" i="37"/>
  <c r="U46" i="34"/>
  <c r="AC30" i="34"/>
  <c r="AA14" i="34"/>
  <c r="W12" i="34"/>
  <c r="U29" i="33"/>
  <c r="AC13" i="33"/>
  <c r="U17" i="34"/>
  <c r="W32" i="33"/>
  <c r="H15" i="33"/>
  <c r="U15" i="33"/>
  <c r="AA11" i="33"/>
  <c r="AA40" i="21"/>
  <c r="U16" i="40"/>
  <c r="W34" i="40"/>
  <c r="AB34" i="40"/>
  <c r="AB42" i="40"/>
  <c r="AC16" i="40"/>
  <c r="H25" i="40"/>
  <c r="AB25" i="40" s="1"/>
  <c r="F94" i="40"/>
  <c r="G94" i="40" s="1"/>
  <c r="U47" i="39"/>
  <c r="J37" i="34"/>
  <c r="AC37" i="34"/>
  <c r="J36" i="33"/>
  <c r="W36" i="33"/>
  <c r="AB23" i="40"/>
  <c r="S16" i="39"/>
  <c r="S15" i="34"/>
  <c r="AA15" i="34"/>
  <c r="AA41" i="33"/>
  <c r="AA34" i="33"/>
  <c r="J34" i="33"/>
  <c r="AC34" i="33"/>
  <c r="U30" i="40"/>
  <c r="AA37" i="39"/>
  <c r="AC39" i="39"/>
  <c r="W39" i="39"/>
  <c r="AA39" i="39"/>
  <c r="AB46" i="39"/>
  <c r="U11" i="36"/>
  <c r="W14" i="35"/>
  <c r="F90" i="34"/>
  <c r="G90" i="34" s="1"/>
  <c r="H90" i="34" s="1"/>
  <c r="I90" i="34" s="1"/>
  <c r="J90" i="34" s="1"/>
  <c r="K90" i="34" s="1"/>
  <c r="L90" i="34" s="1"/>
  <c r="M90" i="34" s="1"/>
  <c r="F27" i="34"/>
  <c r="S27" i="34" s="1"/>
  <c r="G96" i="37"/>
  <c r="H96" i="37" s="1"/>
  <c r="I96" i="37" s="1"/>
  <c r="J96" i="37" s="1"/>
  <c r="K96" i="37" s="1"/>
  <c r="L96" i="37" s="1"/>
  <c r="M96" i="37" s="1"/>
  <c r="F32" i="37"/>
  <c r="S32" i="37"/>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11" i="37"/>
  <c r="AC16" i="35"/>
  <c r="AC13" i="40"/>
  <c r="J11" i="34"/>
  <c r="W11" i="34"/>
  <c r="AC36" i="33"/>
  <c r="F25" i="40"/>
  <c r="AA25" i="40"/>
  <c r="J11" i="33"/>
  <c r="W11" i="33"/>
  <c r="H33" i="37"/>
  <c r="AB33" i="37"/>
  <c r="AC15" i="34"/>
  <c r="U20" i="35"/>
  <c r="AB20" i="35"/>
  <c r="W23" i="40"/>
  <c r="D73" i="9"/>
  <c r="N73" i="9" s="1"/>
  <c r="B11" i="1"/>
  <c r="E11" i="1" s="1"/>
  <c r="B9" i="1"/>
  <c r="E9" i="1" s="1"/>
  <c r="K9" i="1"/>
  <c r="B7" i="1"/>
  <c r="E7" i="1" s="1"/>
  <c r="K7" i="1"/>
  <c r="M7" i="1" s="1"/>
  <c r="C20" i="43"/>
  <c r="M22" i="44"/>
  <c r="F29" i="12"/>
  <c r="D86" i="9"/>
  <c r="F31" i="43"/>
  <c r="C31" i="43" s="1"/>
  <c r="AC25" i="36"/>
  <c r="S23" i="36"/>
  <c r="S8" i="36"/>
  <c r="AA26" i="36"/>
  <c r="AA28" i="36"/>
  <c r="U25" i="36"/>
  <c r="H20" i="36"/>
  <c r="U20" i="36" s="1"/>
  <c r="F68" i="36"/>
  <c r="G68" i="36" s="1"/>
  <c r="J20" i="36"/>
  <c r="AC20" i="36" s="1"/>
  <c r="F20" i="36"/>
  <c r="S20" i="36" s="1"/>
  <c r="F62" i="36"/>
  <c r="G62" i="36" s="1"/>
  <c r="J14" i="36"/>
  <c r="W14" i="36" s="1"/>
  <c r="H14" i="36"/>
  <c r="F14" i="36"/>
  <c r="AA14" i="36" s="1"/>
  <c r="W20" i="36"/>
  <c r="U27" i="36"/>
  <c r="U32" i="36"/>
  <c r="AB12" i="36"/>
  <c r="S33" i="36"/>
  <c r="AA27" i="36"/>
  <c r="S29" i="36"/>
  <c r="U22" i="35"/>
  <c r="AA13" i="35"/>
  <c r="AC9" i="35"/>
  <c r="U33" i="35"/>
  <c r="W20" i="35"/>
  <c r="S16" i="35"/>
  <c r="AC10" i="35"/>
  <c r="W13" i="35"/>
  <c r="AC18" i="35"/>
  <c r="W18" i="35"/>
  <c r="U18" i="35"/>
  <c r="AB18" i="35"/>
  <c r="AA35" i="35"/>
  <c r="AB30" i="35"/>
  <c r="S27" i="35"/>
  <c r="J26" i="35"/>
  <c r="AC26" i="35" s="1"/>
  <c r="F26" i="35"/>
  <c r="H26" i="35"/>
  <c r="AB26" i="35" s="1"/>
  <c r="W12" i="37"/>
  <c r="S17" i="37"/>
  <c r="W28" i="37"/>
  <c r="AB37" i="37"/>
  <c r="AA31" i="37"/>
  <c r="S33" i="37"/>
  <c r="AA33" i="37"/>
  <c r="U32" i="37"/>
  <c r="AA32" i="37"/>
  <c r="J33" i="37"/>
  <c r="W33" i="37" s="1"/>
  <c r="H99" i="37"/>
  <c r="I99" i="37" s="1"/>
  <c r="J99" i="37" s="1"/>
  <c r="K99" i="37" s="1"/>
  <c r="L99" i="37" s="1"/>
  <c r="M99" i="37" s="1"/>
  <c r="S29" i="37"/>
  <c r="J19" i="37"/>
  <c r="AC19" i="37"/>
  <c r="F19" i="37"/>
  <c r="AA19" i="37" s="1"/>
  <c r="H19" i="37"/>
  <c r="U19" i="37" s="1"/>
  <c r="J17" i="37"/>
  <c r="S15" i="37"/>
  <c r="AC21" i="37"/>
  <c r="W21" i="37"/>
  <c r="AC11" i="37"/>
  <c r="W32" i="37"/>
  <c r="U8" i="37"/>
  <c r="AB25" i="37"/>
  <c r="AB21" i="37"/>
  <c r="U21" i="37"/>
  <c r="S37" i="37"/>
  <c r="AA11" i="37"/>
  <c r="W46" i="34"/>
  <c r="AA40" i="34"/>
  <c r="W33" i="34"/>
  <c r="U30" i="34"/>
  <c r="S32" i="34"/>
  <c r="AB33" i="34"/>
  <c r="AA12" i="34"/>
  <c r="AC35" i="34"/>
  <c r="AA30" i="34"/>
  <c r="AC32" i="34"/>
  <c r="U44" i="34"/>
  <c r="U28" i="34"/>
  <c r="J25" i="34"/>
  <c r="AC25" i="34" s="1"/>
  <c r="H25" i="34"/>
  <c r="F25" i="34"/>
  <c r="S25" i="34" s="1"/>
  <c r="J23" i="34"/>
  <c r="F23" i="34"/>
  <c r="S23" i="34" s="1"/>
  <c r="H23" i="34"/>
  <c r="W17" i="34"/>
  <c r="AC11" i="34"/>
  <c r="U11" i="34"/>
  <c r="W10" i="34"/>
  <c r="U10" i="34"/>
  <c r="W37" i="34"/>
  <c r="AC40" i="34"/>
  <c r="W19" i="34"/>
  <c r="AC21" i="34"/>
  <c r="W21" i="34"/>
  <c r="U15" i="34"/>
  <c r="AB21" i="34"/>
  <c r="U21" i="34"/>
  <c r="U19" i="34"/>
  <c r="AB41" i="34"/>
  <c r="AA41" i="34"/>
  <c r="S9" i="34"/>
  <c r="S10" i="34"/>
  <c r="U39" i="33"/>
  <c r="U37" i="33"/>
  <c r="S35" i="33"/>
  <c r="W34" i="33"/>
  <c r="AB41" i="33"/>
  <c r="U36" i="33"/>
  <c r="AC35" i="33"/>
  <c r="S29" i="33"/>
  <c r="W31" i="33"/>
  <c r="W43" i="33"/>
  <c r="W39" i="33"/>
  <c r="U35" i="33"/>
  <c r="H25" i="33"/>
  <c r="AB25" i="33" s="1"/>
  <c r="J25" i="33"/>
  <c r="W25" i="33" s="1"/>
  <c r="F25" i="33"/>
  <c r="S25" i="33" s="1"/>
  <c r="J23" i="33"/>
  <c r="F23" i="33"/>
  <c r="AA23" i="33" s="1"/>
  <c r="H23" i="33"/>
  <c r="U19" i="33"/>
  <c r="F17" i="33"/>
  <c r="H17" i="33"/>
  <c r="AB17" i="33" s="1"/>
  <c r="J17" i="33"/>
  <c r="AB15" i="33"/>
  <c r="AC11" i="33"/>
  <c r="S10" i="33"/>
  <c r="W10" i="33"/>
  <c r="AC21" i="33"/>
  <c r="W21" i="33"/>
  <c r="AB10" i="33"/>
  <c r="AB21" i="33"/>
  <c r="U21" i="33"/>
  <c r="AA21" i="33"/>
  <c r="S21" i="33"/>
  <c r="AA36" i="33"/>
  <c r="U35" i="21"/>
  <c r="W43" i="21"/>
  <c r="W28" i="21"/>
  <c r="AC26" i="21"/>
  <c r="F15" i="21"/>
  <c r="S15" i="21" s="1"/>
  <c r="J15" i="21"/>
  <c r="W15" i="21" s="1"/>
  <c r="H15" i="21"/>
  <c r="U15" i="21" s="1"/>
  <c r="W13" i="21"/>
  <c r="AC21" i="21"/>
  <c r="W21" i="21"/>
  <c r="AB21" i="21"/>
  <c r="U21" i="21"/>
  <c r="AB29" i="21"/>
  <c r="AA31" i="21"/>
  <c r="U33" i="40"/>
  <c r="U15" i="40"/>
  <c r="S14" i="40"/>
  <c r="S15" i="40"/>
  <c r="AB13" i="40"/>
  <c r="S16" i="40"/>
  <c r="W11" i="40"/>
  <c r="AA21" i="40"/>
  <c r="U21" i="40"/>
  <c r="W25" i="40"/>
  <c r="W42"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S30" i="40"/>
  <c r="S25" i="40"/>
  <c r="F88" i="40"/>
  <c r="G88" i="40" s="1"/>
  <c r="F19" i="40"/>
  <c r="S19" i="40" s="1"/>
  <c r="H19" i="40"/>
  <c r="J19" i="40"/>
  <c r="AC19" i="40" s="1"/>
  <c r="W17" i="40"/>
  <c r="AC17" i="40"/>
  <c r="F17" i="40"/>
  <c r="AA17" i="40"/>
  <c r="H17" i="40"/>
  <c r="AB17" i="40"/>
  <c r="AB40" i="40"/>
  <c r="U10" i="40"/>
  <c r="U27" i="40"/>
  <c r="AB27" i="40"/>
  <c r="S11" i="39"/>
  <c r="AC38" i="39"/>
  <c r="U11" i="39"/>
  <c r="AB38" i="39"/>
  <c r="U31" i="39"/>
  <c r="AB31" i="39"/>
  <c r="S38" i="39"/>
  <c r="M20" i="15"/>
  <c r="D96" i="9"/>
  <c r="F28" i="15"/>
  <c r="BA16" i="3"/>
  <c r="BA17" i="3"/>
  <c r="AZ17" i="3"/>
  <c r="F3" i="35"/>
  <c r="K1" i="43"/>
  <c r="K1" i="12"/>
  <c r="G1" i="44"/>
  <c r="G3" i="46"/>
  <c r="H101" i="46" s="1"/>
  <c r="H102" i="46" s="1"/>
  <c r="AZ15" i="3"/>
  <c r="BK5" i="3"/>
  <c r="BP5" i="3"/>
  <c r="G29" i="6" s="1"/>
  <c r="BN5" i="3"/>
  <c r="BL18" i="3"/>
  <c r="AZ18" i="3" s="1"/>
  <c r="BC5" i="3"/>
  <c r="BR5" i="3"/>
  <c r="G28" i="6" s="1"/>
  <c r="BQ5" i="3"/>
  <c r="BL16" i="3"/>
  <c r="BM5" i="3"/>
  <c r="F29" i="6" s="1"/>
  <c r="E29" i="6" s="1"/>
  <c r="K15" i="1" s="1"/>
  <c r="G28" i="12"/>
  <c r="G22" i="43"/>
  <c r="G26" i="12"/>
  <c r="D24" i="44"/>
  <c r="D26" i="44"/>
  <c r="G27" i="12"/>
  <c r="G23" i="43"/>
  <c r="G21" i="43"/>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C51" i="10"/>
  <c r="I100" i="46"/>
  <c r="C24" i="46"/>
  <c r="N100" i="46"/>
  <c r="H100" i="46"/>
  <c r="F108" i="46"/>
  <c r="H80" i="46"/>
  <c r="B45" i="46"/>
  <c r="E100" i="46"/>
  <c r="G100" i="46"/>
  <c r="H84" i="46"/>
  <c r="C100" i="46"/>
  <c r="J100" i="46"/>
  <c r="M100" i="46"/>
  <c r="W11" i="35"/>
  <c r="U13" i="37"/>
  <c r="S13" i="21"/>
  <c r="C24" i="9"/>
  <c r="C25" i="9"/>
  <c r="I20" i="46"/>
  <c r="B6" i="63"/>
  <c r="B46" i="50"/>
  <c r="B4" i="63"/>
  <c r="C46" i="36"/>
  <c r="C48" i="35"/>
  <c r="D48" i="35" s="1"/>
  <c r="E48" i="35" s="1"/>
  <c r="F48" i="35" s="1"/>
  <c r="G48" i="35" s="1"/>
  <c r="H48" i="35" s="1"/>
  <c r="I48" i="35" s="1"/>
  <c r="J48" i="35" s="1"/>
  <c r="C52" i="37"/>
  <c r="D52" i="37" s="1"/>
  <c r="E52" i="37" s="1"/>
  <c r="F52" i="37" s="1"/>
  <c r="G52" i="37" s="1"/>
  <c r="H52" i="37" s="1"/>
  <c r="I52" i="37" s="1"/>
  <c r="J52" i="37" s="1"/>
  <c r="K52" i="37" s="1"/>
  <c r="O19" i="46"/>
  <c r="H86" i="46"/>
  <c r="H82" i="46"/>
  <c r="H10" i="48"/>
  <c r="H87" i="46"/>
  <c r="H85" i="46"/>
  <c r="H83" i="46"/>
  <c r="K10" i="1"/>
  <c r="S13" i="1"/>
  <c r="R13" i="1"/>
  <c r="B6" i="1"/>
  <c r="E6" i="1" s="1"/>
  <c r="B10" i="1"/>
  <c r="E10" i="1" s="1"/>
  <c r="B8" i="1"/>
  <c r="E8" i="1" s="1"/>
  <c r="B12" i="1"/>
  <c r="E12" i="1" s="1"/>
  <c r="K6" i="1"/>
  <c r="M6" i="1" s="1"/>
  <c r="C15" i="43" s="1"/>
  <c r="G1" i="15"/>
  <c r="F66" i="36"/>
  <c r="G66" i="36" s="1"/>
  <c r="H18" i="36"/>
  <c r="U16" i="36"/>
  <c r="S25" i="36"/>
  <c r="AA34" i="36"/>
  <c r="U23" i="36"/>
  <c r="AC27" i="36"/>
  <c r="W28" i="36"/>
  <c r="AA32" i="36"/>
  <c r="U13" i="36"/>
  <c r="AA22" i="36"/>
  <c r="U10" i="36"/>
  <c r="AA13" i="36"/>
  <c r="W8" i="36"/>
  <c r="U32" i="35"/>
  <c r="W22" i="35"/>
  <c r="S32" i="35"/>
  <c r="W35" i="37"/>
  <c r="U33" i="37"/>
  <c r="AC15" i="37"/>
  <c r="AA13" i="37"/>
  <c r="W38" i="37"/>
  <c r="W36" i="37"/>
  <c r="U26" i="37"/>
  <c r="AB28" i="37"/>
  <c r="S28" i="37"/>
  <c r="W13" i="37"/>
  <c r="U38" i="37"/>
  <c r="AB35" i="34"/>
  <c r="S19" i="34"/>
  <c r="S8" i="34"/>
  <c r="AA19" i="33"/>
  <c r="AC25" i="33"/>
  <c r="AB42" i="33"/>
  <c r="S26" i="33"/>
  <c r="S15" i="33"/>
  <c r="AB25" i="21"/>
  <c r="AB45" i="21"/>
  <c r="W25" i="21"/>
  <c r="AA25" i="21"/>
  <c r="AA29" i="21"/>
  <c r="U27" i="21"/>
  <c r="W31" i="21"/>
  <c r="S27" i="21"/>
  <c r="AC27" i="21"/>
  <c r="W29" i="21"/>
  <c r="G96" i="40"/>
  <c r="J27" i="40"/>
  <c r="W27" i="40" s="1"/>
  <c r="W37" i="40"/>
  <c r="S17" i="40"/>
  <c r="S34" i="40"/>
  <c r="U17" i="40"/>
  <c r="U38" i="40"/>
  <c r="S42" i="40"/>
  <c r="J31" i="39"/>
  <c r="AC31" i="39" s="1"/>
  <c r="S45" i="39"/>
  <c r="S34" i="39"/>
  <c r="W42" i="39"/>
  <c r="W36" i="39"/>
  <c r="W16" i="39"/>
  <c r="AA46" i="39"/>
  <c r="W10" i="39"/>
  <c r="W11" i="39"/>
  <c r="U42" i="39"/>
  <c r="S32" i="40"/>
  <c r="C27" i="39"/>
  <c r="C17" i="40"/>
  <c r="C19" i="40"/>
  <c r="C17" i="39"/>
  <c r="C19" i="39"/>
  <c r="C21" i="39"/>
  <c r="B48" i="46"/>
  <c r="B51" i="46"/>
  <c r="B55" i="46"/>
  <c r="B59" i="46"/>
  <c r="B62" i="46"/>
  <c r="B66" i="46"/>
  <c r="B53" i="46"/>
  <c r="B64" i="46"/>
  <c r="D24" i="15"/>
  <c r="AB20" i="36"/>
  <c r="AC14" i="36"/>
  <c r="U14" i="36"/>
  <c r="AB14" i="36"/>
  <c r="U18" i="36"/>
  <c r="AB18"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AB39" i="40"/>
  <c r="U39" i="40"/>
  <c r="AC39" i="40"/>
  <c r="AA39" i="40"/>
  <c r="S39" i="40"/>
  <c r="U37" i="40"/>
  <c r="AB37" i="40"/>
  <c r="AA37" i="40"/>
  <c r="U29" i="40"/>
  <c r="AB29" i="40"/>
  <c r="AC29" i="40"/>
  <c r="AA29" i="40"/>
  <c r="W19" i="40"/>
  <c r="AA19" i="40"/>
  <c r="AB19" i="40"/>
  <c r="U19" i="40"/>
  <c r="AC27" i="40"/>
  <c r="AT6" i="3"/>
  <c r="AZ16" i="3"/>
  <c r="A9" i="64"/>
  <c r="A9" i="51"/>
  <c r="B9" i="63" s="1"/>
  <c r="E4" i="4"/>
  <c r="C4" i="4"/>
  <c r="B20" i="55" s="1"/>
  <c r="B70" i="63" s="1"/>
  <c r="J18" i="36"/>
  <c r="AC18" i="36" s="1"/>
  <c r="AE8" i="1"/>
  <c r="AE7" i="1"/>
  <c r="AE6" i="1"/>
  <c r="W18" i="36"/>
  <c r="AG6" i="1"/>
  <c r="L20" i="6"/>
  <c r="L19" i="6"/>
  <c r="B21" i="55"/>
  <c r="B72" i="63"/>
  <c r="C45" i="9"/>
  <c r="H14" i="66"/>
  <c r="B7" i="66" s="1"/>
  <c r="O40" i="9"/>
  <c r="K31" i="9"/>
  <c r="K32" i="9" s="1"/>
  <c r="R7" i="54"/>
  <c r="B52" i="63" s="1"/>
  <c r="N76" i="9"/>
  <c r="C46" i="9"/>
  <c r="K33" i="9" s="1"/>
  <c r="O41" i="9"/>
  <c r="R8" i="54" s="1"/>
  <c r="B54" i="63" s="1"/>
  <c r="D58" i="21"/>
  <c r="D70" i="39"/>
  <c r="C72" i="39"/>
  <c r="C67" i="40"/>
  <c r="D65" i="40"/>
  <c r="E65" i="40" s="1"/>
  <c r="E67" i="40" s="1"/>
  <c r="J17" i="46"/>
  <c r="C17" i="46"/>
  <c r="F34" i="46"/>
  <c r="F38" i="46"/>
  <c r="F37" i="46"/>
  <c r="H113" i="46"/>
  <c r="H49" i="46"/>
  <c r="D14" i="59"/>
  <c r="C13" i="59"/>
  <c r="D13" i="59"/>
  <c r="U11" i="59"/>
  <c r="F14" i="59"/>
  <c r="F13" i="59" s="1"/>
  <c r="F12" i="59" s="1"/>
  <c r="F11" i="59" s="1"/>
  <c r="Y13" i="59"/>
  <c r="Z13" i="59" s="1"/>
  <c r="AA13" i="59"/>
  <c r="AB13" i="59"/>
  <c r="Y12" i="59"/>
  <c r="Z12" i="59" s="1"/>
  <c r="Y11" i="59"/>
  <c r="Z11" i="59" s="1"/>
  <c r="Y10" i="59"/>
  <c r="Z10" i="59" s="1"/>
  <c r="AB12" i="59"/>
  <c r="AB11" i="59"/>
  <c r="AB10" i="59"/>
  <c r="AA15" i="59"/>
  <c r="X13" i="59"/>
  <c r="X11" i="59"/>
  <c r="X10" i="59"/>
  <c r="AA11" i="59"/>
  <c r="AA10" i="59"/>
  <c r="C25" i="12"/>
  <c r="C27" i="43"/>
  <c r="C28" i="15"/>
  <c r="H1" i="65"/>
  <c r="H51" i="46"/>
  <c r="X7" i="46"/>
  <c r="E17" i="46"/>
  <c r="N17" i="46"/>
  <c r="O17" i="46"/>
  <c r="M17" i="46"/>
  <c r="L17" i="46"/>
  <c r="G22" i="46"/>
  <c r="D46" i="36"/>
  <c r="H70" i="46"/>
  <c r="H73" i="46"/>
  <c r="H50" i="46"/>
  <c r="F35" i="46"/>
  <c r="I17" i="46"/>
  <c r="H63" i="46"/>
  <c r="AC11" i="46"/>
  <c r="AC13" i="46" s="1"/>
  <c r="H64" i="46"/>
  <c r="D100" i="46"/>
  <c r="AF12" i="46"/>
  <c r="K100" i="46"/>
  <c r="AB12" i="46"/>
  <c r="AJ12" i="46"/>
  <c r="B113" i="46"/>
  <c r="I116" i="46" s="1"/>
  <c r="J116" i="46" s="1"/>
  <c r="K116" i="46" s="1"/>
  <c r="L116" i="46" s="1"/>
  <c r="M116" i="46" s="1"/>
  <c r="E101" i="46"/>
  <c r="E104" i="46" s="1"/>
  <c r="AG11" i="46"/>
  <c r="AG13" i="46" s="1"/>
  <c r="AI11" i="46"/>
  <c r="AI13" i="46" s="1"/>
  <c r="H60" i="46"/>
  <c r="H74" i="46"/>
  <c r="H75" i="46"/>
  <c r="E9" i="46"/>
  <c r="E8" i="46"/>
  <c r="H72" i="46"/>
  <c r="H69" i="46"/>
  <c r="H77" i="46"/>
  <c r="H76" i="46"/>
  <c r="H54" i="46"/>
  <c r="H47" i="46"/>
  <c r="AD12" i="46"/>
  <c r="AH12" i="46"/>
  <c r="C12" i="59"/>
  <c r="C11" i="59"/>
  <c r="C10" i="59" s="1"/>
  <c r="C9" i="59" s="1"/>
  <c r="C8" i="59" s="1"/>
  <c r="D12" i="59"/>
  <c r="D67" i="40"/>
  <c r="E70" i="39"/>
  <c r="F70" i="39" s="1"/>
  <c r="G70" i="39" s="1"/>
  <c r="H70" i="39" s="1"/>
  <c r="D72" i="39"/>
  <c r="D11" i="59"/>
  <c r="E46" i="36"/>
  <c r="F46" i="36" s="1"/>
  <c r="G46" i="36" s="1"/>
  <c r="E72" i="39"/>
  <c r="D10" i="59"/>
  <c r="G20" i="46"/>
  <c r="E41" i="46" s="1"/>
  <c r="C41" i="46" s="1"/>
  <c r="S3" i="46"/>
  <c r="F72" i="39"/>
  <c r="G72" i="39"/>
  <c r="I70" i="39"/>
  <c r="H72" i="39"/>
  <c r="J70" i="39"/>
  <c r="I72" i="39"/>
  <c r="J72" i="39"/>
  <c r="K70" i="39"/>
  <c r="L70" i="39" s="1"/>
  <c r="K72" i="39"/>
  <c r="E8" i="67"/>
  <c r="E11" i="67"/>
  <c r="F8" i="15"/>
  <c r="F26" i="15"/>
  <c r="F14" i="67"/>
  <c r="F11" i="67"/>
  <c r="F42" i="15"/>
  <c r="E9" i="67"/>
  <c r="F40" i="15"/>
  <c r="F6" i="15"/>
  <c r="I3" i="65"/>
  <c r="E13" i="67"/>
  <c r="F12" i="67"/>
  <c r="F13" i="67"/>
  <c r="M8" i="15"/>
  <c r="B8" i="67"/>
  <c r="M9" i="15"/>
  <c r="F38" i="15"/>
  <c r="F10" i="67"/>
  <c r="F36" i="15"/>
  <c r="E10" i="67"/>
  <c r="N7" i="65"/>
  <c r="J3" i="65"/>
  <c r="M27" i="15"/>
  <c r="L48" i="15"/>
  <c r="N3" i="65"/>
  <c r="N5" i="65"/>
  <c r="F16" i="15"/>
  <c r="B11" i="67"/>
  <c r="B9" i="67"/>
  <c r="E14" i="67"/>
  <c r="F11" i="44"/>
  <c r="F39" i="44"/>
  <c r="J6" i="65"/>
  <c r="F9" i="44"/>
  <c r="F9" i="67"/>
  <c r="J15" i="15"/>
  <c r="F7" i="15"/>
  <c r="M29" i="44"/>
  <c r="I7" i="65"/>
  <c r="M23" i="15"/>
  <c r="C19" i="44"/>
  <c r="I6" i="65"/>
  <c r="J36" i="15"/>
  <c r="M26" i="15"/>
  <c r="M28" i="44"/>
  <c r="I5" i="65"/>
  <c r="N6" i="65"/>
  <c r="L47" i="15"/>
  <c r="F38" i="44"/>
  <c r="M22" i="15"/>
  <c r="B13" i="67"/>
  <c r="M25" i="44"/>
  <c r="E12" i="67"/>
  <c r="M23" i="44"/>
  <c r="F9" i="15"/>
  <c r="J5" i="65"/>
  <c r="N4" i="65"/>
  <c r="M10" i="44"/>
  <c r="F13" i="15"/>
  <c r="I4" i="65"/>
  <c r="B10" i="67"/>
  <c r="F40" i="44"/>
  <c r="B14" i="67"/>
  <c r="M24" i="15"/>
  <c r="F37" i="15"/>
  <c r="J4" i="65"/>
  <c r="J7" i="65"/>
  <c r="L49" i="44"/>
  <c r="F8" i="44"/>
  <c r="M6" i="15"/>
  <c r="F8" i="67"/>
  <c r="M8" i="44"/>
  <c r="B12" i="67"/>
  <c r="M28" i="15"/>
  <c r="M31" i="44"/>
  <c r="L72" i="39" l="1"/>
  <c r="M70" i="39"/>
  <c r="F10" i="59"/>
  <c r="F9" i="59" s="1"/>
  <c r="F8" i="59" s="1"/>
  <c r="F7" i="59" s="1"/>
  <c r="V11" i="59"/>
  <c r="AZ484" i="3"/>
  <c r="AA12" i="21"/>
  <c r="S12" i="21"/>
  <c r="S14" i="21"/>
  <c r="AA14" i="21"/>
  <c r="U28" i="21"/>
  <c r="AB28" i="21"/>
  <c r="AC44" i="21"/>
  <c r="W44" i="21"/>
  <c r="AB46" i="21"/>
  <c r="U46" i="21"/>
  <c r="H113" i="21"/>
  <c r="H37" i="21"/>
  <c r="U37" i="21" s="1"/>
  <c r="F37" i="21"/>
  <c r="J37" i="21"/>
  <c r="AC9" i="33"/>
  <c r="W9" i="33"/>
  <c r="U9" i="35"/>
  <c r="AB9" i="35"/>
  <c r="U44" i="33"/>
  <c r="AB44" i="33"/>
  <c r="AB12" i="35"/>
  <c r="U12" i="35"/>
  <c r="U11" i="35"/>
  <c r="AB11" i="35"/>
  <c r="W24" i="35"/>
  <c r="AC24" i="35"/>
  <c r="AC34" i="35"/>
  <c r="W34" i="35"/>
  <c r="H23" i="39"/>
  <c r="AB23" i="39" s="1"/>
  <c r="F97" i="39"/>
  <c r="G97" i="39" s="1"/>
  <c r="F23" i="39"/>
  <c r="AA23" i="39" s="1"/>
  <c r="J23" i="39"/>
  <c r="AC23" i="39" s="1"/>
  <c r="AZ532" i="3"/>
  <c r="U28" i="33"/>
  <c r="AB28" i="33"/>
  <c r="AC26" i="33"/>
  <c r="W26" i="33"/>
  <c r="W27" i="34"/>
  <c r="AC27" i="34"/>
  <c r="W12" i="33"/>
  <c r="AC12" i="33"/>
  <c r="AC46" i="33"/>
  <c r="W46" i="33"/>
  <c r="AB13" i="34"/>
  <c r="U13" i="34"/>
  <c r="W29" i="34"/>
  <c r="AC29" i="34"/>
  <c r="W31" i="34"/>
  <c r="AC31" i="34"/>
  <c r="AB45" i="34"/>
  <c r="U45" i="34"/>
  <c r="U47" i="34"/>
  <c r="AB47" i="34"/>
  <c r="C7" i="59"/>
  <c r="D8" i="59"/>
  <c r="A18" i="51"/>
  <c r="B14" i="63" s="1"/>
  <c r="C53" i="10"/>
  <c r="A18" i="64"/>
  <c r="B74" i="63" s="1"/>
  <c r="F32" i="73"/>
  <c r="F59" i="73" s="1"/>
  <c r="F28" i="73"/>
  <c r="C28" i="73" s="1"/>
  <c r="M18" i="73"/>
  <c r="F32" i="72"/>
  <c r="F59" i="72" s="1"/>
  <c r="F28" i="72"/>
  <c r="C28" i="72" s="1"/>
  <c r="M18" i="72"/>
  <c r="BH5" i="3"/>
  <c r="E5" i="6" s="1"/>
  <c r="D21" i="12" s="1"/>
  <c r="C21" i="12" s="1"/>
  <c r="J9" i="36"/>
  <c r="H9" i="36"/>
  <c r="F9" i="36"/>
  <c r="J24" i="36"/>
  <c r="H24" i="36"/>
  <c r="S6" i="46"/>
  <c r="S5" i="46"/>
  <c r="D9" i="59"/>
  <c r="F65" i="40"/>
  <c r="T11" i="59"/>
  <c r="H52" i="46"/>
  <c r="H55" i="46"/>
  <c r="E11" i="46"/>
  <c r="C7" i="46" s="1"/>
  <c r="H65" i="46"/>
  <c r="H59" i="46"/>
  <c r="AE11" i="46"/>
  <c r="AE13" i="46" s="1"/>
  <c r="AH11" i="46"/>
  <c r="AH13" i="46" s="1"/>
  <c r="K101" i="46"/>
  <c r="K107" i="46" s="1"/>
  <c r="L101" i="46"/>
  <c r="L102" i="46" s="1"/>
  <c r="G101" i="46"/>
  <c r="G106" i="46" s="1"/>
  <c r="H62" i="46"/>
  <c r="H66" i="46"/>
  <c r="AJ11" i="46"/>
  <c r="AJ13" i="46" s="1"/>
  <c r="M101" i="46"/>
  <c r="M107" i="46" s="1"/>
  <c r="H48" i="46"/>
  <c r="F101" i="46"/>
  <c r="Y11" i="46"/>
  <c r="Y13" i="46" s="1"/>
  <c r="H58" i="46"/>
  <c r="K34" i="9"/>
  <c r="AA20" i="36"/>
  <c r="S14" i="36"/>
  <c r="C23" i="40"/>
  <c r="W45" i="39"/>
  <c r="AC37" i="39"/>
  <c r="AC46" i="39"/>
  <c r="S40" i="40"/>
  <c r="W30" i="40"/>
  <c r="AB14" i="33"/>
  <c r="S43" i="33"/>
  <c r="S12" i="37"/>
  <c r="AC33" i="37"/>
  <c r="AA33" i="35"/>
  <c r="W32" i="35"/>
  <c r="AC30" i="35"/>
  <c r="W29" i="36"/>
  <c r="T41" i="4"/>
  <c r="A17" i="51" s="1"/>
  <c r="B13" i="63" s="1"/>
  <c r="K5" i="54"/>
  <c r="C20" i="46"/>
  <c r="AA11" i="35"/>
  <c r="AA12" i="36"/>
  <c r="M18" i="15"/>
  <c r="AB45" i="39"/>
  <c r="W21" i="40"/>
  <c r="AA23" i="40"/>
  <c r="U35" i="40"/>
  <c r="U25" i="40"/>
  <c r="S35" i="40"/>
  <c r="W33" i="40"/>
  <c r="AA30" i="21"/>
  <c r="AC38" i="21"/>
  <c r="AB32" i="21"/>
  <c r="W32" i="21"/>
  <c r="U25" i="33"/>
  <c r="W14" i="33"/>
  <c r="S14" i="33"/>
  <c r="AB34" i="33"/>
  <c r="AB11" i="33"/>
  <c r="U27" i="34"/>
  <c r="W44" i="34"/>
  <c r="AA27" i="34"/>
  <c r="U34" i="34"/>
  <c r="AA33" i="34"/>
  <c r="S10" i="37"/>
  <c r="S40" i="37"/>
  <c r="U35" i="37"/>
  <c r="AC9" i="37"/>
  <c r="AC10" i="37"/>
  <c r="AA9" i="37"/>
  <c r="AB9" i="37"/>
  <c r="S28" i="35"/>
  <c r="S30" i="35"/>
  <c r="AB14" i="35"/>
  <c r="S23" i="35"/>
  <c r="AA20" i="35"/>
  <c r="S8" i="35"/>
  <c r="AC33" i="35"/>
  <c r="S16" i="36"/>
  <c r="F30" i="44"/>
  <c r="C30" i="44" s="1"/>
  <c r="M20" i="44"/>
  <c r="F70" i="9"/>
  <c r="F32" i="15"/>
  <c r="F59" i="15" s="1"/>
  <c r="S17" i="34"/>
  <c r="U40" i="21"/>
  <c r="AB44" i="39"/>
  <c r="W29" i="35"/>
  <c r="S41" i="40"/>
  <c r="W32" i="40"/>
  <c r="AA11" i="34"/>
  <c r="AA11" i="36"/>
  <c r="AA29" i="35"/>
  <c r="S47" i="39"/>
  <c r="AB32" i="40"/>
  <c r="W35" i="40"/>
  <c r="F72" i="9"/>
  <c r="F66" i="9"/>
  <c r="P72" i="9" s="1"/>
  <c r="F34" i="44"/>
  <c r="H41" i="39"/>
  <c r="AB41" i="39" s="1"/>
  <c r="H27" i="39"/>
  <c r="AB27" i="39" s="1"/>
  <c r="J14" i="39"/>
  <c r="AC14" i="39" s="1"/>
  <c r="S43" i="34"/>
  <c r="AB14" i="37"/>
  <c r="AA31" i="36"/>
  <c r="AC34" i="37"/>
  <c r="J19" i="39"/>
  <c r="W19" i="39" s="1"/>
  <c r="F19" i="39"/>
  <c r="S19" i="39" s="1"/>
  <c r="AB39" i="34"/>
  <c r="H17" i="21"/>
  <c r="AB17" i="21" s="1"/>
  <c r="W42" i="33"/>
  <c r="AB36" i="34"/>
  <c r="AB16" i="35"/>
  <c r="U12" i="37"/>
  <c r="S39" i="33"/>
  <c r="S25" i="37"/>
  <c r="U39" i="37"/>
  <c r="AC23" i="37"/>
  <c r="AC12" i="35"/>
  <c r="H24" i="35"/>
  <c r="F24" i="35"/>
  <c r="AB45" i="33"/>
  <c r="AB30" i="21"/>
  <c r="U30" i="33"/>
  <c r="J14" i="37"/>
  <c r="F14" i="37"/>
  <c r="J47" i="34"/>
  <c r="F47" i="34"/>
  <c r="F45" i="34"/>
  <c r="J45" i="34"/>
  <c r="F31" i="34"/>
  <c r="H31" i="34"/>
  <c r="H29" i="34"/>
  <c r="F29" i="34"/>
  <c r="F13" i="34"/>
  <c r="J13" i="34"/>
  <c r="H46" i="33"/>
  <c r="F46" i="33"/>
  <c r="F44" i="33"/>
  <c r="J44" i="33"/>
  <c r="S31" i="33"/>
  <c r="H26" i="33"/>
  <c r="F46" i="21"/>
  <c r="J46" i="21"/>
  <c r="F44" i="21"/>
  <c r="H44" i="21"/>
  <c r="F28" i="21"/>
  <c r="H14" i="21"/>
  <c r="J42" i="21"/>
  <c r="W42" i="21" s="1"/>
  <c r="AB40" i="34"/>
  <c r="AC34" i="36"/>
  <c r="H11" i="21"/>
  <c r="U11" i="21" s="1"/>
  <c r="AA38" i="21"/>
  <c r="F11" i="21"/>
  <c r="W8" i="21"/>
  <c r="W39" i="34"/>
  <c r="AC27" i="35"/>
  <c r="W39" i="37"/>
  <c r="F39" i="37"/>
  <c r="H12" i="21"/>
  <c r="J19" i="21"/>
  <c r="W19" i="21" s="1"/>
  <c r="H9" i="21"/>
  <c r="AB9" i="21" s="1"/>
  <c r="J9" i="21"/>
  <c r="AC9" i="21" s="1"/>
  <c r="H5" i="3"/>
  <c r="BI5" i="3"/>
  <c r="BG5" i="3"/>
  <c r="G7" i="21"/>
  <c r="I7" i="21"/>
  <c r="E7" i="21"/>
  <c r="H42" i="21"/>
  <c r="U42" i="21" s="1"/>
  <c r="F9" i="33"/>
  <c r="H9" i="33"/>
  <c r="F12" i="33"/>
  <c r="H12" i="33"/>
  <c r="F34" i="35"/>
  <c r="H34" i="35"/>
  <c r="J36" i="35"/>
  <c r="F26" i="37"/>
  <c r="AZ393" i="3"/>
  <c r="AZ396" i="3"/>
  <c r="AZ406" i="3"/>
  <c r="AZ409" i="3"/>
  <c r="AZ412" i="3"/>
  <c r="AZ419" i="3"/>
  <c r="AZ425" i="3"/>
  <c r="AZ429" i="3"/>
  <c r="AZ445" i="3"/>
  <c r="AZ448" i="3"/>
  <c r="AZ468" i="3"/>
  <c r="AZ472" i="3"/>
  <c r="AZ206" i="3"/>
  <c r="AZ210" i="3"/>
  <c r="AZ222" i="3"/>
  <c r="AZ226" i="3"/>
  <c r="AZ238" i="3"/>
  <c r="AZ242" i="3"/>
  <c r="AZ254" i="3"/>
  <c r="AZ258" i="3"/>
  <c r="AZ269" i="3"/>
  <c r="AZ272" i="3"/>
  <c r="AZ285" i="3"/>
  <c r="AZ288" i="3"/>
  <c r="AZ296" i="3"/>
  <c r="AZ125" i="3"/>
  <c r="F34" i="15"/>
  <c r="F61" i="15" s="1"/>
  <c r="M20" i="73"/>
  <c r="F34" i="73"/>
  <c r="F61" i="73" s="1"/>
  <c r="F34" i="72"/>
  <c r="F61" i="72" s="1"/>
  <c r="M20" i="72"/>
  <c r="D55" i="59"/>
  <c r="T55" i="59"/>
  <c r="Y20" i="59"/>
  <c r="Z20" i="59" s="1"/>
  <c r="C21" i="59"/>
  <c r="X21" i="59"/>
  <c r="X16" i="59"/>
  <c r="AA21" i="59"/>
  <c r="AA16" i="59"/>
  <c r="AA18" i="59"/>
  <c r="AA3" i="59"/>
  <c r="AA19" i="59"/>
  <c r="E22" i="59"/>
  <c r="E23" i="59" s="1"/>
  <c r="U23" i="59" s="1"/>
  <c r="AA24" i="59"/>
  <c r="E25" i="59"/>
  <c r="E26" i="59" s="1"/>
  <c r="E27" i="59" s="1"/>
  <c r="U27" i="59" s="1"/>
  <c r="C50" i="59"/>
  <c r="D49" i="59"/>
  <c r="C19" i="59"/>
  <c r="Y16" i="59"/>
  <c r="Z16" i="59" s="1"/>
  <c r="Y17" i="59"/>
  <c r="Z17" i="59" s="1"/>
  <c r="Y18" i="59"/>
  <c r="Z18" i="59" s="1"/>
  <c r="Y19" i="59"/>
  <c r="Z19" i="59" s="1"/>
  <c r="F19" i="59"/>
  <c r="AB19" i="59"/>
  <c r="AB16" i="59"/>
  <c r="AB18" i="59"/>
  <c r="AB17" i="59"/>
  <c r="AA14" i="59"/>
  <c r="AA9" i="59"/>
  <c r="AA5" i="59"/>
  <c r="BL13" i="3"/>
  <c r="BL5" i="3" s="1"/>
  <c r="AZ128" i="3"/>
  <c r="AZ141" i="3"/>
  <c r="AZ144" i="3"/>
  <c r="AZ155" i="3"/>
  <c r="AZ168" i="3"/>
  <c r="AZ171" i="3"/>
  <c r="AZ186" i="3"/>
  <c r="AZ194" i="3"/>
  <c r="AZ204" i="3"/>
  <c r="AZ22" i="3"/>
  <c r="AZ26" i="3"/>
  <c r="AZ45" i="3"/>
  <c r="AZ49" i="3"/>
  <c r="AZ52" i="3"/>
  <c r="AZ54" i="3"/>
  <c r="AZ58" i="3"/>
  <c r="AZ76" i="3"/>
  <c r="AZ80" i="3"/>
  <c r="AZ83" i="3"/>
  <c r="AZ96" i="3"/>
  <c r="AZ100" i="3"/>
  <c r="AZ103" i="3"/>
  <c r="AZ105" i="3"/>
  <c r="AZ109" i="3"/>
  <c r="C35" i="59"/>
  <c r="C47" i="59"/>
  <c r="C73" i="59"/>
  <c r="D73" i="59" s="1"/>
  <c r="D74" i="59"/>
  <c r="D70" i="59"/>
  <c r="C69" i="59"/>
  <c r="D69" i="59" s="1"/>
  <c r="C57" i="59"/>
  <c r="D58" i="59"/>
  <c r="D53" i="59"/>
  <c r="AB3" i="59"/>
  <c r="X18" i="59"/>
  <c r="C26" i="59"/>
  <c r="D25" i="59"/>
  <c r="Y28" i="59"/>
  <c r="Z28" i="59" s="1"/>
  <c r="C29" i="59"/>
  <c r="G1" i="73"/>
  <c r="G1" i="72"/>
  <c r="D1" i="57"/>
  <c r="E10" i="57" s="1"/>
  <c r="AA18" i="36"/>
  <c r="S18" i="36"/>
  <c r="X20" i="59"/>
  <c r="B21" i="59"/>
  <c r="B22" i="59" s="1"/>
  <c r="B23" i="59" s="1"/>
  <c r="S23" i="59" s="1"/>
  <c r="X3" i="59"/>
  <c r="X17" i="59"/>
  <c r="X19" i="59"/>
  <c r="AB24" i="59"/>
  <c r="F25" i="59"/>
  <c r="F26" i="59" s="1"/>
  <c r="F27" i="59" s="1"/>
  <c r="V27" i="59" s="1"/>
  <c r="Y25" i="59"/>
  <c r="Z25" i="59" s="1"/>
  <c r="Y26" i="59"/>
  <c r="Z26" i="59" s="1"/>
  <c r="Y27" i="59"/>
  <c r="Z27" i="59" s="1"/>
  <c r="X28" i="59"/>
  <c r="B29" i="59"/>
  <c r="B30" i="59" s="1"/>
  <c r="B31" i="59" s="1"/>
  <c r="S31" i="59" s="1"/>
  <c r="N59" i="59"/>
  <c r="B58" i="59"/>
  <c r="S59" i="59"/>
  <c r="V59" i="59"/>
  <c r="F58" i="59"/>
  <c r="Q59" i="59"/>
  <c r="T67" i="59"/>
  <c r="D67" i="59"/>
  <c r="P16" i="4"/>
  <c r="AA20" i="59"/>
  <c r="AB20" i="59"/>
  <c r="Y21" i="59"/>
  <c r="Z21" i="59" s="1"/>
  <c r="AB21" i="59"/>
  <c r="Y22" i="59"/>
  <c r="Z22" i="59" s="1"/>
  <c r="AB22" i="59"/>
  <c r="Y23" i="59"/>
  <c r="Z23" i="59" s="1"/>
  <c r="AB23" i="59"/>
  <c r="X24" i="59"/>
  <c r="Y24" i="59"/>
  <c r="Z24" i="59" s="1"/>
  <c r="X25" i="59"/>
  <c r="AA25" i="59"/>
  <c r="X26" i="59"/>
  <c r="AA26" i="59"/>
  <c r="X27" i="59"/>
  <c r="AA27" i="59"/>
  <c r="AA28" i="59"/>
  <c r="Y29" i="59"/>
  <c r="Z29" i="59" s="1"/>
  <c r="B18" i="59"/>
  <c r="B17" i="59" s="1"/>
  <c r="S19" i="59"/>
  <c r="Y15" i="59"/>
  <c r="Z15" i="59" s="1"/>
  <c r="X14" i="59"/>
  <c r="B15" i="59"/>
  <c r="X12" i="59"/>
  <c r="Y9" i="59"/>
  <c r="Z9" i="59" s="1"/>
  <c r="AB9" i="59"/>
  <c r="X8" i="59"/>
  <c r="AA8" i="59"/>
  <c r="A28" i="64"/>
  <c r="E18" i="59"/>
  <c r="E17" i="59" s="1"/>
  <c r="O76" i="9"/>
  <c r="K76" i="9"/>
  <c r="K77" i="9" s="1"/>
  <c r="K79" i="9" s="1"/>
  <c r="K81" i="9" s="1"/>
  <c r="X15" i="59"/>
  <c r="AB15" i="59"/>
  <c r="Y14" i="59"/>
  <c r="Z14" i="59" s="1"/>
  <c r="AB14" i="59"/>
  <c r="AA12" i="59"/>
  <c r="X9" i="59"/>
  <c r="X5" i="59"/>
  <c r="AA6" i="59"/>
  <c r="X7" i="59"/>
  <c r="Y8" i="59"/>
  <c r="Z8" i="59" s="1"/>
  <c r="AB8" i="59"/>
  <c r="Y5" i="59"/>
  <c r="Z5" i="59" s="1"/>
  <c r="AB6" i="59"/>
  <c r="AB5" i="59"/>
  <c r="K105" i="46"/>
  <c r="S7" i="46"/>
  <c r="G103" i="46"/>
  <c r="AB11" i="46"/>
  <c r="AB13" i="46" s="1"/>
  <c r="AA11" i="46"/>
  <c r="AA13" i="46" s="1"/>
  <c r="E22" i="46"/>
  <c r="F22" i="46"/>
  <c r="J101" i="46"/>
  <c r="J107" i="46" s="1"/>
  <c r="N101" i="46"/>
  <c r="N105" i="46" s="1"/>
  <c r="J22" i="46"/>
  <c r="H22" i="46"/>
  <c r="K11" i="1"/>
  <c r="Q16" i="1" s="1"/>
  <c r="F33" i="12" s="1"/>
  <c r="C34" i="12" s="1"/>
  <c r="D33" i="12" s="1"/>
  <c r="B116" i="46"/>
  <c r="C116" i="46" s="1"/>
  <c r="BA13" i="3"/>
  <c r="M9" i="1"/>
  <c r="O9" i="1" s="1"/>
  <c r="P9" i="1" s="1"/>
  <c r="S4" i="46"/>
  <c r="S2" i="46"/>
  <c r="C23" i="46"/>
  <c r="C21" i="46" s="1"/>
  <c r="AF11" i="46"/>
  <c r="AF13" i="46" s="1"/>
  <c r="Z11" i="46"/>
  <c r="Z13" i="46" s="1"/>
  <c r="Z7" i="46"/>
  <c r="N104" i="45"/>
  <c r="C101" i="46"/>
  <c r="C109" i="46" s="1"/>
  <c r="AD11" i="46"/>
  <c r="AD13" i="46" s="1"/>
  <c r="I101" i="46"/>
  <c r="D101" i="46"/>
  <c r="D109" i="46" s="1"/>
  <c r="M10" i="1"/>
  <c r="G11" i="1"/>
  <c r="F6" i="1"/>
  <c r="AP6" i="1" s="1"/>
  <c r="F8" i="1"/>
  <c r="F12" i="1"/>
  <c r="AP7" i="1"/>
  <c r="AP10" i="1"/>
  <c r="AP9" i="1"/>
  <c r="G13" i="1"/>
  <c r="G10" i="1"/>
  <c r="J43" i="39"/>
  <c r="W43" i="39" s="1"/>
  <c r="S43" i="39"/>
  <c r="H43" i="39"/>
  <c r="AB33" i="39"/>
  <c r="S33" i="39"/>
  <c r="AC33" i="39"/>
  <c r="S31" i="39"/>
  <c r="S29" i="39"/>
  <c r="W29" i="39"/>
  <c r="AB29" i="39"/>
  <c r="S27" i="39"/>
  <c r="W27" i="39"/>
  <c r="W25" i="39"/>
  <c r="AB25" i="39"/>
  <c r="U23" i="39"/>
  <c r="AC21" i="39"/>
  <c r="AA21" i="39"/>
  <c r="U21" i="39"/>
  <c r="AC19" i="39"/>
  <c r="AA19" i="39"/>
  <c r="U19" i="39"/>
  <c r="W41" i="39"/>
  <c r="W40" i="39"/>
  <c r="M43" i="9"/>
  <c r="D18" i="9"/>
  <c r="M44" i="9" s="1"/>
  <c r="G17" i="46"/>
  <c r="C16" i="46" s="1"/>
  <c r="C5" i="46" s="1"/>
  <c r="AC34" i="21"/>
  <c r="AC36" i="21"/>
  <c r="AA36" i="21"/>
  <c r="W39" i="21"/>
  <c r="U39" i="21"/>
  <c r="S39" i="21"/>
  <c r="AB34" i="21"/>
  <c r="J23" i="21"/>
  <c r="W23" i="21" s="1"/>
  <c r="F23" i="21"/>
  <c r="S23" i="21" s="1"/>
  <c r="F85" i="21"/>
  <c r="G85" i="21" s="1"/>
  <c r="H23" i="21"/>
  <c r="AB23" i="21" s="1"/>
  <c r="AC23" i="21"/>
  <c r="S21" i="21"/>
  <c r="H19" i="21"/>
  <c r="AB19" i="21" s="1"/>
  <c r="F19" i="21"/>
  <c r="AA19" i="21" s="1"/>
  <c r="AC19" i="21"/>
  <c r="AA17" i="21"/>
  <c r="AC17" i="21"/>
  <c r="U17" i="21"/>
  <c r="S42" i="21"/>
  <c r="AB42" i="21"/>
  <c r="AC15" i="21"/>
  <c r="AA15" i="21"/>
  <c r="AB15" i="21"/>
  <c r="AB11" i="21"/>
  <c r="AC11" i="21"/>
  <c r="W10" i="21"/>
  <c r="AB10" i="21"/>
  <c r="S10" i="21"/>
  <c r="S9" i="21"/>
  <c r="U9" i="21"/>
  <c r="AB8" i="21"/>
  <c r="AA8" i="21"/>
  <c r="S41" i="39"/>
  <c r="W34" i="39"/>
  <c r="U34" i="39"/>
  <c r="W31" i="39"/>
  <c r="S25" i="39"/>
  <c r="S23" i="39"/>
  <c r="AC17" i="39"/>
  <c r="S17" i="39"/>
  <c r="AB17" i="39"/>
  <c r="S15" i="39"/>
  <c r="AB15" i="39"/>
  <c r="W15" i="39"/>
  <c r="W14" i="39"/>
  <c r="U14" i="39"/>
  <c r="S14" i="39"/>
  <c r="U41" i="39"/>
  <c r="AC43" i="39"/>
  <c r="AA44" i="39"/>
  <c r="AC44" i="39"/>
  <c r="G83" i="39"/>
  <c r="H13" i="39" s="1"/>
  <c r="A30" i="64"/>
  <c r="A30" i="51"/>
  <c r="B22" i="63" s="1"/>
  <c r="D23" i="15"/>
  <c r="H104" i="46"/>
  <c r="H105" i="46"/>
  <c r="H107" i="46"/>
  <c r="F103" i="46"/>
  <c r="L27" i="6"/>
  <c r="G105" i="46"/>
  <c r="I117" i="46"/>
  <c r="J117" i="46" s="1"/>
  <c r="K117" i="46" s="1"/>
  <c r="L117" i="46" s="1"/>
  <c r="M117" i="46" s="1"/>
  <c r="I115" i="46"/>
  <c r="J115" i="46" s="1"/>
  <c r="K115" i="46" s="1"/>
  <c r="L115" i="46" s="1"/>
  <c r="M115" i="46" s="1"/>
  <c r="L105" i="46"/>
  <c r="D104" i="46"/>
  <c r="H106" i="46"/>
  <c r="H109" i="46"/>
  <c r="H103" i="46"/>
  <c r="F30" i="6"/>
  <c r="F104" i="46"/>
  <c r="J109" i="46"/>
  <c r="M102" i="46"/>
  <c r="G30" i="6"/>
  <c r="G31" i="6" s="1"/>
  <c r="E28" i="6"/>
  <c r="E103" i="46"/>
  <c r="K103" i="46"/>
  <c r="I103" i="46"/>
  <c r="G109" i="46"/>
  <c r="B117" i="46"/>
  <c r="C117" i="46" s="1"/>
  <c r="D118" i="46"/>
  <c r="E118" i="46" s="1"/>
  <c r="F118" i="46" s="1"/>
  <c r="B115" i="46"/>
  <c r="C115" i="46" s="1"/>
  <c r="L103" i="46"/>
  <c r="L106" i="46"/>
  <c r="E107" i="46"/>
  <c r="E106" i="46"/>
  <c r="I107" i="46"/>
  <c r="E109" i="46"/>
  <c r="G107"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2" i="46"/>
  <c r="I105" i="46"/>
  <c r="N103" i="46"/>
  <c r="E8" i="6"/>
  <c r="E53" i="40" s="1"/>
  <c r="C102" i="46"/>
  <c r="M106" i="46"/>
  <c r="G13" i="3"/>
  <c r="I109" i="46"/>
  <c r="H16" i="1"/>
  <c r="E12" i="6"/>
  <c r="E14" i="6"/>
  <c r="E10" i="6"/>
  <c r="M109" i="46"/>
  <c r="O13" i="1"/>
  <c r="P13" i="1" s="1"/>
  <c r="O6" i="1"/>
  <c r="P6" i="1" s="1"/>
  <c r="O7" i="1"/>
  <c r="P7" i="1" s="1"/>
  <c r="O12" i="1"/>
  <c r="P12" i="1" s="1"/>
  <c r="C103" i="46"/>
  <c r="G6" i="1"/>
  <c r="N16" i="4"/>
  <c r="L16" i="4"/>
  <c r="I14" i="66"/>
  <c r="B8" i="66" s="1"/>
  <c r="K48" i="35"/>
  <c r="L48" i="35" s="1"/>
  <c r="M48" i="35" s="1"/>
  <c r="N48" i="35" s="1"/>
  <c r="O48" i="35" s="1"/>
  <c r="H7" i="35"/>
  <c r="H46" i="36"/>
  <c r="I46" i="36" s="1"/>
  <c r="J46" i="36" s="1"/>
  <c r="K46" i="36" s="1"/>
  <c r="L46" i="36" s="1"/>
  <c r="M46" i="36" s="1"/>
  <c r="N46" i="36" s="1"/>
  <c r="O46" i="36" s="1"/>
  <c r="J7" i="36"/>
  <c r="L52" i="37"/>
  <c r="F7" i="35"/>
  <c r="F59" i="34"/>
  <c r="F58" i="33"/>
  <c r="E58" i="21"/>
  <c r="E7" i="59"/>
  <c r="X6" i="59"/>
  <c r="Y6" i="59"/>
  <c r="Z6" i="59" s="1"/>
  <c r="B4" i="52"/>
  <c r="B8" i="52"/>
  <c r="E22" i="52"/>
  <c r="E7" i="52"/>
  <c r="E13" i="52"/>
  <c r="E10" i="52"/>
  <c r="E8" i="52"/>
  <c r="B10" i="52"/>
  <c r="E4" i="52"/>
  <c r="E21" i="52"/>
  <c r="B9" i="52"/>
  <c r="E11" i="52"/>
  <c r="B11" i="52"/>
  <c r="B7" i="52"/>
  <c r="B6" i="52"/>
  <c r="B13" i="52"/>
  <c r="B14" i="52"/>
  <c r="E9" i="52"/>
  <c r="B22" i="52"/>
  <c r="E6" i="52"/>
  <c r="Y3" i="59"/>
  <c r="Z3" i="59" s="1"/>
  <c r="AB7" i="59"/>
  <c r="AA7" i="59"/>
  <c r="Y7" i="59"/>
  <c r="Z7" i="59" s="1"/>
  <c r="P22" i="46"/>
  <c r="P24" i="46"/>
  <c r="B68" i="40" s="1"/>
  <c r="P23" i="46"/>
  <c r="P25" i="46"/>
  <c r="B73" i="39" s="1"/>
  <c r="P21" i="46"/>
  <c r="E20" i="46"/>
  <c r="C6" i="15"/>
  <c r="F65" i="15"/>
  <c r="J1" i="65"/>
  <c r="F67" i="15"/>
  <c r="F50" i="15"/>
  <c r="C27" i="15"/>
  <c r="F64" i="15"/>
  <c r="I1" i="65"/>
  <c r="M9" i="44"/>
  <c r="L59" i="15"/>
  <c r="L58" i="15"/>
  <c r="J53" i="15"/>
  <c r="J57" i="15"/>
  <c r="J55" i="15" s="1"/>
  <c r="J58" i="15" s="1"/>
  <c r="Q51" i="15" s="1"/>
  <c r="I54" i="15"/>
  <c r="L56" i="15"/>
  <c r="F49" i="15"/>
  <c r="M7" i="15"/>
  <c r="I55" i="44"/>
  <c r="J54" i="44"/>
  <c r="L57" i="44"/>
  <c r="J58" i="44"/>
  <c r="J56" i="44" s="1"/>
  <c r="J59" i="44" s="1"/>
  <c r="Q52" i="44" s="1"/>
  <c r="J60" i="44"/>
  <c r="J61" i="44"/>
  <c r="Q50" i="44" s="1"/>
  <c r="Q72" i="15"/>
  <c r="J22" i="44"/>
  <c r="F63" i="15"/>
  <c r="C4" i="65"/>
  <c r="B39" i="1" s="1"/>
  <c r="F33" i="44"/>
  <c r="F31" i="15"/>
  <c r="F58" i="15"/>
  <c r="M19" i="44"/>
  <c r="M17" i="15"/>
  <c r="F37" i="44"/>
  <c r="M30" i="44"/>
  <c r="F45" i="44"/>
  <c r="F28" i="44"/>
  <c r="F46" i="44"/>
  <c r="M24" i="44"/>
  <c r="F10" i="44"/>
  <c r="M29" i="15"/>
  <c r="J17" i="44"/>
  <c r="L48" i="44"/>
  <c r="M11" i="44"/>
  <c r="M26" i="44"/>
  <c r="F15" i="44"/>
  <c r="F18" i="44"/>
  <c r="F43" i="44"/>
  <c r="F43" i="15"/>
  <c r="E3" i="65"/>
  <c r="E2" i="65"/>
  <c r="Q73" i="44" l="1"/>
  <c r="L59" i="44"/>
  <c r="Q75" i="44" s="1"/>
  <c r="L60" i="44"/>
  <c r="Q76" i="44" s="1"/>
  <c r="C8" i="44"/>
  <c r="C34" i="44" s="1"/>
  <c r="C29" i="44"/>
  <c r="C36" i="44"/>
  <c r="E6" i="59"/>
  <c r="E5" i="59" s="1"/>
  <c r="U7" i="59"/>
  <c r="S15" i="59"/>
  <c r="B14" i="59"/>
  <c r="B13" i="59" s="1"/>
  <c r="B12" i="59" s="1"/>
  <c r="B11" i="59" s="1"/>
  <c r="B57" i="59"/>
  <c r="N58" i="59"/>
  <c r="D26" i="59"/>
  <c r="C27" i="59"/>
  <c r="D47" i="59"/>
  <c r="T47" i="59"/>
  <c r="V19" i="59"/>
  <c r="F18" i="59"/>
  <c r="F17" i="59" s="1"/>
  <c r="D21" i="59"/>
  <c r="C22" i="59"/>
  <c r="AC36" i="35"/>
  <c r="W36" i="35"/>
  <c r="S34" i="35"/>
  <c r="AA34" i="35"/>
  <c r="AA12" i="33"/>
  <c r="S12" i="33"/>
  <c r="S9" i="33"/>
  <c r="AA9" i="33"/>
  <c r="S39" i="37"/>
  <c r="AA39" i="37"/>
  <c r="AA28" i="21"/>
  <c r="S28" i="21"/>
  <c r="AA44" i="21"/>
  <c r="S44" i="21"/>
  <c r="S46" i="21"/>
  <c r="AA46" i="21"/>
  <c r="S44" i="33"/>
  <c r="AA44" i="33"/>
  <c r="AB46" i="33"/>
  <c r="U46" i="33"/>
  <c r="AA13" i="34"/>
  <c r="S13" i="34"/>
  <c r="AB29" i="34"/>
  <c r="U29" i="34"/>
  <c r="S31" i="34"/>
  <c r="AA31" i="34"/>
  <c r="AA45" i="34"/>
  <c r="S45" i="34"/>
  <c r="AC47" i="34"/>
  <c r="W47" i="34"/>
  <c r="W14" i="37"/>
  <c r="AC14" i="37"/>
  <c r="AA24" i="35"/>
  <c r="S24" i="35"/>
  <c r="F106" i="46"/>
  <c r="F102" i="46"/>
  <c r="W24" i="36"/>
  <c r="AC24" i="36"/>
  <c r="AB9" i="36"/>
  <c r="U9" i="36"/>
  <c r="A25" i="64"/>
  <c r="A25" i="51"/>
  <c r="B18" i="63" s="1"/>
  <c r="A17" i="64"/>
  <c r="C6" i="59"/>
  <c r="T7" i="59"/>
  <c r="W37" i="21"/>
  <c r="AC37" i="21"/>
  <c r="F6" i="59"/>
  <c r="F5" i="59" s="1"/>
  <c r="V7" i="59"/>
  <c r="N70" i="39"/>
  <c r="N72" i="39" s="1"/>
  <c r="M72" i="39"/>
  <c r="J8" i="44"/>
  <c r="J20" i="44" s="1"/>
  <c r="D7" i="59"/>
  <c r="J7" i="35"/>
  <c r="AC7" i="35" s="1"/>
  <c r="V38" i="35" s="1"/>
  <c r="I38" i="35" s="1"/>
  <c r="M103" i="46"/>
  <c r="M104" i="46"/>
  <c r="E13" i="6"/>
  <c r="E11" i="6"/>
  <c r="E63" i="39" s="1"/>
  <c r="E15" i="6"/>
  <c r="D12" i="11"/>
  <c r="C12" i="11" s="1"/>
  <c r="N104" i="46"/>
  <c r="K104" i="46"/>
  <c r="G104" i="46"/>
  <c r="K109" i="46"/>
  <c r="N106" i="46"/>
  <c r="K106" i="46"/>
  <c r="G102" i="46"/>
  <c r="M105" i="46"/>
  <c r="F107" i="46"/>
  <c r="F105" i="46"/>
  <c r="W23" i="39"/>
  <c r="W9" i="21"/>
  <c r="AC42" i="21"/>
  <c r="AB37" i="21"/>
  <c r="U27" i="39"/>
  <c r="F109" i="46"/>
  <c r="F57" i="59"/>
  <c r="Q58" i="59"/>
  <c r="D29" i="59"/>
  <c r="C30" i="59"/>
  <c r="D57" i="59"/>
  <c r="O57" i="59"/>
  <c r="O56" i="59"/>
  <c r="D35" i="59"/>
  <c r="T35" i="59"/>
  <c r="T19" i="59"/>
  <c r="C18" i="59"/>
  <c r="D19" i="59"/>
  <c r="C51" i="59"/>
  <c r="D50" i="59"/>
  <c r="AA26" i="37"/>
  <c r="S26" i="37"/>
  <c r="AB34" i="35"/>
  <c r="U34" i="35"/>
  <c r="AB12" i="33"/>
  <c r="U12" i="33"/>
  <c r="AB9" i="33"/>
  <c r="U9" i="33"/>
  <c r="AB12" i="21"/>
  <c r="U12" i="21"/>
  <c r="S11" i="21"/>
  <c r="AA11" i="21"/>
  <c r="U14" i="21"/>
  <c r="AB14" i="21"/>
  <c r="U44" i="21"/>
  <c r="AB44" i="21"/>
  <c r="AC46" i="21"/>
  <c r="W46" i="21"/>
  <c r="AB26" i="33"/>
  <c r="U26" i="33"/>
  <c r="W44" i="33"/>
  <c r="AC44" i="33"/>
  <c r="AA46" i="33"/>
  <c r="S46" i="33"/>
  <c r="W13" i="34"/>
  <c r="AC13" i="34"/>
  <c r="S29" i="34"/>
  <c r="AA29" i="34"/>
  <c r="U31" i="34"/>
  <c r="AB31" i="34"/>
  <c r="AC45" i="34"/>
  <c r="W45" i="34"/>
  <c r="S47" i="34"/>
  <c r="AA47" i="34"/>
  <c r="AA14" i="37"/>
  <c r="S14" i="37"/>
  <c r="AB24" i="35"/>
  <c r="U24" i="35"/>
  <c r="A3" i="55"/>
  <c r="B56" i="63" s="1"/>
  <c r="B38" i="63"/>
  <c r="G65" i="40"/>
  <c r="F67" i="40"/>
  <c r="AB24" i="36"/>
  <c r="U24" i="36"/>
  <c r="S9" i="36"/>
  <c r="AA9" i="36"/>
  <c r="AC9" i="36"/>
  <c r="W9" i="36"/>
  <c r="S37" i="21"/>
  <c r="AA37" i="21"/>
  <c r="J102" i="46"/>
  <c r="C106" i="46"/>
  <c r="J104" i="46"/>
  <c r="E58" i="39"/>
  <c r="J106" i="46"/>
  <c r="C105" i="46"/>
  <c r="J103" i="46"/>
  <c r="C104" i="46"/>
  <c r="J105" i="46"/>
  <c r="C107" i="46"/>
  <c r="F70" i="15"/>
  <c r="D107" i="46"/>
  <c r="D105" i="46"/>
  <c r="O10" i="1"/>
  <c r="P10" i="1" s="1"/>
  <c r="M11" i="1"/>
  <c r="D106" i="46"/>
  <c r="D103" i="46"/>
  <c r="AZ13" i="3"/>
  <c r="AZ5" i="3" s="1"/>
  <c r="E3" i="6" s="1"/>
  <c r="BA5" i="3"/>
  <c r="N109" i="46"/>
  <c r="N107" i="46"/>
  <c r="D102" i="46"/>
  <c r="N102" i="46"/>
  <c r="I102" i="46"/>
  <c r="I106" i="46"/>
  <c r="I104" i="46"/>
  <c r="D22" i="46"/>
  <c r="AP12" i="1"/>
  <c r="G12" i="1"/>
  <c r="AP8" i="1"/>
  <c r="AP16" i="1" s="1"/>
  <c r="F22" i="11" s="1"/>
  <c r="G8" i="1"/>
  <c r="G16" i="1" s="1"/>
  <c r="J12" i="40" s="1"/>
  <c r="AC12" i="40" s="1"/>
  <c r="K17" i="4"/>
  <c r="A22" i="51" s="1"/>
  <c r="B16" i="63" s="1"/>
  <c r="U43" i="39"/>
  <c r="AB43" i="39"/>
  <c r="D5" i="46"/>
  <c r="M11" i="73"/>
  <c r="J10" i="73" s="1"/>
  <c r="F11" i="73"/>
  <c r="M11" i="72"/>
  <c r="J10" i="72" s="1"/>
  <c r="F11" i="72"/>
  <c r="U23" i="21"/>
  <c r="AA23" i="21"/>
  <c r="U19" i="21"/>
  <c r="S19" i="21"/>
  <c r="AB13" i="39"/>
  <c r="U13" i="39"/>
  <c r="F13" i="39"/>
  <c r="H83" i="39"/>
  <c r="I83" i="39" s="1"/>
  <c r="J83" i="39" s="1"/>
  <c r="K83" i="39" s="1"/>
  <c r="L83" i="39" s="1"/>
  <c r="M83" i="39" s="1"/>
  <c r="J13" i="39"/>
  <c r="C15" i="12"/>
  <c r="F18" i="11"/>
  <c r="C18" i="11" s="1"/>
  <c r="D113" i="46"/>
  <c r="F24" i="43"/>
  <c r="C26" i="43" s="1"/>
  <c r="D24" i="43" s="1"/>
  <c r="F27" i="6"/>
  <c r="F31" i="6" s="1"/>
  <c r="K14" i="1"/>
  <c r="E30" i="6"/>
  <c r="G5" i="3"/>
  <c r="B3" i="3" s="1"/>
  <c r="E60" i="40"/>
  <c r="E65" i="39"/>
  <c r="E58" i="40"/>
  <c r="E67" i="39"/>
  <c r="E62" i="40"/>
  <c r="E61" i="40"/>
  <c r="E66" i="39"/>
  <c r="E64" i="39"/>
  <c r="E59" i="40"/>
  <c r="G58" i="33"/>
  <c r="G59" i="34"/>
  <c r="M52" i="37"/>
  <c r="H7" i="36"/>
  <c r="F7" i="36"/>
  <c r="AB7" i="35"/>
  <c r="T38" i="35" s="1"/>
  <c r="G38" i="35" s="1"/>
  <c r="U7" i="35"/>
  <c r="F58" i="21"/>
  <c r="AA7" i="35"/>
  <c r="R38" i="35" s="1"/>
  <c r="S7" i="35"/>
  <c r="W7" i="36"/>
  <c r="AC7" i="36"/>
  <c r="V36" i="36" s="1"/>
  <c r="I36" i="36" s="1"/>
  <c r="W7" i="35"/>
  <c r="C19" i="46"/>
  <c r="B40" i="1"/>
  <c r="F17" i="11"/>
  <c r="C17" i="11" s="1"/>
  <c r="L47" i="44"/>
  <c r="Q62" i="15"/>
  <c r="Q75" i="15"/>
  <c r="M13" i="44"/>
  <c r="J12" i="44" s="1"/>
  <c r="F11" i="15"/>
  <c r="M11" i="15"/>
  <c r="J10" i="15" s="1"/>
  <c r="F13" i="44"/>
  <c r="C12" i="44" s="1"/>
  <c r="C7" i="44" s="1"/>
  <c r="C48" i="15"/>
  <c r="C32" i="15"/>
  <c r="M28" i="46"/>
  <c r="P28" i="46"/>
  <c r="O28" i="46"/>
  <c r="N28" i="46"/>
  <c r="F1" i="44"/>
  <c r="Q54" i="44"/>
  <c r="Q63" i="44"/>
  <c r="F1" i="15"/>
  <c r="Q53" i="15"/>
  <c r="Q61" i="15"/>
  <c r="Q74" i="15"/>
  <c r="J6" i="15"/>
  <c r="M26" i="73"/>
  <c r="M23" i="73"/>
  <c r="F38" i="73"/>
  <c r="M28" i="73"/>
  <c r="M6" i="73"/>
  <c r="M8" i="73"/>
  <c r="M9" i="73"/>
  <c r="F26" i="73"/>
  <c r="F37" i="73"/>
  <c r="F40" i="73"/>
  <c r="F6" i="73"/>
  <c r="M29" i="73"/>
  <c r="L47" i="73"/>
  <c r="F38" i="72"/>
  <c r="M23" i="72"/>
  <c r="M24" i="72"/>
  <c r="M28" i="72"/>
  <c r="F40" i="72"/>
  <c r="F26" i="72"/>
  <c r="F6" i="72"/>
  <c r="F36" i="72"/>
  <c r="F16" i="72"/>
  <c r="M8" i="72"/>
  <c r="M26" i="72"/>
  <c r="M29" i="72"/>
  <c r="L48" i="72"/>
  <c r="F7" i="72"/>
  <c r="AE11" i="1"/>
  <c r="C18" i="44"/>
  <c r="M24" i="73"/>
  <c r="F42" i="73"/>
  <c r="F13" i="73"/>
  <c r="F16" i="73"/>
  <c r="M27" i="73"/>
  <c r="F36" i="73"/>
  <c r="M22" i="73"/>
  <c r="J36" i="73"/>
  <c r="F8" i="73"/>
  <c r="J15" i="73"/>
  <c r="F9" i="73"/>
  <c r="F43" i="73"/>
  <c r="F7" i="73"/>
  <c r="L48" i="73"/>
  <c r="M27" i="72"/>
  <c r="M9" i="72"/>
  <c r="F42" i="72"/>
  <c r="F9" i="72"/>
  <c r="J36" i="72"/>
  <c r="J15" i="72"/>
  <c r="F8" i="72"/>
  <c r="M22" i="72"/>
  <c r="M6" i="72"/>
  <c r="F37" i="72"/>
  <c r="F13" i="72"/>
  <c r="L47" i="72"/>
  <c r="F43" i="72"/>
  <c r="C16" i="15"/>
  <c r="Q62" i="44" l="1"/>
  <c r="F70" i="72"/>
  <c r="L59" i="72"/>
  <c r="L58" i="72"/>
  <c r="F64" i="72"/>
  <c r="F50" i="72"/>
  <c r="Q72" i="72"/>
  <c r="L57" i="73"/>
  <c r="J60" i="73"/>
  <c r="Q49" i="73" s="1"/>
  <c r="J57" i="73"/>
  <c r="J55" i="73" s="1"/>
  <c r="J58" i="73" s="1"/>
  <c r="Q51" i="73" s="1"/>
  <c r="L56" i="73"/>
  <c r="J53" i="73"/>
  <c r="L60" i="73"/>
  <c r="I54" i="73"/>
  <c r="J59" i="73"/>
  <c r="M7" i="73"/>
  <c r="J6" i="73" s="1"/>
  <c r="J18" i="73" s="1"/>
  <c r="F49" i="73"/>
  <c r="F70" i="73"/>
  <c r="F50" i="73"/>
  <c r="Q72" i="73"/>
  <c r="F63" i="73"/>
  <c r="M7" i="72"/>
  <c r="J6" i="72" s="1"/>
  <c r="J18" i="72" s="1"/>
  <c r="F49" i="72"/>
  <c r="L60" i="72"/>
  <c r="L56" i="72"/>
  <c r="J53" i="72"/>
  <c r="L57" i="72"/>
  <c r="J60" i="72"/>
  <c r="Q49" i="72" s="1"/>
  <c r="J59" i="72"/>
  <c r="I54" i="72"/>
  <c r="J57" i="72"/>
  <c r="J55" i="72" s="1"/>
  <c r="J58" i="72" s="1"/>
  <c r="Q51" i="72" s="1"/>
  <c r="F63" i="72"/>
  <c r="C6" i="72"/>
  <c r="C10" i="72" s="1"/>
  <c r="C5" i="72" s="1"/>
  <c r="C27" i="72"/>
  <c r="F67" i="72"/>
  <c r="F65" i="72"/>
  <c r="L59" i="73"/>
  <c r="L58" i="73"/>
  <c r="C6" i="73"/>
  <c r="F67" i="73"/>
  <c r="F64" i="73"/>
  <c r="C27" i="73"/>
  <c r="F65" i="73"/>
  <c r="H65" i="40"/>
  <c r="G67" i="40"/>
  <c r="D51" i="59"/>
  <c r="T51" i="59"/>
  <c r="C17" i="59"/>
  <c r="D17" i="59" s="1"/>
  <c r="D18" i="59"/>
  <c r="C5" i="59"/>
  <c r="D5" i="59" s="1"/>
  <c r="D6" i="59"/>
  <c r="D22" i="59"/>
  <c r="C23" i="59"/>
  <c r="D27" i="59"/>
  <c r="T27" i="59"/>
  <c r="N57" i="59"/>
  <c r="N56" i="59"/>
  <c r="J7" i="44"/>
  <c r="J28" i="44" s="1"/>
  <c r="J31" i="44" s="1"/>
  <c r="C34" i="46"/>
  <c r="E16" i="6"/>
  <c r="J5" i="73"/>
  <c r="J24" i="73" s="1"/>
  <c r="D30" i="59"/>
  <c r="C31" i="59"/>
  <c r="Q56" i="59"/>
  <c r="Q57" i="59"/>
  <c r="F9" i="39"/>
  <c r="H9" i="39"/>
  <c r="J9" i="39"/>
  <c r="B10" i="59"/>
  <c r="B9" i="59" s="1"/>
  <c r="B8" i="59" s="1"/>
  <c r="B7" i="59" s="1"/>
  <c r="S11" i="59"/>
  <c r="E13" i="3"/>
  <c r="C33" i="21"/>
  <c r="D45" i="9"/>
  <c r="D16" i="43"/>
  <c r="C16" i="43" s="1"/>
  <c r="C21" i="4"/>
  <c r="O5" i="54" s="1"/>
  <c r="B45" i="63" s="1"/>
  <c r="D16" i="12"/>
  <c r="D10" i="11"/>
  <c r="L38" i="9"/>
  <c r="B14" i="66" s="1"/>
  <c r="B1" i="66" s="1"/>
  <c r="E6" i="6"/>
  <c r="D46" i="9"/>
  <c r="O11" i="1"/>
  <c r="P11" i="1" s="1"/>
  <c r="W12" i="40"/>
  <c r="F12" i="39"/>
  <c r="S12" i="39" s="1"/>
  <c r="H12" i="39"/>
  <c r="U12" i="39" s="1"/>
  <c r="F12" i="40"/>
  <c r="H12" i="40"/>
  <c r="AB12" i="40" s="1"/>
  <c r="J12" i="39"/>
  <c r="AC12" i="39" s="1"/>
  <c r="F24" i="72"/>
  <c r="C24" i="72" s="1"/>
  <c r="F24" i="73"/>
  <c r="C52" i="73"/>
  <c r="C10" i="73"/>
  <c r="C5" i="73" s="1"/>
  <c r="C52" i="72"/>
  <c r="AC13" i="39"/>
  <c r="W13" i="39"/>
  <c r="S13" i="39"/>
  <c r="AA13" i="39"/>
  <c r="C19" i="11"/>
  <c r="C20" i="11" s="1"/>
  <c r="C21" i="11" s="1"/>
  <c r="C22" i="11" s="1"/>
  <c r="C23" i="11" s="1"/>
  <c r="B2" i="11" s="1"/>
  <c r="E27" i="6"/>
  <c r="E31" i="6" s="1"/>
  <c r="K16" i="1"/>
  <c r="M14" i="1"/>
  <c r="E33" i="3"/>
  <c r="E317" i="3"/>
  <c r="E357" i="3"/>
  <c r="E179" i="3"/>
  <c r="AS6" i="3"/>
  <c r="E444" i="3"/>
  <c r="E383" i="3"/>
  <c r="E247" i="3"/>
  <c r="E190" i="3"/>
  <c r="E560" i="3"/>
  <c r="E420" i="3"/>
  <c r="E111" i="3"/>
  <c r="E233" i="3"/>
  <c r="E261" i="3"/>
  <c r="E203" i="3"/>
  <c r="E39" i="3"/>
  <c r="E402" i="3"/>
  <c r="E107" i="3"/>
  <c r="E172" i="3"/>
  <c r="E288" i="3"/>
  <c r="E255" i="3"/>
  <c r="E393" i="3"/>
  <c r="E417" i="3"/>
  <c r="E88" i="3"/>
  <c r="E145" i="3"/>
  <c r="E480" i="3"/>
  <c r="E279" i="3"/>
  <c r="E220" i="3"/>
  <c r="E347"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141" i="3"/>
  <c r="E34" i="3"/>
  <c r="E550" i="3"/>
  <c r="E189" i="3"/>
  <c r="E507" i="3"/>
  <c r="E275" i="3"/>
  <c r="L6" i="3"/>
  <c r="E429" i="3"/>
  <c r="E116" i="3"/>
  <c r="E372" i="3"/>
  <c r="E465" i="3"/>
  <c r="E154" i="3"/>
  <c r="E243"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28" i="3"/>
  <c r="E168" i="3"/>
  <c r="E407" i="3"/>
  <c r="E533" i="3"/>
  <c r="E37" i="3"/>
  <c r="E303" i="3"/>
  <c r="E467" i="3"/>
  <c r="E67" i="3"/>
  <c r="E214" i="3"/>
  <c r="E486" i="3"/>
  <c r="E543" i="3"/>
  <c r="E264" i="3"/>
  <c r="E369"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7" i="3"/>
  <c r="E487" i="3"/>
  <c r="E329" i="3"/>
  <c r="AB6" i="3"/>
  <c r="E26" i="3"/>
  <c r="S6" i="3"/>
  <c r="E322" i="3"/>
  <c r="E511" i="3"/>
  <c r="E17" i="3"/>
  <c r="E377" i="3"/>
  <c r="E18" i="3"/>
  <c r="E358" i="3"/>
  <c r="E509" i="3"/>
  <c r="E20" i="3"/>
  <c r="E564"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516" i="3"/>
  <c r="E504" i="3"/>
  <c r="E227" i="3"/>
  <c r="E406" i="3"/>
  <c r="E488" i="3"/>
  <c r="E244" i="3"/>
  <c r="E71" i="3"/>
  <c r="E137" i="3"/>
  <c r="E240" i="3"/>
  <c r="E301" i="3"/>
  <c r="E382" i="3"/>
  <c r="E484" i="3"/>
  <c r="E326" i="3"/>
  <c r="E356"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336" i="3"/>
  <c r="E211" i="3"/>
  <c r="E248" i="3"/>
  <c r="E126" i="3"/>
  <c r="E365" i="3"/>
  <c r="E73" i="3"/>
  <c r="E527" i="3"/>
  <c r="E305" i="3"/>
  <c r="E291" i="3"/>
  <c r="U6" i="3"/>
  <c r="E556" i="3"/>
  <c r="E451" i="3"/>
  <c r="E445" i="3"/>
  <c r="E52" i="3"/>
  <c r="E139" i="3"/>
  <c r="E245" i="3"/>
  <c r="E332" i="3"/>
  <c r="E539" i="3"/>
  <c r="E85" i="3"/>
  <c r="E568" i="3"/>
  <c r="E136" i="3"/>
  <c r="E289" i="3"/>
  <c r="AE6" i="3"/>
  <c r="E97" i="3"/>
  <c r="E500" i="3"/>
  <c r="E119" i="3"/>
  <c r="Q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308" i="3"/>
  <c r="E370" i="3"/>
  <c r="E259" i="3"/>
  <c r="E276" i="3"/>
  <c r="E196" i="3"/>
  <c r="E43" i="3"/>
  <c r="E449" i="3"/>
  <c r="E479" i="3"/>
  <c r="E207" i="3"/>
  <c r="E258" i="3"/>
  <c r="E204" i="3"/>
  <c r="E25" i="3"/>
  <c r="O6" i="3"/>
  <c r="E102" i="3"/>
  <c r="E166" i="3"/>
  <c r="E272" i="3"/>
  <c r="E257" i="3"/>
  <c r="E401" i="3"/>
  <c r="E425" i="3"/>
  <c r="E79" i="3"/>
  <c r="E113" i="3"/>
  <c r="E363" i="3"/>
  <c r="E455" i="3"/>
  <c r="E438" i="3"/>
  <c r="E48" i="3"/>
  <c r="J6" i="3"/>
  <c r="E178" i="3"/>
  <c r="E75"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AB12" i="39"/>
  <c r="AA12" i="39"/>
  <c r="I42" i="35"/>
  <c r="J42" i="35" s="1"/>
  <c r="I40" i="36"/>
  <c r="J40" i="36" s="1"/>
  <c r="G58" i="21"/>
  <c r="H58" i="21" s="1"/>
  <c r="I58" i="21" s="1"/>
  <c r="J58" i="21" s="1"/>
  <c r="K58" i="21" s="1"/>
  <c r="L58" i="21" s="1"/>
  <c r="M58" i="21" s="1"/>
  <c r="N58" i="21" s="1"/>
  <c r="O58" i="21" s="1"/>
  <c r="F7" i="21"/>
  <c r="E38" i="35"/>
  <c r="I43" i="35" s="1"/>
  <c r="J43" i="35" s="1"/>
  <c r="R39" i="35"/>
  <c r="H7" i="21"/>
  <c r="S7" i="36"/>
  <c r="AA7" i="36"/>
  <c r="R36" i="36" s="1"/>
  <c r="N52" i="37"/>
  <c r="H59" i="34"/>
  <c r="H58" i="33"/>
  <c r="G42" i="35"/>
  <c r="H42" i="35" s="1"/>
  <c r="G43" i="35"/>
  <c r="H43" i="35" s="1"/>
  <c r="U7" i="36"/>
  <c r="AB7" i="36"/>
  <c r="T36" i="36" s="1"/>
  <c r="G36" i="36" s="1"/>
  <c r="J7" i="21"/>
  <c r="T7" i="46"/>
  <c r="V7" i="46" s="1"/>
  <c r="T4" i="46"/>
  <c r="V4" i="46" s="1"/>
  <c r="T14" i="46"/>
  <c r="V14" i="46" s="1"/>
  <c r="C36" i="46"/>
  <c r="G36" i="46" s="1"/>
  <c r="I36" i="46" s="1"/>
  <c r="C29" i="46"/>
  <c r="E29" i="46" s="1"/>
  <c r="T3" i="46"/>
  <c r="V3" i="46" s="1"/>
  <c r="C38" i="46"/>
  <c r="E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8" i="46"/>
  <c r="I38" i="46" s="1"/>
  <c r="E34" i="46"/>
  <c r="G34" i="46"/>
  <c r="I34" i="46" s="1"/>
  <c r="J18" i="15"/>
  <c r="J5" i="15"/>
  <c r="C40" i="44"/>
  <c r="C52" i="15"/>
  <c r="C47" i="15" s="1"/>
  <c r="C10" i="15"/>
  <c r="C5" i="15" s="1"/>
  <c r="F21" i="43"/>
  <c r="C23" i="43" s="1"/>
  <c r="D21" i="43" s="1"/>
  <c r="F24" i="15"/>
  <c r="C24" i="15" s="1"/>
  <c r="F26" i="12"/>
  <c r="F26" i="44"/>
  <c r="C26" i="44" s="1"/>
  <c r="C16" i="72"/>
  <c r="F41" i="15"/>
  <c r="C16" i="73"/>
  <c r="L46" i="72" l="1"/>
  <c r="J26" i="44"/>
  <c r="J26" i="73"/>
  <c r="C48" i="72"/>
  <c r="C47" i="72" s="1"/>
  <c r="B6" i="59"/>
  <c r="B5" i="59" s="1"/>
  <c r="S7" i="59"/>
  <c r="U9" i="39"/>
  <c r="AB9" i="39"/>
  <c r="T49" i="39" s="1"/>
  <c r="G49" i="39" s="1"/>
  <c r="G53" i="39" s="1"/>
  <c r="H53" i="39" s="1"/>
  <c r="D31" i="59"/>
  <c r="T31" i="59"/>
  <c r="H67" i="40"/>
  <c r="I65" i="40"/>
  <c r="Q74" i="73"/>
  <c r="Q61" i="73"/>
  <c r="F1" i="72"/>
  <c r="Q53" i="72"/>
  <c r="Q67" i="72"/>
  <c r="Q58" i="72"/>
  <c r="Q67" i="73"/>
  <c r="Q58" i="73"/>
  <c r="Q62" i="72"/>
  <c r="Q75" i="72"/>
  <c r="W12" i="39"/>
  <c r="W9" i="39"/>
  <c r="AC9" i="39"/>
  <c r="V49" i="39" s="1"/>
  <c r="I49" i="39" s="1"/>
  <c r="I53" i="39" s="1"/>
  <c r="J53" i="39" s="1"/>
  <c r="S9" i="39"/>
  <c r="AA9" i="39"/>
  <c r="R49" i="39" s="1"/>
  <c r="J5" i="72"/>
  <c r="D23" i="59"/>
  <c r="T23" i="59"/>
  <c r="C32" i="73"/>
  <c r="C33" i="73"/>
  <c r="Q62" i="73"/>
  <c r="Q75" i="73"/>
  <c r="C33" i="72"/>
  <c r="C32" i="72"/>
  <c r="C48" i="73"/>
  <c r="C47" i="73" s="1"/>
  <c r="L46" i="73"/>
  <c r="F1" i="73"/>
  <c r="Q53" i="73"/>
  <c r="Q61" i="72"/>
  <c r="Q74" i="72"/>
  <c r="D19" i="12"/>
  <c r="C19" i="12" s="1"/>
  <c r="C16" i="12"/>
  <c r="D22" i="12"/>
  <c r="C22" i="12" s="1"/>
  <c r="C20" i="12" s="1"/>
  <c r="D13" i="11"/>
  <c r="C13" i="11" s="1"/>
  <c r="J33" i="21"/>
  <c r="H33" i="21"/>
  <c r="F33" i="21"/>
  <c r="C7" i="66"/>
  <c r="C8" i="66"/>
  <c r="S12" i="40"/>
  <c r="AA12" i="40"/>
  <c r="U12" i="40"/>
  <c r="C24" i="73"/>
  <c r="C38" i="73"/>
  <c r="C38" i="72"/>
  <c r="F68" i="15"/>
  <c r="E37" i="46"/>
  <c r="G39" i="46"/>
  <c r="I39" i="46" s="1"/>
  <c r="G33" i="46"/>
  <c r="I33" i="46" s="1"/>
  <c r="E35" i="46"/>
  <c r="E36" i="46"/>
  <c r="K23" i="6"/>
  <c r="M23" i="6" s="1"/>
  <c r="I23" i="6" s="1"/>
  <c r="S23" i="6" s="1"/>
  <c r="K25" i="6"/>
  <c r="M25" i="6" s="1"/>
  <c r="I25" i="6" s="1"/>
  <c r="K20" i="6"/>
  <c r="S7" i="1" s="1"/>
  <c r="K26" i="6"/>
  <c r="M26" i="6" s="1"/>
  <c r="I26" i="6" s="1"/>
  <c r="K21" i="6"/>
  <c r="K24" i="6"/>
  <c r="K19" i="6"/>
  <c r="S6" i="1" s="1"/>
  <c r="K22" i="6"/>
  <c r="S12" i="1"/>
  <c r="O14" i="1"/>
  <c r="M16" i="1"/>
  <c r="N16" i="1" s="1"/>
  <c r="C29" i="43" s="1"/>
  <c r="AC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6" i="3"/>
  <c r="AY512" i="3"/>
  <c r="AY313" i="3"/>
  <c r="AY125" i="3"/>
  <c r="AY421" i="3"/>
  <c r="AY362"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89" i="3"/>
  <c r="AY93" i="3"/>
  <c r="AY130" i="3"/>
  <c r="AY334" i="3"/>
  <c r="AY331" i="3"/>
  <c r="AY270"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BI6" i="3"/>
  <c r="H26" i="6"/>
  <c r="S26" i="6"/>
  <c r="H6" i="3"/>
  <c r="C30" i="46"/>
  <c r="E30" i="46" s="1"/>
  <c r="AC7" i="21"/>
  <c r="W7" i="21"/>
  <c r="G41" i="36"/>
  <c r="H41" i="36" s="1"/>
  <c r="G40" i="36"/>
  <c r="H40" i="36" s="1"/>
  <c r="I58" i="33"/>
  <c r="E36" i="36"/>
  <c r="R37" i="36"/>
  <c r="U7" i="21"/>
  <c r="AB7" i="21"/>
  <c r="E42" i="35"/>
  <c r="F42" i="35" s="1"/>
  <c r="E43" i="35"/>
  <c r="F43" i="35" s="1"/>
  <c r="I59" i="34"/>
  <c r="O52" i="37"/>
  <c r="F7" i="37" s="1"/>
  <c r="C39" i="35"/>
  <c r="B3" i="35" s="1"/>
  <c r="B2" i="35" s="1"/>
  <c r="C38" i="35"/>
  <c r="AA7" i="21"/>
  <c r="S7" i="21"/>
  <c r="C26" i="46"/>
  <c r="C65" i="15"/>
  <c r="C59" i="15"/>
  <c r="B5" i="11"/>
  <c r="B3" i="11"/>
  <c r="B4" i="11"/>
  <c r="C27" i="12"/>
  <c r="D26" i="12" s="1"/>
  <c r="C32" i="12" s="1"/>
  <c r="D30" i="12" s="1"/>
  <c r="J26" i="15"/>
  <c r="J29" i="15" s="1"/>
  <c r="J24" i="15"/>
  <c r="C38" i="15"/>
  <c r="Q58" i="44"/>
  <c r="Q67" i="44"/>
  <c r="Q49" i="44"/>
  <c r="Q55" i="44" s="1"/>
  <c r="AE9" i="1"/>
  <c r="F41" i="72" s="1"/>
  <c r="AE10" i="1"/>
  <c r="F7" i="67"/>
  <c r="C60" i="72" l="1"/>
  <c r="C59" i="72"/>
  <c r="C65" i="72"/>
  <c r="F68" i="72"/>
  <c r="C65" i="73"/>
  <c r="C59" i="73"/>
  <c r="C60" i="73"/>
  <c r="R50" i="39"/>
  <c r="C49" i="39" s="1"/>
  <c r="J65" i="40"/>
  <c r="I67" i="40"/>
  <c r="J7" i="37"/>
  <c r="M19" i="6"/>
  <c r="J24" i="72"/>
  <c r="J26" i="72"/>
  <c r="J29" i="72" s="1"/>
  <c r="M20" i="46"/>
  <c r="S25" i="6"/>
  <c r="H25" i="6"/>
  <c r="E6" i="3"/>
  <c r="S10" i="1"/>
  <c r="E49" i="39"/>
  <c r="I54" i="39" s="1"/>
  <c r="J54" i="39" s="1"/>
  <c r="S33" i="21"/>
  <c r="AA33" i="21"/>
  <c r="R48" i="21" s="1"/>
  <c r="M20" i="6"/>
  <c r="I20" i="6" s="1"/>
  <c r="U33" i="21"/>
  <c r="AB33" i="21"/>
  <c r="T48" i="21" s="1"/>
  <c r="G48" i="21" s="1"/>
  <c r="W33" i="21"/>
  <c r="AC33" i="21"/>
  <c r="V48" i="21" s="1"/>
  <c r="I48" i="21" s="1"/>
  <c r="I52" i="21" s="1"/>
  <c r="J52" i="21" s="1"/>
  <c r="G54" i="39"/>
  <c r="H54" i="39" s="1"/>
  <c r="C27" i="46"/>
  <c r="C50" i="39"/>
  <c r="B60" i="39" s="1"/>
  <c r="F60" i="39" s="1"/>
  <c r="E54" i="39"/>
  <c r="F54" i="39" s="1"/>
  <c r="K27" i="6"/>
  <c r="M22" i="6"/>
  <c r="I22" i="6" s="1"/>
  <c r="S22" i="6" s="1"/>
  <c r="S9" i="1"/>
  <c r="M24" i="6"/>
  <c r="I24" i="6" s="1"/>
  <c r="S24" i="6" s="1"/>
  <c r="S11" i="1"/>
  <c r="M21" i="6"/>
  <c r="I21" i="6" s="1"/>
  <c r="S21" i="6" s="1"/>
  <c r="S8" i="1"/>
  <c r="L16" i="1"/>
  <c r="C13" i="43"/>
  <c r="P14" i="1"/>
  <c r="P16" i="1" s="1"/>
  <c r="C13" i="12" s="1"/>
  <c r="O16" i="1"/>
  <c r="E63" i="40"/>
  <c r="E45" i="9"/>
  <c r="E68" i="39"/>
  <c r="F46" i="9"/>
  <c r="C22" i="4"/>
  <c r="F45" i="9"/>
  <c r="K38" i="9"/>
  <c r="C14" i="66" s="1"/>
  <c r="B2" i="66" s="1"/>
  <c r="E46" i="9"/>
  <c r="D21" i="6"/>
  <c r="D20" i="6"/>
  <c r="D22" i="6"/>
  <c r="D9" i="6"/>
  <c r="D25" i="6"/>
  <c r="R25" i="6" s="1"/>
  <c r="R12" i="1" s="1"/>
  <c r="D26" i="6"/>
  <c r="R26" i="6" s="1"/>
  <c r="D23" i="6"/>
  <c r="D24" i="6"/>
  <c r="D5" i="6"/>
  <c r="D19" i="6"/>
  <c r="D28" i="6"/>
  <c r="D29" i="6"/>
  <c r="D8" i="6"/>
  <c r="H23" i="6"/>
  <c r="R23" i="6" s="1"/>
  <c r="R10" i="1" s="1"/>
  <c r="D11" i="6"/>
  <c r="D14" i="6"/>
  <c r="D6" i="6"/>
  <c r="D13" i="6"/>
  <c r="D15" i="6"/>
  <c r="D10" i="6"/>
  <c r="D12" i="6"/>
  <c r="I19" i="6"/>
  <c r="E4" i="67"/>
  <c r="AA7" i="37"/>
  <c r="R42" i="37" s="1"/>
  <c r="S7" i="37"/>
  <c r="H7" i="37"/>
  <c r="C36" i="36"/>
  <c r="C37" i="36"/>
  <c r="B3" i="36" s="1"/>
  <c r="B2" i="36" s="1"/>
  <c r="AC7" i="37"/>
  <c r="V42" i="37" s="1"/>
  <c r="I42" i="37" s="1"/>
  <c r="W7" i="37"/>
  <c r="J59" i="34"/>
  <c r="K59" i="34" s="1"/>
  <c r="L59" i="34" s="1"/>
  <c r="M59" i="34" s="1"/>
  <c r="N59" i="34" s="1"/>
  <c r="O59" i="34" s="1"/>
  <c r="F7" i="34"/>
  <c r="E40" i="36"/>
  <c r="F40" i="36" s="1"/>
  <c r="E41" i="36"/>
  <c r="F41" i="36" s="1"/>
  <c r="I41" i="36"/>
  <c r="J41" i="36" s="1"/>
  <c r="J58" i="33"/>
  <c r="K58" i="33" s="1"/>
  <c r="L58" i="33" s="1"/>
  <c r="M58" i="33" s="1"/>
  <c r="N58" i="33" s="1"/>
  <c r="O58" i="33" s="1"/>
  <c r="J7" i="34"/>
  <c r="B2" i="46"/>
  <c r="F41" i="73"/>
  <c r="F35" i="73"/>
  <c r="C17" i="72"/>
  <c r="B7" i="67"/>
  <c r="C17" i="73"/>
  <c r="M21" i="73"/>
  <c r="E7" i="67"/>
  <c r="C17" i="15"/>
  <c r="F68" i="73" l="1"/>
  <c r="J29" i="73"/>
  <c r="F7" i="33"/>
  <c r="H7" i="34"/>
  <c r="U7" i="34" s="1"/>
  <c r="H21" i="6"/>
  <c r="R21" i="6" s="1"/>
  <c r="R8" i="1" s="1"/>
  <c r="H24" i="6"/>
  <c r="E53" i="39"/>
  <c r="F53" i="39" s="1"/>
  <c r="K65" i="40"/>
  <c r="J67" i="40"/>
  <c r="M27" i="6"/>
  <c r="J20" i="73"/>
  <c r="F62" i="73"/>
  <c r="C61" i="73" s="1"/>
  <c r="C58" i="73" s="1"/>
  <c r="C34" i="73"/>
  <c r="C31" i="73" s="1"/>
  <c r="G52" i="21"/>
  <c r="H52" i="21" s="1"/>
  <c r="G53" i="21"/>
  <c r="H53" i="21" s="1"/>
  <c r="R49" i="21"/>
  <c r="C48" i="21" s="1"/>
  <c r="E48" i="21"/>
  <c r="I53" i="21" s="1"/>
  <c r="J53" i="21" s="1"/>
  <c r="R24" i="6"/>
  <c r="R11" i="1" s="1"/>
  <c r="S20" i="6"/>
  <c r="H20" i="6"/>
  <c r="R20" i="6" s="1"/>
  <c r="R7" i="1" s="1"/>
  <c r="E3" i="67"/>
  <c r="B67" i="39"/>
  <c r="F67" i="39" s="1"/>
  <c r="B65" i="39"/>
  <c r="F65" i="39" s="1"/>
  <c r="B63" i="39"/>
  <c r="F63" i="39" s="1"/>
  <c r="B59" i="39"/>
  <c r="F59" i="39" s="1"/>
  <c r="B62" i="39"/>
  <c r="F62" i="39" s="1"/>
  <c r="B61" i="39"/>
  <c r="F61" i="39" s="1"/>
  <c r="B66" i="39"/>
  <c r="F66" i="39" s="1"/>
  <c r="B58" i="39"/>
  <c r="F58" i="39" s="1"/>
  <c r="B64" i="39"/>
  <c r="F64" i="39" s="1"/>
  <c r="S16" i="1"/>
  <c r="T8" i="1" s="1"/>
  <c r="H22" i="6"/>
  <c r="R22" i="6" s="1"/>
  <c r="R9" i="1" s="1"/>
  <c r="C17" i="12"/>
  <c r="C14" i="12"/>
  <c r="C14" i="43"/>
  <c r="C17" i="43"/>
  <c r="D30" i="6"/>
  <c r="D27" i="6"/>
  <c r="I27" i="6"/>
  <c r="S19" i="6"/>
  <c r="H19" i="6"/>
  <c r="D16" i="6"/>
  <c r="D7" i="66"/>
  <c r="D8" i="66"/>
  <c r="N5" i="54"/>
  <c r="B43" i="63" s="1"/>
  <c r="A20" i="64"/>
  <c r="A20" i="51"/>
  <c r="B15" i="63" s="1"/>
  <c r="A6" i="51"/>
  <c r="B7" i="63" s="1"/>
  <c r="A6" i="64"/>
  <c r="AA7" i="33"/>
  <c r="R48" i="33" s="1"/>
  <c r="S7" i="33"/>
  <c r="W7" i="34"/>
  <c r="AC7" i="34"/>
  <c r="V49" i="34" s="1"/>
  <c r="I49" i="34" s="1"/>
  <c r="J7" i="33"/>
  <c r="I46" i="37"/>
  <c r="J46" i="37" s="1"/>
  <c r="H7" i="33"/>
  <c r="S7" i="34"/>
  <c r="AA7" i="34"/>
  <c r="R49" i="34" s="1"/>
  <c r="U7" i="37"/>
  <c r="AB7" i="37"/>
  <c r="T42" i="37" s="1"/>
  <c r="G42" i="37" s="1"/>
  <c r="C49" i="21"/>
  <c r="B3" i="21" s="1"/>
  <c r="B2" i="21" s="1"/>
  <c r="AB7" i="34"/>
  <c r="T49" i="34" s="1"/>
  <c r="G49" i="34" s="1"/>
  <c r="R43" i="37"/>
  <c r="E42" i="37"/>
  <c r="B2" i="67"/>
  <c r="D4" i="46"/>
  <c r="B3" i="46"/>
  <c r="B4" i="46"/>
  <c r="M21" i="15"/>
  <c r="F35" i="72"/>
  <c r="F35" i="15"/>
  <c r="M21" i="72"/>
  <c r="E52" i="21" l="1"/>
  <c r="F52" i="21" s="1"/>
  <c r="S27" i="6"/>
  <c r="L65" i="40"/>
  <c r="K67" i="40"/>
  <c r="E53" i="21"/>
  <c r="F53" i="21" s="1"/>
  <c r="C34" i="72"/>
  <c r="C31" i="72" s="1"/>
  <c r="F62" i="72"/>
  <c r="C61" i="72" s="1"/>
  <c r="C58" i="72" s="1"/>
  <c r="J20" i="72"/>
  <c r="J20" i="15"/>
  <c r="C34" i="15"/>
  <c r="F62" i="15"/>
  <c r="C61" i="15" s="1"/>
  <c r="C8" i="12"/>
  <c r="C10" i="12" s="1"/>
  <c r="R24" i="31"/>
  <c r="F68" i="39"/>
  <c r="B2" i="39" s="1"/>
  <c r="B4" i="39" s="1"/>
  <c r="C6" i="69"/>
  <c r="D6" i="69" s="1"/>
  <c r="T9" i="1"/>
  <c r="T6" i="1"/>
  <c r="T7" i="1"/>
  <c r="T12" i="1"/>
  <c r="T10" i="1"/>
  <c r="T13" i="1"/>
  <c r="T11" i="1"/>
  <c r="C18" i="43"/>
  <c r="C19" i="43" s="1"/>
  <c r="C25" i="43" s="1"/>
  <c r="C24" i="43" s="1"/>
  <c r="C18" i="12"/>
  <c r="D31" i="6"/>
  <c r="I5" i="6" s="1"/>
  <c r="H27" i="6"/>
  <c r="R19" i="6"/>
  <c r="AB7" i="33"/>
  <c r="T48" i="33" s="1"/>
  <c r="G48" i="33" s="1"/>
  <c r="U7" i="33"/>
  <c r="I53" i="34"/>
  <c r="J53" i="34" s="1"/>
  <c r="E47" i="37"/>
  <c r="F47" i="37" s="1"/>
  <c r="E46" i="37"/>
  <c r="F46" i="37" s="1"/>
  <c r="G46" i="37"/>
  <c r="H46" i="37" s="1"/>
  <c r="G47" i="37"/>
  <c r="H47" i="37" s="1"/>
  <c r="E49" i="34"/>
  <c r="I54" i="34" s="1"/>
  <c r="J54" i="34" s="1"/>
  <c r="R50" i="34"/>
  <c r="C42" i="37"/>
  <c r="C43" i="37"/>
  <c r="B3" i="37" s="1"/>
  <c r="B2" i="37" s="1"/>
  <c r="G54" i="34"/>
  <c r="H54" i="34" s="1"/>
  <c r="G53" i="34"/>
  <c r="H53" i="34" s="1"/>
  <c r="I47" i="37"/>
  <c r="J47" i="37" s="1"/>
  <c r="AC7" i="33"/>
  <c r="V48" i="33" s="1"/>
  <c r="I48" i="33" s="1"/>
  <c r="W7" i="33"/>
  <c r="E48" i="33"/>
  <c r="R49" i="33"/>
  <c r="B3" i="67"/>
  <c r="B4" i="67"/>
  <c r="C14" i="72"/>
  <c r="C14" i="15"/>
  <c r="C19" i="9"/>
  <c r="C14" i="73"/>
  <c r="C21" i="9"/>
  <c r="C16" i="44"/>
  <c r="L67" i="40" l="1"/>
  <c r="M65" i="40"/>
  <c r="C18" i="72"/>
  <c r="C15" i="72"/>
  <c r="C18" i="73"/>
  <c r="C15" i="73"/>
  <c r="S24" i="31"/>
  <c r="R26" i="31"/>
  <c r="R25" i="31"/>
  <c r="B5" i="39"/>
  <c r="L43" i="9"/>
  <c r="B3" i="39"/>
  <c r="T16" i="1"/>
  <c r="C18" i="15"/>
  <c r="C15" i="15"/>
  <c r="C20" i="44"/>
  <c r="C17" i="44"/>
  <c r="R27" i="6"/>
  <c r="R6" i="1"/>
  <c r="R16" i="1" s="1"/>
  <c r="C22" i="43"/>
  <c r="C21" i="43" s="1"/>
  <c r="C28" i="43" s="1"/>
  <c r="C30" i="43" s="1"/>
  <c r="C32" i="43" s="1"/>
  <c r="B2" i="43" s="1"/>
  <c r="B4" i="43" s="1"/>
  <c r="C23" i="12"/>
  <c r="I6" i="6"/>
  <c r="C49" i="33"/>
  <c r="B3" i="33" s="1"/>
  <c r="B2" i="33" s="1"/>
  <c r="C48" i="33"/>
  <c r="C49" i="34"/>
  <c r="C50" i="34"/>
  <c r="B3" i="34" s="1"/>
  <c r="B2" i="34" s="1"/>
  <c r="E52" i="33"/>
  <c r="F52" i="33" s="1"/>
  <c r="E53" i="33"/>
  <c r="F53" i="33" s="1"/>
  <c r="I52" i="33"/>
  <c r="J52" i="33" s="1"/>
  <c r="I53" i="33"/>
  <c r="J53" i="33" s="1"/>
  <c r="E54" i="34"/>
  <c r="F54" i="34" s="1"/>
  <c r="E53" i="34"/>
  <c r="F53" i="34" s="1"/>
  <c r="G52" i="33"/>
  <c r="H52" i="33" s="1"/>
  <c r="G53" i="33"/>
  <c r="H53" i="33" s="1"/>
  <c r="C20" i="9"/>
  <c r="C19" i="72" l="1"/>
  <c r="N65" i="40"/>
  <c r="N67" i="40" s="1"/>
  <c r="H9" i="40" s="1"/>
  <c r="M67" i="40"/>
  <c r="C19" i="73"/>
  <c r="C20" i="73" s="1"/>
  <c r="C26" i="73" s="1"/>
  <c r="C20" i="72"/>
  <c r="C26" i="72" s="1"/>
  <c r="S25" i="31"/>
  <c r="D10" i="12" s="1"/>
  <c r="D8" i="12"/>
  <c r="S26" i="31"/>
  <c r="E10" i="12" s="1"/>
  <c r="E8" i="12"/>
  <c r="C19" i="15"/>
  <c r="C20" i="15" s="1"/>
  <c r="C26" i="15" s="1"/>
  <c r="C21" i="44"/>
  <c r="C22" i="44" s="1"/>
  <c r="C25" i="44" s="1"/>
  <c r="B3" i="43"/>
  <c r="B5" i="43"/>
  <c r="U9" i="40" l="1"/>
  <c r="AB9" i="40"/>
  <c r="T44" i="40" s="1"/>
  <c r="G44" i="40" s="1"/>
  <c r="F9" i="40"/>
  <c r="J9" i="40"/>
  <c r="C23" i="73"/>
  <c r="C29" i="73" s="1"/>
  <c r="C23" i="72"/>
  <c r="C29" i="72" s="1"/>
  <c r="S22" i="31"/>
  <c r="B20" i="31" s="1"/>
  <c r="C23" i="15"/>
  <c r="C29" i="15" s="1"/>
  <c r="Q50" i="15" s="1"/>
  <c r="C28" i="44"/>
  <c r="C31" i="44" s="1"/>
  <c r="C15" i="44" s="1"/>
  <c r="W9" i="40" l="1"/>
  <c r="AC9" i="40"/>
  <c r="V44" i="40" s="1"/>
  <c r="I44" i="40" s="1"/>
  <c r="G48" i="40"/>
  <c r="H48" i="40" s="1"/>
  <c r="AA9" i="40"/>
  <c r="R44" i="40" s="1"/>
  <c r="S9" i="40"/>
  <c r="C56" i="72"/>
  <c r="C63" i="72" s="1"/>
  <c r="J14" i="72"/>
  <c r="C13" i="72"/>
  <c r="J19" i="72"/>
  <c r="J17" i="72" s="1"/>
  <c r="C36" i="72"/>
  <c r="Q50" i="72"/>
  <c r="J19" i="73"/>
  <c r="J17" i="73" s="1"/>
  <c r="C13" i="73"/>
  <c r="C36" i="73"/>
  <c r="C56" i="73"/>
  <c r="C63" i="73" s="1"/>
  <c r="J14" i="73"/>
  <c r="Q50" i="73"/>
  <c r="R22" i="31"/>
  <c r="B21" i="31" s="1"/>
  <c r="J14" i="15"/>
  <c r="J22" i="15" s="1"/>
  <c r="C13" i="15"/>
  <c r="C37" i="15" s="1"/>
  <c r="C56" i="15"/>
  <c r="C63" i="15" s="1"/>
  <c r="C36" i="15"/>
  <c r="J19" i="15"/>
  <c r="J17" i="15" s="1"/>
  <c r="J59" i="15"/>
  <c r="J60" i="15" s="1"/>
  <c r="C33" i="15"/>
  <c r="C31" i="15" s="1"/>
  <c r="C35" i="44"/>
  <c r="C33" i="44" s="1"/>
  <c r="J21" i="44"/>
  <c r="J19" i="44" s="1"/>
  <c r="Q51" i="44"/>
  <c r="C38" i="44"/>
  <c r="J16" i="44"/>
  <c r="J15" i="44" s="1"/>
  <c r="J25" i="44" s="1"/>
  <c r="J13" i="15"/>
  <c r="J23" i="15" s="1"/>
  <c r="Q72" i="44"/>
  <c r="C43" i="44"/>
  <c r="C39" i="44"/>
  <c r="I48" i="40" l="1"/>
  <c r="J48" i="40" s="1"/>
  <c r="I49" i="40"/>
  <c r="J49" i="40" s="1"/>
  <c r="E44" i="40"/>
  <c r="R45" i="40"/>
  <c r="G49" i="40"/>
  <c r="H49" i="40" s="1"/>
  <c r="C37" i="73"/>
  <c r="C55" i="73"/>
  <c r="C64" i="73" s="1"/>
  <c r="C57" i="73" s="1"/>
  <c r="C66" i="73" s="1"/>
  <c r="C67" i="73" s="1"/>
  <c r="Q71" i="73"/>
  <c r="J35" i="73"/>
  <c r="C55" i="72"/>
  <c r="C64" i="72" s="1"/>
  <c r="C57" i="72" s="1"/>
  <c r="C66" i="72" s="1"/>
  <c r="C67" i="72" s="1"/>
  <c r="Q71" i="72"/>
  <c r="C37" i="72"/>
  <c r="C30" i="72" s="1"/>
  <c r="C39" i="72" s="1"/>
  <c r="J35" i="72"/>
  <c r="J22" i="72"/>
  <c r="J13" i="72"/>
  <c r="J23" i="72" s="1"/>
  <c r="J22" i="73"/>
  <c r="J13" i="73"/>
  <c r="J23" i="73" s="1"/>
  <c r="C30" i="73"/>
  <c r="C39" i="73" s="1"/>
  <c r="C60" i="15"/>
  <c r="C58" i="15" s="1"/>
  <c r="Q49" i="15"/>
  <c r="J35" i="15"/>
  <c r="Q71" i="15"/>
  <c r="C55" i="15"/>
  <c r="C64" i="15" s="1"/>
  <c r="C30" i="15"/>
  <c r="C39" i="15" s="1"/>
  <c r="J24" i="44"/>
  <c r="J18" i="44" s="1"/>
  <c r="J27" i="44" s="1"/>
  <c r="C32" i="44"/>
  <c r="C42" i="44" s="1"/>
  <c r="Q71" i="44" s="1"/>
  <c r="Q70" i="44" s="1"/>
  <c r="J16" i="15"/>
  <c r="J25" i="15" s="1"/>
  <c r="L51" i="73"/>
  <c r="L51" i="15"/>
  <c r="L51" i="72"/>
  <c r="C44" i="40" l="1"/>
  <c r="C45" i="40"/>
  <c r="E48" i="40"/>
  <c r="F48" i="40" s="1"/>
  <c r="E49" i="40"/>
  <c r="F49" i="40" s="1"/>
  <c r="J16" i="73"/>
  <c r="J25" i="73" s="1"/>
  <c r="J39" i="73"/>
  <c r="J40" i="73" s="1"/>
  <c r="J16" i="72"/>
  <c r="J25" i="72" s="1"/>
  <c r="Q68" i="72"/>
  <c r="Q68" i="73"/>
  <c r="C70" i="72"/>
  <c r="Q70" i="72"/>
  <c r="Q69" i="72" s="1"/>
  <c r="C40" i="72"/>
  <c r="C46" i="72" s="1"/>
  <c r="C40" i="73"/>
  <c r="Q70" i="73"/>
  <c r="Q69" i="73" s="1"/>
  <c r="C70" i="73"/>
  <c r="J39" i="72"/>
  <c r="J40" i="72" s="1"/>
  <c r="C57" i="15"/>
  <c r="C66" i="15" s="1"/>
  <c r="C67" i="15" s="1"/>
  <c r="C70" i="15" s="1"/>
  <c r="C44" i="44"/>
  <c r="C45" i="44" s="1"/>
  <c r="L52" i="44" s="1"/>
  <c r="J39" i="15"/>
  <c r="J40" i="15" s="1"/>
  <c r="Q68" i="15"/>
  <c r="L57" i="15"/>
  <c r="L60" i="15" s="1"/>
  <c r="C40" i="15"/>
  <c r="Q70" i="15"/>
  <c r="Q69" i="15" s="1"/>
  <c r="B59" i="40" l="1"/>
  <c r="F59" i="40" s="1"/>
  <c r="B57" i="40"/>
  <c r="F57" i="40" s="1"/>
  <c r="B62" i="40"/>
  <c r="F62" i="40" s="1"/>
  <c r="B58" i="40"/>
  <c r="F58" i="40" s="1"/>
  <c r="B53" i="40"/>
  <c r="F53" i="40" s="1"/>
  <c r="B55" i="40"/>
  <c r="F55" i="40" s="1"/>
  <c r="B60" i="40"/>
  <c r="F60" i="40" s="1"/>
  <c r="B61" i="40"/>
  <c r="F61" i="40" s="1"/>
  <c r="F63" i="40"/>
  <c r="B2" i="40" s="1"/>
  <c r="B56" i="40"/>
  <c r="F56" i="40" s="1"/>
  <c r="B54" i="40"/>
  <c r="F54" i="40" s="1"/>
  <c r="C43" i="73"/>
  <c r="Q48" i="73"/>
  <c r="Q54" i="73" s="1"/>
  <c r="Q66" i="73"/>
  <c r="Q76" i="73" s="1"/>
  <c r="B2" i="73"/>
  <c r="Q57" i="73"/>
  <c r="Q63" i="73" s="1"/>
  <c r="J42" i="73"/>
  <c r="J43" i="73" s="1"/>
  <c r="C46" i="73"/>
  <c r="Q66" i="72"/>
  <c r="Q76" i="72" s="1"/>
  <c r="B2" i="72"/>
  <c r="C43" i="72"/>
  <c r="Q57" i="72"/>
  <c r="Q63" i="72" s="1"/>
  <c r="Q48" i="72"/>
  <c r="Q54" i="72" s="1"/>
  <c r="J42" i="72"/>
  <c r="J43" i="72" s="1"/>
  <c r="Q67" i="15"/>
  <c r="L46" i="15"/>
  <c r="B2" i="15" s="1"/>
  <c r="C46" i="15"/>
  <c r="B2" i="44"/>
  <c r="B5" i="44" s="1"/>
  <c r="Q58" i="15"/>
  <c r="Q66" i="15"/>
  <c r="Q48" i="15"/>
  <c r="Q54" i="15" s="1"/>
  <c r="J42" i="15"/>
  <c r="J43" i="15" s="1"/>
  <c r="Q57" i="15"/>
  <c r="C43" i="15"/>
  <c r="L58" i="44"/>
  <c r="L61" i="44" s="1"/>
  <c r="Q69" i="44"/>
  <c r="B3" i="40" l="1"/>
  <c r="B4" i="40"/>
  <c r="B5" i="40"/>
  <c r="G10" i="12"/>
  <c r="B3" i="73"/>
  <c r="G8" i="12" s="1"/>
  <c r="F10" i="12"/>
  <c r="B3" i="72"/>
  <c r="F8" i="12" s="1"/>
  <c r="Q63" i="15"/>
  <c r="B3" i="44"/>
  <c r="B3" i="15"/>
  <c r="H8" i="12" s="1"/>
  <c r="H10" i="12"/>
  <c r="Q76" i="15"/>
  <c r="B4" i="44"/>
  <c r="Q68" i="44"/>
  <c r="Q77" i="44" s="1"/>
  <c r="Q59" i="44"/>
  <c r="Q64" i="44" s="1"/>
  <c r="C6" i="12" l="1"/>
  <c r="C24" i="12" s="1"/>
  <c r="C29" i="12" l="1"/>
  <c r="C28" i="12"/>
  <c r="C26" i="12" s="1"/>
  <c r="C35" i="12"/>
  <c r="C33" i="12" s="1"/>
  <c r="C31" i="12" l="1"/>
  <c r="C30" i="12" s="1"/>
  <c r="C36" i="12"/>
  <c r="B2" i="12" s="1"/>
  <c r="B4" i="12" s="1"/>
  <c r="D21" i="9"/>
  <c r="D19" i="9"/>
  <c r="B5" i="12" l="1"/>
  <c r="D22" i="9"/>
  <c r="G19" i="9"/>
  <c r="L44" i="9"/>
  <c r="B3" i="12"/>
  <c r="G21" i="9"/>
  <c r="D20" i="9"/>
  <c r="N43" i="9" l="1"/>
  <c r="C8" i="69"/>
  <c r="D8" i="69" s="1"/>
  <c r="C32" i="9"/>
  <c r="C33" i="9" s="1"/>
  <c r="G22" i="9"/>
  <c r="G20" i="9"/>
  <c r="C42" i="9" l="1"/>
  <c r="C44" i="9" s="1"/>
  <c r="C34" i="9"/>
  <c r="E42" i="9" s="1"/>
  <c r="P5" i="54" s="1"/>
  <c r="B46" i="63" s="1"/>
  <c r="O43" i="9"/>
  <c r="C35" i="9"/>
  <c r="F42" i="9" s="1"/>
  <c r="O38" i="9"/>
  <c r="K25" i="9" s="1"/>
  <c r="D42" i="9"/>
  <c r="Q5" i="54" s="1"/>
  <c r="B47" i="63" s="1"/>
  <c r="N38" i="9"/>
  <c r="K28" i="9" s="1"/>
  <c r="K26" i="9" l="1"/>
  <c r="R5" i="54"/>
  <c r="B48" i="63" s="1"/>
  <c r="N68" i="9"/>
  <c r="D14" i="66"/>
  <c r="B5" i="66" s="1"/>
  <c r="M38" i="9"/>
  <c r="K27" i="9" s="1"/>
  <c r="D63" i="9"/>
  <c r="D70" i="9" s="1"/>
  <c r="N69" i="9"/>
  <c r="E44" i="9"/>
  <c r="D44" i="9"/>
  <c r="G14" i="66"/>
  <c r="B6" i="66" s="1"/>
  <c r="F44" i="9"/>
  <c r="O39" i="9"/>
  <c r="D77" i="9" l="1"/>
  <c r="N75" i="9" s="1"/>
  <c r="E14" i="66"/>
  <c r="F14" i="66"/>
  <c r="C103" i="9"/>
  <c r="C111" i="9"/>
  <c r="C104" i="9" s="1"/>
  <c r="C90" i="9"/>
  <c r="C82" i="9"/>
  <c r="C81" i="9" s="1"/>
  <c r="C85" i="9" s="1"/>
  <c r="C86" i="9" s="1"/>
  <c r="D72" i="9" s="1"/>
  <c r="C96" i="9"/>
  <c r="C91" i="9" s="1"/>
  <c r="D71" i="9"/>
  <c r="D66" i="9" s="1"/>
  <c r="N72" i="9" s="1"/>
  <c r="C5" i="66"/>
  <c r="D5" i="66"/>
  <c r="R6" i="54"/>
  <c r="B50" i="63" s="1"/>
  <c r="K29" i="9"/>
  <c r="K30" i="9" s="1"/>
  <c r="C6" i="66"/>
  <c r="D6" i="66"/>
  <c r="M86" i="9"/>
  <c r="N86" i="9" s="1"/>
  <c r="M84" i="9"/>
  <c r="N84" i="9" s="1"/>
  <c r="M87" i="9"/>
  <c r="N87" i="9" s="1"/>
  <c r="M83" i="9"/>
  <c r="N83" i="9" s="1"/>
  <c r="M88" i="9"/>
  <c r="N88" i="9" s="1"/>
  <c r="M85" i="9"/>
  <c r="N85" i="9" s="1"/>
  <c r="N89" i="9" l="1"/>
  <c r="O89" i="9" s="1"/>
  <c r="C113" i="9"/>
  <c r="C114" i="9" s="1"/>
  <c r="E114" i="9" s="1"/>
  <c r="E115" i="9" s="1"/>
  <c r="C97" i="9"/>
  <c r="C98" i="9" s="1"/>
  <c r="E98" i="9" s="1"/>
  <c r="E99" i="9" s="1"/>
  <c r="C115" i="9" l="1"/>
  <c r="D76" i="9" s="1"/>
  <c r="D74" i="9" s="1"/>
  <c r="N74" i="9" s="1"/>
  <c r="O77" i="9" s="1"/>
  <c r="O78" i="9" s="1"/>
  <c r="C99" i="9"/>
  <c r="O79" i="9" l="1"/>
  <c r="O81" i="9" s="1"/>
  <c r="Q77"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7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E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E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7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7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7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7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8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8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9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9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B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B00-000003000000}">
      <text>
        <r>
          <rPr>
            <b/>
            <sz val="12"/>
            <color indexed="81"/>
            <rFont val="宋体"/>
            <family val="3"/>
            <charset val="134"/>
          </rPr>
          <t>所属项目品质或
物业管理</t>
        </r>
      </text>
    </comment>
    <comment ref="B90" authorId="0" shapeId="0" xr:uid="{00000000-0006-0000-2B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C00-000003000000}">
      <text>
        <r>
          <rPr>
            <b/>
            <sz val="12"/>
            <color indexed="81"/>
            <rFont val="宋体"/>
            <family val="3"/>
            <charset val="134"/>
          </rPr>
          <t>所属项目品质或
物业管理</t>
        </r>
      </text>
    </comment>
    <comment ref="B86" authorId="0" shapeId="0" xr:uid="{00000000-0006-0000-2C00-000004000000}">
      <text>
        <r>
          <rPr>
            <b/>
            <sz val="12"/>
            <color indexed="81"/>
            <rFont val="宋体"/>
            <family val="3"/>
            <charset val="134"/>
          </rPr>
          <t>所属项目品质</t>
        </r>
      </text>
    </comment>
    <comment ref="B89" authorId="0" shapeId="0" xr:uid="{00000000-0006-0000-2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2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6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<sst xmlns="http://schemas.openxmlformats.org/spreadsheetml/2006/main" count="8477" uniqueCount="3325">
  <si>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</si>
  <si>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</si>
  <si>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</si>
  <si>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</si>
  <si>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</si>
  <si>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</si>
  <si>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</si>
  <si>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</si>
  <si>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</si>
  <si>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</si>
  <si>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</si>
  <si>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</si>
  <si>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</si>
  <si>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</si>
  <si>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</si>
  <si>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</si>
  <si>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</si>
  <si>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</si>
  <si>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</si>
  <si>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</si>
  <si>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</si>
  <si>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</si>
  <si>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</si>
  <si>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</si>
  <si>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</si>
  <si>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</si>
  <si>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</si>
  <si>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</si>
  <si>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</si>
  <si>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</si>
  <si>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</si>
  <si>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</si>
  <si>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</si>
  <si>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</si>
  <si>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</si>
  <si>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</si>
  <si>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</si>
  <si>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</si>
  <si>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</si>
  <si>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</si>
  <si>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</si>
  <si>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</si>
  <si>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</si>
  <si>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</si>
  <si>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</si>
  <si>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</si>
  <si>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</si>
  <si>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</si>
  <si>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</si>
  <si>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</si>
  <si>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</si>
  <si>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</si>
  <si>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</si>
  <si>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</si>
  <si>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</si>
  <si>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</si>
  <si>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</si>
  <si>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</si>
  <si>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</si>
  <si>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</si>
  <si>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</si>
  <si>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</si>
  <si>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</si>
  <si>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</si>
  <si>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</si>
  <si>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</si>
  <si>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</si>
  <si>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</si>
  <si>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</si>
  <si>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</si>
  <si>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</si>
  <si>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</si>
  <si>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</si>
  <si>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</si>
  <si>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</si>
  <si>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</si>
  <si>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</si>
  <si>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</si>
  <si>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</si>
  <si>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</si>
  <si>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</si>
  <si>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</si>
  <si>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</si>
  <si>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</si>
  <si>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</si>
  <si>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</si>
  <si>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</si>
  <si>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</si>
  <si>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</si>
  <si>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</si>
  <si>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</si>
  <si>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</si>
  <si>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</si>
  <si>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</si>
  <si>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</si>
  <si>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</si>
  <si>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</si>
  <si>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</si>
  <si>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</si>
  <si>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</si>
  <si>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</si>
  <si>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</si>
  <si>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</si>
  <si>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</si>
  <si>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</si>
  <si>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</si>
  <si>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</si>
  <si>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</si>
  <si>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</si>
  <si>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</si>
  <si>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</si>
  <si>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</si>
  <si>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</si>
  <si>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</si>
  <si>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</si>
  <si>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</si>
  <si>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</si>
  <si>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</si>
  <si>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</si>
  <si>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</si>
  <si>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</si>
  <si>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</si>
  <si>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</si>
  <si>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</si>
  <si>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</si>
  <si>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</si>
  <si>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</si>
  <si>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</si>
  <si>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</si>
  <si>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</si>
  <si>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</si>
  <si>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</si>
  <si>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</si>
  <si>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</si>
  <si>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</si>
  <si>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</si>
  <si>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</si>
  <si>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</si>
  <si>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</si>
  <si>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</si>
  <si>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</si>
  <si>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</si>
  <si>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</si>
  <si>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</si>
  <si>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</si>
  <si>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</si>
  <si>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</si>
  <si>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</si>
  <si>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</si>
  <si>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</si>
  <si>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</si>
  <si>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</si>
  <si>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</si>
  <si>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</si>
  <si>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</si>
  <si>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</si>
  <si>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</si>
  <si>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</si>
  <si>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</si>
  <si>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</si>
  <si>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</si>
  <si>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</si>
  <si>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</si>
  <si>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</si>
  <si>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</si>
  <si>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</si>
  <si>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</si>
  <si>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</si>
  <si>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</si>
  <si>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</si>
  <si>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</si>
  <si>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</si>
  <si>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</si>
  <si>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</si>
  <si>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</si>
  <si>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</si>
  <si>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</si>
  <si>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</si>
  <si>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</si>
  <si>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</si>
  <si>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</si>
  <si>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</si>
  <si>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</si>
  <si>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</si>
  <si>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</si>
  <si>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</si>
  <si>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</si>
  <si>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</si>
  <si>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</si>
  <si>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</si>
  <si>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</si>
  <si>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</si>
  <si>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</si>
  <si>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</si>
  <si>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</si>
  <si>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</si>
  <si>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</si>
  <si>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</si>
  <si>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</si>
  <si>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</si>
  <si>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</si>
  <si>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</si>
  <si>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</si>
  <si>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</si>
  <si>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</si>
  <si>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</si>
  <si>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</si>
  <si>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</si>
  <si>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</si>
  <si>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</si>
  <si>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</si>
  <si>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</si>
  <si>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</si>
  <si>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</si>
  <si>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</si>
  <si>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</si>
  <si>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</si>
  <si>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</si>
  <si>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</si>
  <si>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</si>
  <si>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</si>
  <si>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</si>
  <si>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</si>
  <si>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</si>
  <si>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</si>
  <si>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</si>
  <si>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</si>
  <si>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</si>
  <si>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</si>
  <si>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</si>
  <si>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</si>
  <si>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</si>
  <si>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</si>
  <si>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</si>
  <si>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</si>
  <si>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</si>
  <si>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</si>
  <si>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</si>
  <si>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</si>
  <si>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</si>
  <si>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</si>
  <si>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</si>
  <si>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</si>
  <si>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</si>
  <si>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</si>
  <si>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</si>
  <si>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</si>
  <si>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</si>
  <si>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</si>
  <si>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</si>
  <si>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</si>
  <si>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</si>
  <si>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</si>
  <si>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</si>
  <si>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</si>
  <si>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</si>
  <si>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</si>
  <si>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</si>
  <si>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</si>
  <si>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</si>
  <si>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</si>
  <si>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</si>
  <si>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</si>
  <si>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</si>
  <si>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</si>
  <si>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</si>
  <si>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</si>
  <si>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</si>
  <si>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</si>
  <si>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</si>
  <si>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</si>
  <si>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</si>
  <si>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</si>
  <si>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</si>
  <si>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</si>
  <si>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</si>
  <si>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</si>
  <si>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</si>
  <si>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</si>
  <si>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</si>
  <si>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</si>
  <si>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</si>
  <si>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</si>
  <si>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</si>
  <si>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</si>
  <si>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</si>
  <si>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</si>
  <si>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</si>
  <si>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</si>
  <si>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</si>
  <si>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</si>
  <si>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</si>
  <si>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</si>
  <si>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</si>
  <si>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</si>
  <si>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</si>
  <si>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</si>
  <si>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</si>
  <si>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</si>
  <si>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</si>
  <si>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</si>
  <si>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</si>
  <si>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</si>
  <si>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</si>
  <si>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</si>
  <si>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</si>
  <si>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</si>
  <si>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</si>
  <si>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</si>
  <si>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</si>
  <si>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</si>
  <si>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</si>
  <si>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</si>
  <si>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</si>
  <si>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</si>
  <si>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</si>
  <si>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</si>
  <si>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</si>
  <si>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</si>
  <si>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</si>
  <si>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</si>
  <si>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</si>
  <si>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</si>
  <si>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</si>
  <si>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</si>
  <si>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</si>
  <si>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</si>
  <si>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</si>
  <si>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</si>
  <si>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</si>
  <si>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</si>
  <si>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</si>
  <si>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</si>
  <si>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</si>
  <si>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</si>
  <si>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</si>
  <si>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</si>
  <si>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</si>
  <si>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</si>
  <si>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</si>
  <si>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</si>
  <si>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</si>
  <si>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</si>
  <si>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</si>
  <si>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</si>
  <si>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</si>
  <si>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</si>
  <si>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</si>
  <si>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</si>
  <si>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</si>
  <si>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</si>
  <si>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</si>
  <si>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</si>
  <si>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</si>
  <si>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</si>
  <si>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</si>
  <si>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</si>
  <si>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</si>
  <si>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</si>
  <si>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</si>
  <si>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</si>
  <si>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</si>
  <si>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</si>
  <si>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</si>
  <si>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</si>
  <si>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</si>
  <si>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</si>
  <si>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</si>
  <si>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</si>
  <si>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</si>
  <si>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</si>
  <si>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</si>
  <si>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</si>
  <si>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</si>
  <si>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</si>
  <si>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</si>
  <si>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</si>
  <si>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</si>
  <si>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</si>
  <si>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</si>
  <si>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</si>
  <si>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</si>
  <si>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</si>
  <si>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</si>
  <si>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</si>
  <si>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</si>
  <si>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</si>
  <si>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</si>
  <si>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</si>
  <si>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</si>
  <si>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</si>
  <si>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</si>
  <si>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</si>
  <si>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</si>
  <si>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</si>
  <si>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</si>
  <si>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</si>
  <si>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</si>
  <si>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</si>
  <si>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</si>
  <si>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</si>
  <si>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</si>
  <si>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</si>
  <si>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</si>
  <si>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</si>
  <si>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</si>
  <si>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</si>
  <si>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</si>
  <si>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</si>
  <si>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</si>
  <si>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</si>
  <si>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</si>
  <si>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</si>
  <si>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</si>
  <si>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</si>
  <si>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</si>
  <si>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</si>
  <si>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</si>
  <si>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</si>
  <si>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</si>
  <si>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</si>
  <si>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</si>
  <si>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</si>
  <si>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</si>
  <si>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</si>
  <si>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</si>
  <si>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</si>
  <si>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</si>
  <si>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</si>
  <si>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</si>
  <si>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</si>
  <si>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</si>
  <si>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</si>
  <si>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</si>
  <si>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</si>
  <si>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</si>
  <si>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</si>
  <si>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</si>
  <si>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</si>
  <si>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</si>
  <si>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</si>
  <si>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</si>
  <si>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</si>
  <si>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</si>
  <si>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</si>
  <si>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</si>
  <si>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</si>
  <si>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</si>
  <si>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</si>
  <si>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</si>
  <si>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</si>
  <si>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</si>
  <si>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</si>
  <si>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</si>
  <si>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</si>
  <si>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</si>
  <si>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</si>
  <si>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</si>
  <si>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</si>
  <si>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</si>
  <si>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</si>
  <si>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</si>
  <si>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</si>
  <si>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</si>
  <si>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</si>
  <si>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</si>
  <si>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</si>
  <si>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</si>
  <si>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</si>
  <si>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</si>
  <si>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</si>
  <si>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</si>
  <si>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</si>
  <si>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</si>
  <si>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</si>
  <si>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</si>
  <si>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</si>
  <si>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</si>
  <si>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</si>
  <si>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</si>
  <si>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</si>
  <si>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</si>
  <si>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</si>
  <si>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</si>
  <si>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</si>
  <si>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</si>
  <si>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</si>
  <si>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</si>
  <si>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</si>
  <si>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</si>
  <si>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</si>
  <si>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</si>
  <si>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</si>
  <si>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</si>
  <si>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</si>
  <si>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</si>
  <si>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</si>
  <si>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</si>
  <si>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</si>
  <si>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</si>
  <si>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</si>
  <si>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</si>
  <si>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</si>
  <si>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</si>
  <si>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</si>
  <si>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</si>
  <si>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</si>
  <si>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</si>
  <si>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</si>
  <si>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</si>
  <si>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</si>
  <si>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</si>
  <si>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</si>
  <si>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</si>
  <si>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</si>
  <si>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</si>
  <si>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</si>
  <si>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</si>
  <si>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</si>
  <si>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</si>
  <si>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</si>
  <si>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</si>
  <si>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</si>
  <si>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</si>
  <si>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</si>
  <si>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</si>
  <si>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</si>
  <si>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</si>
  <si>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</si>
  <si>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</si>
  <si>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</si>
  <si>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</si>
  <si>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</si>
  <si>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</si>
  <si>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</si>
  <si>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</si>
  <si>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</si>
  <si>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</si>
  <si>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</si>
  <si>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</si>
  <si>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</si>
  <si>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</si>
  <si>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</si>
  <si>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</si>
  <si>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</si>
  <si>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</si>
  <si>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</si>
  <si>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</si>
  <si>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</si>
  <si>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</si>
  <si>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</si>
  <si>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</si>
  <si>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</si>
  <si>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</si>
  <si>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</si>
  <si>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</si>
  <si>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</si>
  <si>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</si>
  <si>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</si>
  <si>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</si>
  <si>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</si>
  <si>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</si>
  <si>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</si>
  <si>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</si>
  <si>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</si>
  <si>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</si>
  <si>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</si>
  <si>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</si>
  <si>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</si>
  <si>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</si>
  <si>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</si>
  <si>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</si>
  <si>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</si>
  <si>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</si>
  <si>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</si>
  <si>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</si>
  <si>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</si>
  <si>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</si>
  <si>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</si>
  <si>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</si>
  <si>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</si>
  <si>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</si>
  <si>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</si>
  <si>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</si>
  <si>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</si>
  <si>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</si>
  <si>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</si>
  <si>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</si>
  <si>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</si>
  <si>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</si>
  <si>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</si>
  <si>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</si>
  <si>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</si>
  <si>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</si>
  <si>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</si>
  <si>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</si>
  <si>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</si>
  <si>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</si>
  <si>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</si>
  <si>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</si>
  <si>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</si>
  <si>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</si>
  <si>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</si>
  <si>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</si>
  <si>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</si>
  <si>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</si>
  <si>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</si>
  <si>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</si>
  <si>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</si>
  <si>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</si>
  <si>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</si>
  <si>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</si>
  <si>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</si>
  <si>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</si>
  <si>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</si>
  <si>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</si>
  <si>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</si>
  <si>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</si>
  <si>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</si>
  <si>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</si>
  <si>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</si>
  <si>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</si>
  <si>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</si>
  <si>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</si>
  <si>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</si>
  <si>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</si>
  <si>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</si>
  <si>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</si>
  <si>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</si>
  <si>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</si>
  <si>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</si>
  <si>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</si>
  <si>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</si>
  <si>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</si>
  <si>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</si>
  <si>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</si>
  <si>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</si>
  <si>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</si>
  <si>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</si>
  <si>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</si>
  <si>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</si>
  <si>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</si>
  <si>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</si>
  <si>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</si>
  <si>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</si>
  <si>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</si>
  <si>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</si>
  <si>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</si>
  <si>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</si>
  <si>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</si>
  <si>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</si>
  <si>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</si>
  <si>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</si>
  <si>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</si>
  <si>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</si>
  <si>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</si>
  <si>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</si>
  <si>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</si>
  <si>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</si>
  <si>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</si>
  <si>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</si>
  <si>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</si>
  <si>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</si>
  <si>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</si>
  <si>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</si>
  <si>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</si>
  <si>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</si>
  <si>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</si>
  <si>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</si>
  <si>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</si>
  <si>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</si>
  <si>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</si>
  <si>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</si>
  <si>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</si>
  <si>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</si>
  <si>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</si>
  <si>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</si>
  <si>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</si>
  <si>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</si>
  <si>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</si>
  <si>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</si>
  <si>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</si>
  <si>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</si>
  <si>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</si>
  <si>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</si>
  <si>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</si>
  <si>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</si>
  <si>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</si>
  <si>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</si>
  <si>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</si>
  <si>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</si>
  <si>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</si>
  <si>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</si>
  <si>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</si>
  <si>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</si>
  <si>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</si>
  <si>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</si>
  <si>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</si>
  <si>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</si>
  <si>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</si>
  <si>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</si>
  <si>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</si>
  <si>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</si>
  <si>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</si>
  <si>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</si>
  <si>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</si>
  <si>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</si>
  <si>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</si>
  <si>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</si>
  <si>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</si>
  <si>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</si>
  <si>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</si>
  <si>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</si>
  <si>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</si>
  <si>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</si>
  <si>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</si>
  <si>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</si>
  <si>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</si>
  <si>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</si>
  <si>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</si>
  <si>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</si>
  <si>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</si>
  <si>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</si>
  <si>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</si>
  <si>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</si>
  <si>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</si>
  <si>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</si>
  <si>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</si>
  <si>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</si>
  <si>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</si>
  <si>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</si>
  <si>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</si>
  <si>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</si>
  <si>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</si>
  <si>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</si>
  <si>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</si>
  <si>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</si>
  <si>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</si>
  <si>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</si>
  <si>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</si>
  <si>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</si>
  <si>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</si>
  <si>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</si>
  <si>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</si>
  <si>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</si>
  <si>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</si>
  <si>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</si>
  <si>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</si>
  <si>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</si>
  <si>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</si>
  <si>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</si>
  <si>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</si>
  <si>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</si>
  <si>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</si>
  <si>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</si>
  <si>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</si>
  <si>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</si>
  <si>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</si>
  <si>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</si>
  <si>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</si>
  <si>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</si>
  <si>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</si>
  <si>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</si>
  <si>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</si>
  <si>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</si>
  <si>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</si>
  <si>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</si>
  <si>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</si>
  <si>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</si>
  <si>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</si>
  <si>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</si>
  <si>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</si>
  <si>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</si>
  <si>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</si>
  <si>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</si>
  <si>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</si>
  <si>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</si>
  <si>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</si>
  <si>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</si>
  <si>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</si>
  <si>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</si>
  <si>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</si>
  <si>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</si>
  <si>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</si>
  <si>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</si>
  <si>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</si>
  <si>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</si>
  <si>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</si>
  <si>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</si>
  <si>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</si>
  <si>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</si>
  <si>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</si>
  <si>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</si>
  <si>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</si>
  <si>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</si>
  <si>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</si>
  <si>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</si>
  <si>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</si>
  <si>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</si>
  <si>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</si>
  <si>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</si>
  <si>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</si>
  <si>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</si>
  <si>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</si>
  <si>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</si>
  <si>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</si>
  <si>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</si>
  <si>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</si>
  <si>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</si>
  <si>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</si>
  <si>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</si>
  <si>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</si>
  <si>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</si>
  <si>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</si>
  <si>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</si>
  <si>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</si>
  <si>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</si>
  <si>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</si>
  <si>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</si>
  <si>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</si>
  <si>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</si>
  <si>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</si>
  <si>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</si>
  <si>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</si>
  <si>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</si>
  <si>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</si>
  <si>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</si>
  <si>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</si>
  <si>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</si>
  <si>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</si>
  <si>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</si>
  <si>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</si>
  <si>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</si>
  <si>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</si>
  <si>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</si>
  <si>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</si>
  <si>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</si>
  <si>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</si>
  <si>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</si>
  <si>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</si>
  <si>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</si>
  <si>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</si>
  <si>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</si>
  <si>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</si>
  <si>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</si>
  <si>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</si>
  <si>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</si>
  <si>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</si>
  <si>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</si>
  <si>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</si>
  <si>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</si>
  <si>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</si>
  <si>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</si>
  <si>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</si>
  <si>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</si>
  <si>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</si>
  <si>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</si>
  <si>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</si>
  <si>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</si>
  <si>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</si>
  <si>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</si>
  <si>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</si>
  <si>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</si>
  <si>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</si>
  <si>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</si>
  <si>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</si>
  <si>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</si>
  <si>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</si>
  <si>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</si>
  <si>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</si>
  <si>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</si>
  <si>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</si>
  <si>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</si>
  <si>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</si>
  <si>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</si>
  <si>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</si>
  <si>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</si>
  <si>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</si>
  <si>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</si>
  <si>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</si>
  <si>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</si>
  <si>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</si>
  <si>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</si>
  <si>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</si>
  <si>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</si>
  <si>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</si>
  <si>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</si>
  <si>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</si>
  <si>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</si>
  <si>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</si>
  <si>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</si>
  <si>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</si>
  <si>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</si>
  <si>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</si>
  <si>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</si>
  <si>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</si>
  <si>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</si>
  <si>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</si>
  <si>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</si>
  <si>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</si>
  <si>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</si>
  <si>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</si>
  <si>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</si>
  <si>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</si>
  <si>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</si>
  <si>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</si>
  <si>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</si>
  <si>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</si>
  <si>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</si>
  <si>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</si>
  <si>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</si>
  <si>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</si>
  <si>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</si>
  <si>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</si>
  <si>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</si>
  <si>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</si>
  <si>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</si>
  <si>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</si>
  <si>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</si>
  <si>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</si>
  <si>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</si>
  <si>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</si>
  <si>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</si>
  <si>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</si>
  <si>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</si>
  <si>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</si>
  <si>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</si>
  <si>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</si>
  <si>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</si>
  <si>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</si>
  <si>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</si>
  <si>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</si>
  <si>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</si>
  <si>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</si>
  <si>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</si>
  <si>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</si>
  <si>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</si>
  <si>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</si>
  <si>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</si>
  <si>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</si>
  <si>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</si>
  <si>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</si>
  <si>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</si>
  <si>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</si>
  <si>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</si>
  <si>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</si>
  <si>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</si>
  <si>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</si>
  <si>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</si>
  <si>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</si>
  <si>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</si>
  <si>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</si>
  <si>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</si>
  <si>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</si>
  <si>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</si>
  <si>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</si>
  <si>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</si>
  <si>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</si>
  <si>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</si>
  <si>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</si>
  <si>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</si>
  <si>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</si>
  <si>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</si>
  <si>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</si>
  <si>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</si>
  <si>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</si>
  <si>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</si>
  <si>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</si>
  <si>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</si>
  <si>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</si>
  <si>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</si>
  <si>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</si>
  <si>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</si>
  <si>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</si>
  <si>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</si>
  <si>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</si>
  <si>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</si>
  <si>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</si>
  <si>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</si>
  <si>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</si>
  <si>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</si>
  <si>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</si>
  <si>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</si>
  <si>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</si>
  <si>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</si>
  <si>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</si>
  <si>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</si>
  <si>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</si>
  <si>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</si>
  <si>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</si>
  <si>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</si>
  <si>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</si>
  <si>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</si>
  <si>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</si>
  <si>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</si>
  <si>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</si>
  <si>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</si>
  <si>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</si>
  <si>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</si>
  <si>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</si>
  <si>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</si>
  <si>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</si>
  <si>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</si>
  <si>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</si>
  <si>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</si>
  <si>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</si>
  <si>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</si>
  <si>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</si>
  <si>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</si>
  <si>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</si>
  <si>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</si>
  <si>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</si>
  <si>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</si>
  <si>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</si>
  <si>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</si>
  <si>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</si>
  <si>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</si>
  <si>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</si>
  <si>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</si>
  <si>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</si>
  <si>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</si>
  <si>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</si>
  <si>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</si>
  <si>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</si>
  <si>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</si>
  <si>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</si>
  <si>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</si>
  <si>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</si>
  <si>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</si>
  <si>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</si>
  <si>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</si>
  <si>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</si>
  <si>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</si>
  <si>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</si>
  <si>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</si>
  <si>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</si>
  <si>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</si>
  <si>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</si>
  <si>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</si>
  <si>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</si>
  <si>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</si>
  <si>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</si>
  <si>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</si>
  <si>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</si>
  <si>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</si>
  <si>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</si>
  <si>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</si>
  <si>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</si>
  <si>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</si>
  <si>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</si>
  <si>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</si>
  <si>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</si>
  <si>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</si>
  <si>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</si>
  <si>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</si>
  <si>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</si>
  <si>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</si>
  <si>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</si>
  <si>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</si>
  <si>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</si>
  <si>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</si>
  <si>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</si>
  <si>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</si>
  <si>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</si>
  <si>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</si>
  <si>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</si>
  <si>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</si>
  <si>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</si>
  <si>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</si>
  <si>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</si>
  <si>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</si>
  <si>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</si>
  <si>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</si>
  <si>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</si>
  <si>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</si>
  <si>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</si>
  <si>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</si>
  <si>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</si>
  <si>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</si>
  <si>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</si>
  <si>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</si>
  <si>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</si>
  <si>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</si>
  <si>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</si>
  <si>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</si>
  <si>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</si>
  <si>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</si>
  <si>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</si>
  <si>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</si>
  <si>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</si>
  <si>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</si>
  <si>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</si>
  <si>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</si>
  <si>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</si>
  <si>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</si>
  <si>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</si>
  <si>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</si>
  <si>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</si>
  <si>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</si>
  <si>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</si>
  <si>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</si>
  <si>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</si>
  <si>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</si>
  <si>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</si>
  <si>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</si>
  <si>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</si>
  <si>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</si>
  <si>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</si>
  <si>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</si>
  <si>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</si>
  <si>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</si>
  <si>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</si>
  <si>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</si>
  <si>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</si>
  <si>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</si>
  <si>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</si>
  <si>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</si>
  <si>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</si>
  <si>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</si>
  <si>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</si>
  <si>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</si>
  <si>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</si>
  <si>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</si>
  <si>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</si>
  <si>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</si>
  <si>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</si>
  <si>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</si>
  <si>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</si>
  <si>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</si>
  <si>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</si>
  <si>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</si>
  <si>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</si>
  <si>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</si>
  <si>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</si>
  <si>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</si>
  <si>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</si>
  <si>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</si>
  <si>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</si>
  <si>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</si>
  <si>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</si>
  <si>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</si>
  <si>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</si>
  <si>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</si>
  <si>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</si>
  <si>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</si>
  <si>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</si>
  <si>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</si>
  <si>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</si>
  <si>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</si>
  <si>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</si>
  <si>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</si>
  <si>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</si>
  <si>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</si>
  <si>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</si>
  <si>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</si>
  <si>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</si>
  <si>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</si>
  <si>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</si>
  <si>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</si>
  <si>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</si>
  <si>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</si>
  <si>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</si>
  <si>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</si>
  <si>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</si>
  <si>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</si>
  <si>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</si>
  <si>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</si>
  <si>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</si>
  <si>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</si>
  <si>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</si>
  <si>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</si>
  <si>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</si>
  <si>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</si>
  <si>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</si>
  <si>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</si>
  <si>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</si>
  <si>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</si>
  <si>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</si>
  <si>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</si>
  <si>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</si>
  <si>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</si>
  <si>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</si>
  <si>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</si>
  <si>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</si>
  <si>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</si>
  <si>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</si>
  <si>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</si>
  <si>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</si>
  <si>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</si>
  <si>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</si>
  <si>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</si>
  <si>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</si>
  <si>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</si>
  <si>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</si>
  <si>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</si>
  <si>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</si>
  <si>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</si>
  <si>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</si>
  <si>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</si>
  <si>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</si>
  <si>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</si>
  <si>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</si>
  <si>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</si>
  <si>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</si>
  <si>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</si>
  <si>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</si>
  <si>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</si>
  <si>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</si>
  <si>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</si>
  <si>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</si>
  <si>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</si>
  <si>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</si>
  <si>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</si>
  <si>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</si>
  <si>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</si>
  <si>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</si>
  <si>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</si>
  <si>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</si>
  <si>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</si>
  <si>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</si>
  <si>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</si>
  <si>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</si>
  <si>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</si>
  <si>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</si>
  <si>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</si>
  <si>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</si>
  <si>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</si>
  <si>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</si>
  <si>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</si>
  <si>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</si>
  <si>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</si>
  <si>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</si>
  <si>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</si>
  <si>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</si>
  <si>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</si>
  <si>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</si>
  <si>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</si>
  <si>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</si>
  <si>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</si>
  <si>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</si>
  <si>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</si>
  <si>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</si>
  <si>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</si>
  <si>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</si>
  <si>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</si>
  <si>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</si>
  <si>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</si>
  <si>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</si>
  <si>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</si>
  <si>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</si>
  <si>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</si>
  <si>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</si>
  <si>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</si>
  <si>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</si>
  <si>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</si>
  <si>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</si>
  <si>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</si>
  <si>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</si>
  <si>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</si>
  <si>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</si>
  <si>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</si>
  <si>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</si>
  <si>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</si>
  <si>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</si>
  <si>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</si>
  <si>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</si>
  <si>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</si>
  <si>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</si>
  <si>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</si>
  <si>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</si>
  <si>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</si>
  <si>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</si>
  <si>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</si>
  <si>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</si>
  <si>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</si>
  <si>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</si>
  <si>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</si>
  <si>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</si>
  <si>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</si>
  <si>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</si>
  <si>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</si>
  <si>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</si>
  <si>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</si>
  <si>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</si>
  <si>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</si>
  <si>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</si>
  <si>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</si>
  <si>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</si>
  <si>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</si>
  <si>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</si>
  <si>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</si>
  <si>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</si>
  <si>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</si>
  <si>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</si>
  <si>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</si>
  <si>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</si>
  <si>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</si>
  <si>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</si>
  <si>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</si>
  <si>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</si>
  <si>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</si>
  <si>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</si>
  <si>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</si>
  <si>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</si>
  <si>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</si>
  <si>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</si>
  <si>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</si>
  <si>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</si>
  <si>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</si>
  <si>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</si>
  <si>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</si>
  <si>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</si>
  <si>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</si>
  <si>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</si>
  <si>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</si>
  <si>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</si>
  <si>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</si>
  <si>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</si>
  <si>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</si>
  <si>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</si>
  <si>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</si>
  <si>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</si>
  <si>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</si>
  <si>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</si>
  <si>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</si>
  <si>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</si>
  <si>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</si>
  <si>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</si>
  <si>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</si>
  <si>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</si>
  <si>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</si>
  <si>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</si>
  <si>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</si>
  <si>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</si>
  <si>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</si>
  <si>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</si>
  <si>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</si>
  <si>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</si>
  <si>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</si>
  <si>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</si>
  <si>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</si>
  <si>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</si>
  <si>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</si>
  <si>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</si>
  <si>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</si>
  <si>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</si>
  <si>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</si>
  <si>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</si>
  <si>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</si>
  <si>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</si>
  <si>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</si>
  <si>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</si>
  <si>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</si>
  <si>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</si>
  <si>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</si>
  <si>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</si>
  <si>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</si>
  <si>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</si>
  <si>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</si>
  <si>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</si>
  <si>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</si>
  <si>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</si>
  <si>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</si>
  <si>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</si>
  <si>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</si>
  <si>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</si>
  <si>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</si>
  <si>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</si>
  <si>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</si>
  <si>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</si>
  <si>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</si>
  <si>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</si>
  <si>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</si>
  <si>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</si>
  <si>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</si>
  <si>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</si>
  <si>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</si>
  <si>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</si>
  <si>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</si>
  <si>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</si>
  <si>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</si>
  <si>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</si>
  <si>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</si>
  <si>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</si>
  <si>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</si>
  <si>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</si>
  <si>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</si>
  <si>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</si>
  <si>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</si>
  <si>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</si>
  <si>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</si>
  <si>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</si>
  <si>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</si>
  <si>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</si>
  <si>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</si>
  <si>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</si>
  <si>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</si>
  <si>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</si>
  <si>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</si>
  <si>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</si>
  <si>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</si>
  <si>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</si>
  <si>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</si>
  <si>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</si>
  <si>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</si>
  <si>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</si>
  <si>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</si>
  <si>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</si>
  <si>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</si>
  <si>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</si>
  <si>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</si>
  <si>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</si>
  <si>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</si>
  <si>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</si>
  <si>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</si>
  <si>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</si>
  <si>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</si>
  <si>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</si>
  <si>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</si>
  <si>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</si>
  <si>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</si>
  <si>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</si>
  <si>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</si>
  <si>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</si>
  <si>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</si>
  <si>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</si>
  <si>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</si>
  <si>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</si>
  <si>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</si>
  <si>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</si>
  <si>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</si>
  <si>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</si>
  <si>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</si>
  <si>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</si>
  <si>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</si>
  <si>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</si>
  <si>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</si>
  <si>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</si>
  <si>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</si>
  <si>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</si>
  <si>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</si>
  <si>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</si>
  <si>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</si>
  <si>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</si>
  <si>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</si>
  <si>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</si>
  <si>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</si>
  <si>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</si>
  <si>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</si>
  <si>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</si>
  <si>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</si>
  <si>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</si>
  <si>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</si>
  <si>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</si>
  <si>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</si>
  <si>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</si>
  <si>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</si>
  <si>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</si>
  <si>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</si>
  <si>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</si>
  <si>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</si>
  <si>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</si>
  <si>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</si>
  <si>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</si>
  <si>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</si>
  <si>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</si>
  <si>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</si>
  <si>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</si>
  <si>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</si>
  <si>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</si>
  <si>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</si>
  <si>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</si>
  <si>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</si>
  <si>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</si>
  <si>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</si>
  <si>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</si>
  <si>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</si>
  <si>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</si>
  <si>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</si>
  <si>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</si>
  <si>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</si>
  <si>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</si>
  <si>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</si>
  <si>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</si>
  <si>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</si>
  <si>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</si>
  <si>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</si>
  <si>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</si>
  <si>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</si>
  <si>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</si>
  <si>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</si>
  <si>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</si>
  <si>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</si>
  <si>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</si>
  <si>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</si>
  <si>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</si>
  <si>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</si>
  <si>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</si>
  <si>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</si>
  <si>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</si>
  <si>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</si>
  <si>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</si>
  <si>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</si>
  <si>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</si>
  <si>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</si>
  <si>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</si>
  <si>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</si>
  <si>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</si>
  <si>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</si>
  <si>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</si>
  <si>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</si>
  <si>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</si>
  <si>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</si>
  <si>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</si>
  <si>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</si>
  <si>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</si>
  <si>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</si>
  <si>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</si>
  <si>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</si>
  <si>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</si>
  <si>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</si>
  <si>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</si>
  <si>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</si>
  <si>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</si>
  <si>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</si>
  <si>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</si>
  <si>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</si>
  <si>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</si>
  <si>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</si>
  <si>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</si>
  <si>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</si>
  <si>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</si>
  <si>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</si>
  <si>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</si>
  <si>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</si>
  <si>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</si>
  <si>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</si>
  <si>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</si>
  <si>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</si>
  <si>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</si>
  <si>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</si>
  <si>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</si>
  <si>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</si>
  <si>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</si>
  <si>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</si>
  <si>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</si>
  <si>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</si>
  <si>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</si>
  <si>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</si>
  <si>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</si>
  <si>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</si>
  <si>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</si>
  <si>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</si>
  <si>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</si>
  <si>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</si>
  <si>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</si>
  <si>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</si>
  <si>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</si>
  <si>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</si>
  <si>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</si>
  <si>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</si>
  <si>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</si>
  <si>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</si>
  <si>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</si>
  <si>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</si>
  <si>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</si>
  <si>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</si>
  <si>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</si>
  <si>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</si>
  <si>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</si>
  <si>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</si>
  <si>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</si>
  <si>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</si>
  <si>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</si>
  <si>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</si>
  <si>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</si>
  <si>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</si>
  <si>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</si>
  <si>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</si>
  <si>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</si>
  <si>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</si>
  <si>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</si>
  <si>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</si>
  <si>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</si>
  <si>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</si>
  <si>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</si>
  <si>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</si>
  <si>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</si>
  <si>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</si>
  <si>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</si>
  <si>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</si>
  <si>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</si>
  <si>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</si>
  <si>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</si>
  <si>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</si>
  <si>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</si>
  <si>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</si>
  <si>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</si>
  <si>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</si>
  <si>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</si>
  <si>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</si>
  <si>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</si>
  <si>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</si>
  <si>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</si>
  <si>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</si>
  <si>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</si>
  <si>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</si>
  <si>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</si>
  <si>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</si>
  <si>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</si>
  <si>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</si>
  <si>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</si>
  <si>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</si>
  <si>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</si>
  <si>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</si>
  <si>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</si>
  <si>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</si>
  <si>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</si>
  <si>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</si>
  <si>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</si>
  <si>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</si>
  <si>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</si>
  <si>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</si>
  <si>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</si>
  <si>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</si>
  <si>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</si>
  <si>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</si>
  <si>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</si>
  <si>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</si>
  <si>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</si>
  <si>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</si>
  <si>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</si>
  <si>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</si>
  <si>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</si>
  <si>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</si>
  <si>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</si>
  <si>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</si>
  <si>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</si>
  <si>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</si>
  <si>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</si>
  <si>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</si>
  <si>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</si>
  <si>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</si>
  <si>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</si>
  <si>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</si>
  <si>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</si>
  <si>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</si>
  <si>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</si>
  <si>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</si>
  <si>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</si>
  <si>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</si>
  <si>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</si>
  <si>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</si>
  <si>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</si>
  <si>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</si>
  <si>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</si>
  <si>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</si>
  <si>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</si>
  <si>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</si>
  <si>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</si>
  <si>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</si>
  <si>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</si>
  <si>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</si>
  <si>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</si>
  <si>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</si>
  <si>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</si>
  <si>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</si>
  <si>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</si>
  <si>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</si>
  <si>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</si>
  <si>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</si>
  <si>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</si>
  <si>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</si>
  <si>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</si>
  <si>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</si>
  <si>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</si>
  <si>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</si>
  <si>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</si>
  <si>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</si>
  <si>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</si>
  <si>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</si>
  <si>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</si>
  <si>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</si>
  <si>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</si>
  <si>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</si>
  <si>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</si>
  <si>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</si>
  <si>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</si>
  <si>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</si>
  <si>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</si>
  <si>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</si>
  <si>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</si>
  <si>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</si>
  <si>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</si>
  <si>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</si>
  <si>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</si>
  <si>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</si>
  <si>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</si>
  <si>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</si>
  <si>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</si>
  <si>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</si>
  <si>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</si>
  <si>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</si>
  <si>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</si>
  <si>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</si>
  <si>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</si>
  <si>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</si>
  <si>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</si>
  <si>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</si>
  <si>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</si>
  <si>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</si>
  <si>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</si>
  <si>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</si>
  <si>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</si>
  <si>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</si>
  <si>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</si>
  <si>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</si>
  <si>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</si>
  <si>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</si>
  <si>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</si>
  <si>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</si>
  <si>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</si>
  <si>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</si>
  <si>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</si>
  <si>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</si>
  <si>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</si>
  <si>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</si>
  <si>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</si>
  <si>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</si>
  <si>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</si>
  <si>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</si>
  <si>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</si>
  <si>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</si>
  <si>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</si>
  <si>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</si>
  <si>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</si>
  <si>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</si>
  <si>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</si>
  <si>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</si>
  <si>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</si>
  <si>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</si>
  <si>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</si>
  <si>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</si>
  <si>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</si>
  <si>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</si>
  <si>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</si>
  <si>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</si>
  <si>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</si>
  <si>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</si>
  <si>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</si>
  <si>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</si>
  <si>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</si>
  <si>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</si>
  <si>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</si>
  <si>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</si>
  <si>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</si>
  <si>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</si>
  <si>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</si>
  <si>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</si>
  <si>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</si>
  <si>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</si>
  <si>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</si>
  <si>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</si>
  <si>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</si>
  <si>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</si>
  <si>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</si>
  <si>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</si>
  <si>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</si>
  <si>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</si>
  <si>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</si>
  <si>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</si>
  <si>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</si>
  <si>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</si>
  <si>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</si>
  <si>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</si>
  <si>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</si>
  <si>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</si>
  <si>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</si>
  <si>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</si>
  <si>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</si>
  <si>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</si>
  <si>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</si>
  <si>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</si>
  <si>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</si>
  <si>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</si>
  <si>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</si>
  <si>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</si>
  <si>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</si>
  <si>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</si>
  <si>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</si>
  <si>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</si>
  <si>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</si>
  <si>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</si>
  <si>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</si>
  <si>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</si>
  <si>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</si>
  <si>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</si>
  <si>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</si>
  <si>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</si>
  <si>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</si>
  <si>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</si>
  <si>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</si>
  <si>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</si>
  <si>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</si>
  <si>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</si>
  <si>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</si>
  <si>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</si>
  <si>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</si>
  <si>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</si>
  <si>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</si>
  <si>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</si>
  <si>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</si>
  <si>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</si>
  <si>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</si>
  <si>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</si>
  <si>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</si>
  <si>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</si>
  <si>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</si>
  <si>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</si>
  <si>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</si>
  <si>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</si>
  <si>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</si>
  <si>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</si>
  <si>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</si>
  <si>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</si>
  <si>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</si>
  <si>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</si>
  <si>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</si>
  <si>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</si>
  <si>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</si>
  <si>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</si>
  <si>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</si>
  <si>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</si>
  <si>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</si>
  <si>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</si>
  <si>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</si>
  <si>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</si>
  <si>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</si>
  <si>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</si>
  <si>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</si>
  <si>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</si>
  <si>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</si>
  <si>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</si>
  <si>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</si>
  <si>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</si>
  <si>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</si>
  <si>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</si>
  <si>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</si>
  <si>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</si>
  <si>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</si>
  <si>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</si>
  <si>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</si>
  <si>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</si>
  <si>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</si>
  <si>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</si>
  <si>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</si>
  <si>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</si>
  <si>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</si>
  <si>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</si>
  <si>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</si>
  <si>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</si>
  <si>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</si>
  <si>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</si>
  <si>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</si>
  <si>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</si>
  <si>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</si>
  <si>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</si>
  <si>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</si>
  <si>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</si>
  <si>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</si>
  <si>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</si>
  <si>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</si>
  <si>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</si>
  <si>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</si>
  <si>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</si>
  <si>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</si>
  <si>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</si>
  <si>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</si>
  <si>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</si>
  <si>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</si>
  <si>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</si>
  <si>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</si>
  <si>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</si>
  <si>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</si>
  <si>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</si>
  <si>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</si>
  <si>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</si>
  <si>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</si>
  <si>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</si>
  <si>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</si>
  <si>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</si>
  <si>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</si>
  <si>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</si>
  <si>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</si>
  <si>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</si>
  <si>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</si>
  <si>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</si>
  <si>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</si>
  <si>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</si>
  <si>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</si>
  <si>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</si>
  <si>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</si>
  <si>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</si>
  <si>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</si>
  <si>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</si>
  <si>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</si>
  <si>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</si>
  <si>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</si>
  <si>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</si>
  <si>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</si>
  <si>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</si>
  <si>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</si>
  <si>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</si>
  <si>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</si>
  <si>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</si>
  <si>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</si>
  <si>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</si>
  <si>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</si>
  <si>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</si>
  <si>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</si>
  <si>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</si>
  <si>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</si>
  <si>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</si>
  <si>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</si>
  <si>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</si>
  <si>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</si>
  <si>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</si>
  <si>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</si>
  <si>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</si>
  <si>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</si>
  <si>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</si>
  <si>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</si>
  <si>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</si>
  <si>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</si>
  <si>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</si>
  <si>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</si>
  <si>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</si>
  <si>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</si>
  <si>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</si>
  <si>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</si>
  <si>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</si>
  <si>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</si>
  <si>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</si>
  <si>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</si>
  <si>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</si>
  <si>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</si>
  <si>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</si>
  <si>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</si>
  <si>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</si>
  <si>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</si>
  <si>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</si>
  <si>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</si>
  <si>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</si>
  <si>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</si>
  <si>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</si>
  <si>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</si>
  <si>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</si>
  <si>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</si>
  <si>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</si>
  <si>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</si>
  <si>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</si>
  <si>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</si>
  <si>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</si>
  <si>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</si>
  <si>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</si>
  <si>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</si>
  <si>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</si>
  <si>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</si>
  <si>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</si>
  <si>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</si>
  <si>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</si>
  <si>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</si>
  <si>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</si>
  <si>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</si>
  <si>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</si>
  <si>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</si>
  <si>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</si>
  <si>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</si>
  <si>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</si>
  <si>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</si>
  <si>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</si>
  <si>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</si>
  <si>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</si>
  <si>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</si>
  <si>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</si>
  <si>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</si>
  <si>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</si>
  <si>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</si>
  <si>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</si>
  <si>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</si>
  <si>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</si>
  <si>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</si>
  <si>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</si>
  <si>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</si>
  <si>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</si>
  <si>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</si>
  <si>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</si>
  <si>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</si>
  <si>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</si>
  <si>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</si>
  <si>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</si>
  <si>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</si>
  <si>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</si>
  <si>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</si>
  <si>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</si>
  <si>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</si>
  <si>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</si>
  <si>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</si>
  <si>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</si>
  <si>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</si>
  <si>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</si>
  <si>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</si>
  <si>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</si>
  <si>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</si>
  <si>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</si>
  <si>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</si>
  <si>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</si>
  <si>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</si>
  <si>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</si>
  <si>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</si>
  <si>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</si>
  <si>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</si>
  <si>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</si>
  <si>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</si>
  <si>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</si>
  <si>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</si>
  <si>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</si>
  <si>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</si>
  <si>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</si>
  <si>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</si>
  <si>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</si>
  <si>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</si>
  <si>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</si>
  <si>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</si>
  <si>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</si>
  <si>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</si>
  <si>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</si>
  <si>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</si>
  <si>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</si>
  <si>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</si>
  <si>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</si>
  <si>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</si>
  <si>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</si>
  <si>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</si>
  <si>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</si>
  <si>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</si>
  <si>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</si>
  <si>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</si>
  <si>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</si>
  <si>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</si>
  <si>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</si>
  <si>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</si>
  <si>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</si>
  <si>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</si>
  <si>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</si>
  <si>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</si>
  <si>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</si>
  <si>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</si>
  <si>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</si>
  <si>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</si>
  <si>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</si>
  <si>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</si>
  <si>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</si>
  <si>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</si>
  <si>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</si>
  <si>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</si>
  <si>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</si>
  <si>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</si>
  <si>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</si>
  <si>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</si>
  <si>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</si>
  <si>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</si>
  <si>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</si>
  <si>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</si>
  <si>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</si>
  <si>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</si>
  <si>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</si>
  <si>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</si>
  <si>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</si>
  <si>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</si>
  <si>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</si>
  <si>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</si>
  <si>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</si>
  <si>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</si>
  <si>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</si>
  <si>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</si>
  <si>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</si>
  <si>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</si>
  <si>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</si>
  <si>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</si>
  <si>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</si>
  <si>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</si>
  <si>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</si>
  <si>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</si>
  <si>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</si>
  <si>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</si>
  <si>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</si>
  <si>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</si>
  <si>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</si>
  <si>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</si>
  <si>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</si>
  <si>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</si>
  <si>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</si>
  <si>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</si>
  <si>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</si>
  <si>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</si>
  <si>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</si>
  <si>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</si>
  <si>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</si>
  <si>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</si>
  <si>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</si>
  <si>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</si>
  <si>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</si>
  <si>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</si>
  <si>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</si>
  <si>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</si>
  <si>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</si>
  <si>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</si>
  <si>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</si>
  <si>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</si>
  <si>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</si>
  <si>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</si>
  <si>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</si>
  <si>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</si>
  <si>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</si>
  <si>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</si>
  <si>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</si>
  <si>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</si>
  <si>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</si>
  <si>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</si>
  <si>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</si>
  <si>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</si>
  <si>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</si>
  <si>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</si>
  <si>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</si>
  <si>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</si>
  <si>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</si>
  <si>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</si>
  <si>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</si>
  <si>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</si>
  <si>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</si>
  <si>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</si>
  <si>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</si>
  <si>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</si>
  <si>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</si>
  <si>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</si>
  <si>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</si>
  <si>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</si>
  <si>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</si>
  <si>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</si>
  <si>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</si>
  <si>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</si>
  <si>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</si>
  <si>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</si>
  <si>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</si>
  <si>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</si>
  <si>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</si>
  <si>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</si>
  <si>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</si>
  <si>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</si>
  <si>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</si>
  <si>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</si>
  <si>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</si>
  <si>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</si>
  <si>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</si>
  <si>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</si>
  <si>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</si>
  <si>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</si>
  <si>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</si>
  <si>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</si>
  <si>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</si>
  <si>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</si>
  <si>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</si>
  <si>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</si>
  <si>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</si>
  <si>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</si>
  <si>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</si>
  <si>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</si>
  <si>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</si>
  <si>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</si>
  <si>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</si>
  <si>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</si>
  <si>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</si>
  <si>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</si>
  <si>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</si>
  <si>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</si>
  <si>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</si>
  <si>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</si>
  <si>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</si>
  <si>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</si>
  <si>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</si>
  <si>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</si>
  <si>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</si>
  <si>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</si>
  <si>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</si>
  <si>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</si>
  <si>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</si>
  <si>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</si>
  <si>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</si>
  <si>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</si>
  <si>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</si>
  <si>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</si>
  <si>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</si>
  <si>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</si>
  <si>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</si>
  <si>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</si>
  <si>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</si>
  <si>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</si>
  <si>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</si>
  <si>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</si>
  <si>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</si>
  <si>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</si>
  <si>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</si>
  <si>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</si>
  <si>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</si>
  <si>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</si>
  <si>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</si>
  <si>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</si>
  <si>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</si>
  <si>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</si>
  <si>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</si>
  <si>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</si>
  <si>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</si>
  <si>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</si>
  <si>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</si>
  <si>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</si>
  <si>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</si>
  <si>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</si>
  <si>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</si>
  <si>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</si>
  <si>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</si>
  <si>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</si>
  <si>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</si>
  <si>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</si>
  <si>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</si>
  <si>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</si>
  <si>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</si>
  <si>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</si>
  <si>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</si>
  <si>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</si>
  <si>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</si>
  <si>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</si>
  <si>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</si>
  <si>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</si>
  <si>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</si>
  <si>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</si>
  <si>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</si>
  <si>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</si>
  <si>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</si>
  <si>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</si>
  <si>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</si>
  <si>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</si>
  <si>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</si>
  <si>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</si>
  <si>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</si>
  <si>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</si>
  <si>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</si>
  <si>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</si>
  <si>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</si>
  <si>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</si>
  <si>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</si>
  <si>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</si>
  <si>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</si>
  <si>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</si>
  <si>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</si>
  <si>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</si>
  <si>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</si>
  <si>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</si>
  <si>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</si>
  <si>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</si>
  <si>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</si>
  <si>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</si>
  <si>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</si>
  <si>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</si>
  <si>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</si>
  <si>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</si>
  <si>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</si>
  <si>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</si>
  <si>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</si>
  <si>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</si>
  <si>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</si>
  <si>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</si>
  <si>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</si>
  <si>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</si>
  <si>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</si>
  <si>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</si>
  <si>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</si>
  <si>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</si>
  <si>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</si>
  <si>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</si>
  <si>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</si>
  <si>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</si>
  <si>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</si>
  <si>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</si>
  <si>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</si>
  <si>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</si>
  <si>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</si>
  <si>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</si>
  <si>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</si>
  <si>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</si>
  <si>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</si>
  <si>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</si>
  <si>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</si>
  <si>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</si>
  <si>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</si>
  <si>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</si>
  <si>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</si>
  <si>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</si>
  <si>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</si>
  <si>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</si>
  <si>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</si>
  <si>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</si>
  <si>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</si>
  <si>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</si>
  <si>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</si>
  <si>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</si>
  <si>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</si>
  <si>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</si>
  <si>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</si>
  <si>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</si>
  <si>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</si>
  <si>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</si>
  <si>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</si>
  <si>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</si>
  <si>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</si>
  <si>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</si>
  <si>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</si>
  <si>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</si>
  <si>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</si>
  <si>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</si>
  <si>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</si>
  <si>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</si>
  <si>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</si>
  <si>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</si>
  <si>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</si>
  <si>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</si>
  <si>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</si>
  <si>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</si>
  <si>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</si>
  <si>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</si>
  <si>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</si>
  <si>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</si>
  <si>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</si>
  <si>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</si>
  <si>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</si>
  <si>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</si>
  <si>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</si>
  <si>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</si>
  <si>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</si>
  <si>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</si>
  <si>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</si>
  <si>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</si>
  <si>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</si>
  <si>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</si>
  <si>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</si>
  <si>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</si>
  <si>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</si>
  <si>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</si>
  <si>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</si>
  <si>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</si>
  <si>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</si>
  <si>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</si>
  <si>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</si>
  <si>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</si>
  <si>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</si>
  <si>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</si>
  <si>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</si>
  <si>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</si>
  <si>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</si>
  <si>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</si>
  <si>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</si>
  <si>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</si>
  <si>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</si>
  <si>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</si>
  <si>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</si>
  <si>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</si>
  <si>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</si>
  <si>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</si>
  <si>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</si>
  <si>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</si>
  <si>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</si>
  <si>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</si>
  <si>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</si>
  <si>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</si>
  <si>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</si>
  <si>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</si>
  <si>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</si>
  <si>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</si>
  <si>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</si>
  <si>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</si>
  <si>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</si>
  <si>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</si>
  <si>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</si>
  <si>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</si>
  <si>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</si>
  <si>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</si>
  <si>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</si>
  <si>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</si>
  <si>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</si>
  <si>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</si>
  <si>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</si>
  <si>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</si>
  <si>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</si>
  <si>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</si>
  <si>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</si>
  <si>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</si>
  <si>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</si>
  <si>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</si>
  <si>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</si>
  <si>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</si>
  <si>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</si>
  <si>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</si>
  <si>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</si>
  <si>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</si>
  <si>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</si>
  <si>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</si>
  <si>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</si>
  <si>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</si>
  <si>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</si>
  <si>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</si>
  <si>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</si>
  <si>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</si>
  <si>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</si>
  <si>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</si>
  <si>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</si>
  <si>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</si>
  <si>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</si>
  <si>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</si>
  <si>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</si>
  <si>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</si>
  <si>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</si>
  <si>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</si>
  <si>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</si>
  <si>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</si>
  <si>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</si>
  <si>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</si>
  <si>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</si>
  <si>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</si>
  <si>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</si>
  <si>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</si>
  <si>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</si>
  <si>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</si>
  <si>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</si>
  <si>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</si>
  <si>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</si>
  <si>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</si>
  <si>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</si>
  <si>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</si>
  <si>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</si>
  <si>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</si>
  <si>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</si>
  <si>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</si>
  <si>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</si>
  <si>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</si>
  <si>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</si>
  <si>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</si>
  <si>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</si>
  <si>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</si>
  <si>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</si>
  <si>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</si>
  <si>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</si>
  <si>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</si>
  <si>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</si>
  <si>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</si>
  <si>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</si>
  <si>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</si>
  <si>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</si>
  <si>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</si>
  <si>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</si>
  <si>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</si>
  <si>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</si>
  <si>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</si>
  <si>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</si>
  <si>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</si>
  <si>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</si>
  <si>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</si>
  <si>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</si>
  <si>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</si>
  <si>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</si>
  <si>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</si>
  <si>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</si>
  <si>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</si>
  <si>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</si>
  <si>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</si>
  <si>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</si>
  <si>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</si>
  <si>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</si>
  <si>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</si>
  <si>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</si>
  <si>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</si>
  <si>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</si>
  <si>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</si>
  <si>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</si>
  <si>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</si>
  <si>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</si>
  <si>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</si>
  <si>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</si>
  <si>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</si>
  <si>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</si>
  <si>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</si>
  <si>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</si>
  <si>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</si>
  <si>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</si>
  <si>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</si>
  <si>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</si>
  <si>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</si>
  <si>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</si>
  <si>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</si>
  <si>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</si>
  <si>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</si>
  <si>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</si>
  <si>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</si>
  <si>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</si>
  <si>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</si>
  <si>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</si>
  <si>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</si>
  <si>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</si>
  <si>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</si>
  <si>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</si>
  <si>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</si>
  <si>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</si>
  <si>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</si>
  <si>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</si>
  <si>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</si>
  <si>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</si>
  <si>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</si>
  <si>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</si>
  <si>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</si>
  <si>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</si>
  <si>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</si>
  <si>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</si>
  <si>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</si>
  <si>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</si>
  <si>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</si>
  <si>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</si>
  <si>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</si>
  <si>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</si>
  <si>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</si>
  <si>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</si>
  <si>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</si>
  <si>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</si>
  <si>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</si>
  <si>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</si>
  <si>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</si>
  <si>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</si>
  <si>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</si>
  <si>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</si>
  <si>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</si>
  <si>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</si>
  <si>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</si>
  <si>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</si>
  <si>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</si>
  <si>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</si>
  <si>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</si>
  <si>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</si>
  <si>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</si>
  <si>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</si>
  <si>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</si>
  <si>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</si>
  <si>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</si>
  <si>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</si>
  <si>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</si>
  <si>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</si>
  <si>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</si>
  <si>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</si>
  <si>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</si>
  <si>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</si>
  <si>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</si>
  <si>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</si>
  <si>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</si>
  <si>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</si>
  <si>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</si>
  <si>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</si>
  <si>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</si>
  <si>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</si>
  <si>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</si>
  <si>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</si>
  <si>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</si>
  <si>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</si>
  <si>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</si>
  <si>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</si>
  <si>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</si>
  <si>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</si>
  <si>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</si>
  <si>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</si>
  <si>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</si>
  <si>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</si>
  <si>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</si>
  <si>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</si>
  <si>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</si>
  <si>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</si>
  <si>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</si>
  <si>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</si>
  <si>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</si>
  <si>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</si>
  <si>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</si>
  <si>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</si>
  <si>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</si>
  <si>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</si>
  <si>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</si>
  <si>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</si>
  <si>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</si>
  <si>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</si>
  <si>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</si>
  <si>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</si>
  <si>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</si>
  <si>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</si>
  <si>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</si>
  <si>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</si>
  <si>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</si>
  <si>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</si>
  <si>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</si>
  <si>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</si>
  <si>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</si>
  <si>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</si>
  <si>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</si>
  <si>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</si>
  <si>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</si>
  <si>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</si>
  <si>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</si>
  <si>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</si>
  <si>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</si>
  <si>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</si>
  <si>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</si>
  <si>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</si>
  <si>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</si>
  <si>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</si>
  <si>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</si>
  <si>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</si>
  <si>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</si>
  <si>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</si>
  <si>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</si>
  <si>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</si>
  <si>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</si>
  <si>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</si>
  <si>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</si>
  <si>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</si>
  <si>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</si>
  <si>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</si>
  <si>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</si>
  <si>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</si>
  <si>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</si>
  <si>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</si>
  <si>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</si>
  <si>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</si>
  <si>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</si>
  <si>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</si>
  <si>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</si>
  <si>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</si>
  <si>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</si>
  <si>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</si>
  <si>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</si>
  <si>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</si>
  <si>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</si>
  <si>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</si>
  <si>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</si>
  <si>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</si>
  <si>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</si>
  <si>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</si>
  <si>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</si>
  <si>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</si>
  <si>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</si>
  <si>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</si>
  <si>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</si>
  <si>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</si>
  <si>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</si>
  <si>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</si>
  <si>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</si>
  <si>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</si>
  <si>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</si>
  <si>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</si>
  <si>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</si>
  <si>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</si>
  <si>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</si>
  <si>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</si>
  <si>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</si>
  <si>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</si>
  <si>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</si>
  <si>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</si>
  <si>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</si>
  <si>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</si>
  <si>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</si>
  <si>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</si>
  <si>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</si>
  <si>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</si>
  <si>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</si>
  <si>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</si>
  <si>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</si>
  <si>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</si>
  <si>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</si>
  <si>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</si>
  <si>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</si>
  <si>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</si>
  <si>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</si>
  <si>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</si>
  <si>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</si>
  <si>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</si>
  <si>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</si>
  <si>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</si>
  <si>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</si>
  <si>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</si>
  <si>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</si>
  <si>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</si>
  <si>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</si>
  <si>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</si>
  <si>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</si>
  <si>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</si>
  <si>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</si>
  <si>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</si>
  <si>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</si>
  <si>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</si>
  <si>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</si>
  <si>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</si>
  <si>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</si>
  <si>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</si>
  <si>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</si>
  <si>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</si>
  <si>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</si>
  <si>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</si>
  <si>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</si>
  <si>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</si>
  <si>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</si>
  <si>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</si>
  <si>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</si>
  <si>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</si>
  <si>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</si>
  <si>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</si>
  <si>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</si>
  <si>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</si>
  <si>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</si>
  <si>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</si>
  <si>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</si>
  <si>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</si>
  <si>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</si>
  <si>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</si>
  <si>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</si>
  <si>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</si>
  <si>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</si>
  <si>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</si>
  <si>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</si>
  <si>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</si>
  <si>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</si>
  <si>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</si>
  <si>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</si>
  <si>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</si>
  <si>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</si>
  <si>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</si>
  <si>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</si>
  <si>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</si>
  <si>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</si>
  <si>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</si>
  <si>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</si>
  <si>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</si>
  <si>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</si>
  <si>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</si>
  <si>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</si>
  <si>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</si>
  <si>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</si>
  <si>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</si>
  <si>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</si>
  <si>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</si>
  <si>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</si>
  <si>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</si>
  <si>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</si>
  <si>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</si>
  <si>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</si>
  <si>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</si>
  <si>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</si>
  <si>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</si>
  <si>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</si>
  <si>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</si>
  <si>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</si>
  <si>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</si>
  <si>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</si>
  <si>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</si>
  <si>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</si>
  <si>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</si>
  <si>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</si>
  <si>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</si>
  <si>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</si>
  <si>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</si>
  <si>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</si>
  <si>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</si>
  <si>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</si>
  <si>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</si>
  <si>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</si>
  <si>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</si>
  <si>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</si>
  <si>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</si>
  <si>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</si>
  <si>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</si>
  <si>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</si>
  <si>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</si>
  <si>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</si>
  <si>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</si>
  <si>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</si>
  <si>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</si>
  <si>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</si>
  <si>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</si>
  <si>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</si>
  <si>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</si>
  <si>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</si>
  <si>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</si>
  <si>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</si>
  <si>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</si>
  <si>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</si>
  <si>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</si>
  <si>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</si>
  <si>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</si>
  <si>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</si>
  <si>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</si>
  <si>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</si>
  <si>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</si>
  <si>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</si>
  <si>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</si>
  <si>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</si>
  <si>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</si>
  <si>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</si>
  <si>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</si>
  <si>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</si>
  <si>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</si>
  <si>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</si>
  <si>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</si>
  <si>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</si>
  <si>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</si>
  <si>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</si>
  <si>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</si>
  <si>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</si>
  <si>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</si>
  <si>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</si>
  <si>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</si>
  <si>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</si>
  <si>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</si>
  <si>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</si>
  <si>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</si>
  <si>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</si>
  <si>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</si>
  <si>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</si>
  <si>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</si>
  <si>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</si>
  <si>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</si>
  <si>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</si>
  <si>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</si>
  <si>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</si>
  <si>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</si>
  <si>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</si>
  <si>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</si>
  <si>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</si>
  <si>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</si>
  <si>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</si>
  <si>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</si>
  <si>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</si>
  <si>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</si>
  <si>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</si>
  <si>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</si>
  <si>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</si>
  <si>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</si>
  <si>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</si>
  <si>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</si>
  <si>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</si>
  <si>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</si>
  <si>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</si>
  <si>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</si>
  <si>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</si>
  <si>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</si>
  <si>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</si>
  <si>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</si>
  <si>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</si>
  <si>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</si>
  <si>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</si>
  <si>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</si>
  <si>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</si>
  <si>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</si>
  <si>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</si>
  <si>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</si>
  <si>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</si>
  <si>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</si>
  <si>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</si>
  <si>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</si>
  <si>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</si>
  <si>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</si>
  <si>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</si>
  <si>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</si>
  <si>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</si>
  <si>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</si>
  <si>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</si>
  <si>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</si>
  <si>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</si>
  <si>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</si>
  <si>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</si>
  <si>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</si>
  <si>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</si>
  <si>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</si>
  <si>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</si>
  <si>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</si>
  <si>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</si>
  <si>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</si>
  <si>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</si>
  <si>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</si>
  <si>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</si>
  <si>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</si>
  <si>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</si>
  <si>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</si>
  <si>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</si>
  <si>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</si>
  <si>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</si>
  <si>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</si>
  <si>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</si>
  <si>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</si>
  <si>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</si>
  <si>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</si>
  <si>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</si>
  <si>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</si>
  <si>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</si>
  <si>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</si>
  <si>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</si>
  <si>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</si>
  <si>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</si>
  <si>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</si>
  <si>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</si>
  <si>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</si>
  <si>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</si>
  <si>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</si>
  <si>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</si>
  <si>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</si>
  <si>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</si>
  <si>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</si>
  <si>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</si>
  <si>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</si>
  <si>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</si>
  <si>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</si>
  <si>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</si>
  <si>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</si>
  <si>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</si>
  <si>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</si>
  <si>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</si>
  <si>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</si>
  <si>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</si>
  <si>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</si>
  <si>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</si>
  <si>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</si>
  <si>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</si>
  <si>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</si>
  <si>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</si>
  <si>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</si>
  <si>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</si>
  <si>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</si>
  <si>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</si>
  <si>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</si>
  <si>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</si>
  <si>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</si>
  <si>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</si>
  <si>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</si>
  <si>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</si>
  <si>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</si>
  <si>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</si>
  <si>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</si>
  <si>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</si>
  <si>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</si>
  <si>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</si>
  <si>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</si>
  <si>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</si>
  <si>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</si>
  <si>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</si>
  <si>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</si>
  <si>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</si>
  <si>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</si>
  <si>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</si>
  <si>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</si>
  <si>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</si>
  <si>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</si>
  <si>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</si>
  <si>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</si>
  <si>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</si>
  <si>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</si>
  <si>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</si>
  <si>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</si>
  <si>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</si>
  <si>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</si>
  <si>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</si>
  <si>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</si>
  <si>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</si>
  <si>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</si>
  <si>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</si>
  <si>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</si>
  <si>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</si>
  <si>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</si>
  <si>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</si>
  <si>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</si>
  <si>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</si>
  <si>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</si>
  <si>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</si>
  <si>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</si>
  <si>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抵押价格</t>
  </si>
  <si>
    <t>其他：</t>
  </si>
  <si>
    <t>企业</t>
  </si>
  <si>
    <t>商业</t>
  </si>
  <si>
    <t>车库</t>
  </si>
  <si>
    <t>地上</t>
  </si>
  <si>
    <t>地下</t>
  </si>
  <si>
    <t xml:space="preserve">施工许可证 </t>
    <phoneticPr fontId="228" type="noConversion"/>
  </si>
  <si>
    <t>楼栋</t>
    <phoneticPr fontId="228" type="noConversion"/>
  </si>
  <si>
    <t>总楼层</t>
    <phoneticPr fontId="228" type="noConversion"/>
  </si>
  <si>
    <t>地上</t>
    <phoneticPr fontId="228" type="noConversion"/>
  </si>
  <si>
    <t>地下</t>
    <phoneticPr fontId="228" type="noConversion"/>
  </si>
  <si>
    <r>
      <t>1</t>
    </r>
    <r>
      <rPr>
        <sz val="11"/>
        <color theme="1"/>
        <rFont val="宋体"/>
        <family val="3"/>
        <charset val="134"/>
        <scheme val="minor"/>
      </rPr>
      <t>1（-1）</t>
    </r>
    <phoneticPr fontId="228" type="noConversion"/>
  </si>
  <si>
    <t>车库</t>
    <phoneticPr fontId="228" type="noConversion"/>
  </si>
  <si>
    <t>9（-1）</t>
    <phoneticPr fontId="228" type="noConversion"/>
  </si>
  <si>
    <t>住宅</t>
    <phoneticPr fontId="228" type="noConversion"/>
  </si>
  <si>
    <t>叠墅</t>
  </si>
  <si>
    <t>叠墅</t>
    <phoneticPr fontId="228" type="noConversion"/>
  </si>
  <si>
    <t>合院</t>
  </si>
  <si>
    <t>合院</t>
    <phoneticPr fontId="228" type="noConversion"/>
  </si>
  <si>
    <t>叠拼</t>
  </si>
  <si>
    <t>独栋</t>
  </si>
  <si>
    <t>商业</t>
    <phoneticPr fontId="228" type="noConversion"/>
  </si>
  <si>
    <t>公建</t>
    <phoneticPr fontId="228" type="noConversion"/>
  </si>
  <si>
    <t>高层</t>
  </si>
  <si>
    <t>高层</t>
    <phoneticPr fontId="7" type="noConversion"/>
  </si>
  <si>
    <t>叠墅</t>
    <phoneticPr fontId="7" type="noConversion"/>
  </si>
  <si>
    <t>合院</t>
    <phoneticPr fontId="7" type="noConversion"/>
  </si>
  <si>
    <t>商业</t>
    <phoneticPr fontId="7" type="noConversion"/>
  </si>
  <si>
    <t>办公</t>
    <phoneticPr fontId="7" type="noConversion"/>
  </si>
  <si>
    <t>车库</t>
    <phoneticPr fontId="7" type="noConversion"/>
  </si>
  <si>
    <t>保障房</t>
  </si>
  <si>
    <t>保障房</t>
    <phoneticPr fontId="7" type="noConversion"/>
  </si>
  <si>
    <t>自定义</t>
  </si>
  <si>
    <t>按租金收入计税</t>
  </si>
  <si>
    <t>钢混</t>
  </si>
  <si>
    <t>比较法-住宅、综合</t>
  </si>
  <si>
    <t>剩余法-待开发</t>
  </si>
  <si>
    <t>动态评估</t>
    <phoneticPr fontId="228" type="noConversion"/>
  </si>
  <si>
    <t>估价时点</t>
    <phoneticPr fontId="228" type="noConversion"/>
  </si>
  <si>
    <t>评估总值</t>
    <phoneticPr fontId="228" type="noConversion"/>
  </si>
  <si>
    <t>正常</t>
  </si>
  <si>
    <t>住宅、商业</t>
  </si>
  <si>
    <t>住宅、商业</t>
    <phoneticPr fontId="26"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</si>
  <si>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</si>
  <si>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</si>
  <si>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</si>
  <si>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</si>
  <si>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</si>
  <si>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</si>
  <si>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</si>
  <si>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</si>
  <si>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</si>
  <si>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</si>
  <si>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</si>
  <si>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</si>
  <si>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</si>
  <si>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</si>
  <si>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</si>
  <si>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大明路东侧、韩区河北侧</t>
  </si>
  <si>
    <t>常州市</t>
  </si>
  <si>
    <t>综合用地(含住宅)</t>
  </si>
  <si>
    <t>＞1且≤2.2</t>
  </si>
  <si>
    <t>挂牌</t>
  </si>
  <si>
    <t>商住用地</t>
  </si>
  <si>
    <t>2020-07-29</t>
  </si>
  <si>
    <t>苏州锐石文华房地产开发有限公司</t>
  </si>
  <si>
    <t>4星</t>
  </si>
  <si>
    <t>武进区湖塘镇滆湖中路南侧、星火南路西侧</t>
  </si>
  <si>
    <t>住宅用地</t>
  </si>
  <si>
    <t>＞1且≤2.5</t>
  </si>
  <si>
    <t>城镇住宅用地</t>
  </si>
  <si>
    <t>2020-07-24</t>
  </si>
  <si>
    <t>长江龙城科技有限公司</t>
  </si>
  <si>
    <t>3星</t>
  </si>
  <si>
    <t>今创路东侧、观景路南侧</t>
  </si>
  <si>
    <t>≥1且≤1.8</t>
  </si>
  <si>
    <t>招标</t>
  </si>
  <si>
    <t>2020-07-16</t>
  </si>
  <si>
    <t>常州弘仁房地产开发有限公司</t>
  </si>
  <si>
    <t>武进区西太湖西太湖大道东侧,环湖北路北侧</t>
  </si>
  <si>
    <t>≥1.20且≤2</t>
  </si>
  <si>
    <t>2020-06-30</t>
  </si>
  <si>
    <t>常州建源城市综合开发有限公司</t>
  </si>
  <si>
    <t>2星</t>
  </si>
  <si>
    <t>武进区牛塘镇大通西路南侧、*东龙北路西侧</t>
  </si>
  <si>
    <t>＞1且≤1.50</t>
  </si>
  <si>
    <t>武进高新区武进西大道南侧、淹城南路东侧</t>
  </si>
  <si>
    <t>＞1且≤2</t>
  </si>
  <si>
    <t>江苏唐美房地产有限公司</t>
  </si>
  <si>
    <t>武进区礼嘉镇百兴路南侧、礼毛路东侧</t>
  </si>
  <si>
    <t>2020-06-17</t>
  </si>
  <si>
    <t>江苏晋陵建设发展有限公司</t>
  </si>
  <si>
    <t>武进区嘉泽镇庙桥河东侧、茶泽街北侧</t>
  </si>
  <si>
    <t>＞1且≤1.80</t>
  </si>
  <si>
    <t>常州路劲房地产开发有限公司</t>
  </si>
  <si>
    <t>1星</t>
  </si>
  <si>
    <t>武进区洛阳镇戴溪河西侧、荷花西路北侧</t>
  </si>
  <si>
    <t>＞1且≤1.5</t>
  </si>
  <si>
    <t>2020-05-22</t>
  </si>
  <si>
    <t>上海垠翰实业发展有限公司</t>
  </si>
  <si>
    <t>武进高新区星火北路东侧、古方路北侧</t>
  </si>
  <si>
    <t>＞1.5且≤2</t>
  </si>
  <si>
    <t>常州盛世置业发展有限公司</t>
  </si>
  <si>
    <t>湾城北路东侧、义乌路南侧</t>
  </si>
  <si>
    <t>＞1.0且≤2.2</t>
  </si>
  <si>
    <t>2020-05-15</t>
  </si>
  <si>
    <t>常州黑牡丹置业有限公司</t>
  </si>
  <si>
    <t>武进高新区阳湖西路南侧,龙江南路东侧</t>
  </si>
  <si>
    <t>2020-03-13</t>
  </si>
  <si>
    <t>常州亿兆实业投资有限公司</t>
  </si>
  <si>
    <t>武进区湖塘镇武宜北路西侧,聚湖东路北侧</t>
  </si>
  <si>
    <t>2020-03-11</t>
  </si>
  <si>
    <t>宏智发展(香港)有限公司</t>
  </si>
  <si>
    <t>武进区牛塘镇童子河南路南侧,东龙路西侧</t>
  </si>
  <si>
    <t>＞1且≤2.20</t>
  </si>
  <si>
    <t>常州汀玫置业有限公司</t>
  </si>
  <si>
    <t>横洛东路东侧、学苑路北侧</t>
  </si>
  <si>
    <t>商住</t>
  </si>
  <si>
    <t>2020-01-15</t>
  </si>
  <si>
    <t>常州东方悦城房地产开发有限公司</t>
  </si>
  <si>
    <t>文明东路南侧、江南路西侧</t>
  </si>
  <si>
    <t>常州灿琮房地产管理咨询有限公司</t>
  </si>
  <si>
    <t>东庄路西侧、观景路北侧</t>
  </si>
  <si>
    <t>＞1且≤1.70</t>
  </si>
  <si>
    <t>常州锦绣山水置业有限公司</t>
  </si>
  <si>
    <t>劳动东路北侧、宛沿河西侧</t>
  </si>
  <si>
    <t>2019-10-23</t>
  </si>
  <si>
    <t>锦艺置业集团有限公司</t>
  </si>
  <si>
    <t>武进区湟里镇经纬一路北侧、粮管所路西侧</t>
  </si>
  <si>
    <t>2019-10-20</t>
  </si>
  <si>
    <t>常州嘉宏高瞻置业发展有限公司</t>
  </si>
  <si>
    <t>武进高新区新奥路西侧,龙帆路南侧</t>
  </si>
  <si>
    <t>2019-08-16</t>
  </si>
  <si>
    <t>常州滨湖房地产开发有限公司</t>
  </si>
  <si>
    <t>武进高新区新知路东侧,龙帆路南侧</t>
  </si>
  <si>
    <t>如东三盛房地产开发有限公司</t>
  </si>
  <si>
    <t>顺通路西侧、葑岸河南侧</t>
  </si>
  <si>
    <t>2019-07-11</t>
  </si>
  <si>
    <t>常州全嘉置业有限公司</t>
  </si>
  <si>
    <t>武进区湖塘镇延政中大道南侧,凤林北路西侧</t>
  </si>
  <si>
    <t>＞1并且≤1.50</t>
  </si>
  <si>
    <t>2019-06-19</t>
  </si>
  <si>
    <t>武进区湖塘镇永安河东侧,滆湖东路南侧</t>
  </si>
  <si>
    <t>≥1.0且≤2.2</t>
  </si>
  <si>
    <t>2019-06-13</t>
  </si>
  <si>
    <t>华盛建设集团有限公司</t>
  </si>
  <si>
    <t>武进区西太湖凤苑南路东侧,稻香路南侧</t>
  </si>
  <si>
    <t>＞1并且＜2.10</t>
  </si>
  <si>
    <t>2019-05-31</t>
  </si>
  <si>
    <t>常州碧盛房地产开发有限公司</t>
  </si>
  <si>
    <t>丁塘河西路西侧、义乌路北侧</t>
  </si>
  <si>
    <t>＞1并且≤2</t>
  </si>
  <si>
    <t>2019-05-23</t>
  </si>
  <si>
    <t>徐州市美的新城房地产发展有限公司</t>
  </si>
  <si>
    <t>5星</t>
  </si>
  <si>
    <t>华通路南侧、常和路西侧</t>
  </si>
  <si>
    <t>＞1并且≤2.2</t>
  </si>
  <si>
    <t>常州和骏房地产管理咨询有限公司</t>
  </si>
  <si>
    <t>青洋路东侧、曙明路北侧</t>
  </si>
  <si>
    <t>常州昌若商务咨询有限公司</t>
  </si>
  <si>
    <t>龙城大道南侧、曙兴路西侧</t>
  </si>
  <si>
    <t>＞1并且≤2.20</t>
  </si>
  <si>
    <t>2019-05-10</t>
  </si>
  <si>
    <t>常州昌煜商务咨询有限公司</t>
  </si>
  <si>
    <t>武进区武宜中路西侧,春秋路北侧</t>
  </si>
  <si>
    <t>2019-04-18</t>
  </si>
  <si>
    <t>常州新城房产开发有限公司</t>
  </si>
  <si>
    <t>武进区礼嘉镇礼百路东侧、百兴路南侧、礼毛路以西</t>
  </si>
  <si>
    <t>＞1并且≤1.80</t>
  </si>
  <si>
    <t>苏州垠壹置业有限公司</t>
  </si>
  <si>
    <t>武进区西湖路北侧,新平路西侧</t>
  </si>
  <si>
    <t>2019-03-21</t>
  </si>
  <si>
    <t>武进区湖塘聚湖东路北侧,长沟路东侧</t>
  </si>
  <si>
    <t>＞1并且≤2.5</t>
  </si>
  <si>
    <t>其他普通商品住房用地</t>
  </si>
  <si>
    <t>2018-12-29</t>
  </si>
  <si>
    <t>江苏天启房地产开发有限公司</t>
  </si>
  <si>
    <t>武进区西太湖锦华路北侧,丰泽路西侧</t>
  </si>
  <si>
    <t>大明路东侧、东方二路南侧</t>
  </si>
  <si>
    <t>2018-11-14</t>
  </si>
  <si>
    <t>常州东方新城房地产开发有限公司</t>
  </si>
  <si>
    <t>武进高新区南塘路北侧,桐庄河东侧</t>
  </si>
  <si>
    <t>2018-10-31</t>
  </si>
  <si>
    <t>上海梁科房地产开发有限公司</t>
  </si>
  <si>
    <t>武进区雪堰镇老锡宜公路南侧、纵三路以东</t>
  </si>
  <si>
    <t>2018-10-20</t>
  </si>
  <si>
    <t>江苏旷达房地产开发有限公司</t>
  </si>
  <si>
    <t>武进区前黄镇新府东街西侧,凤林路北侧</t>
  </si>
  <si>
    <t>2018-09-30</t>
  </si>
  <si>
    <t>南京梁拓置业有限公司</t>
  </si>
  <si>
    <t>文明东路南侧、山水路东侧</t>
  </si>
  <si>
    <t>2018-09-28</t>
  </si>
  <si>
    <t>常州奥阳房地产开发有限公司</t>
  </si>
  <si>
    <t>武进区武南中路北侧,新平路西侧</t>
  </si>
  <si>
    <t>2018-09-21</t>
  </si>
  <si>
    <t>武进区东龙南路西侧,卢中街南侧</t>
  </si>
  <si>
    <t>2018-08-23</t>
  </si>
  <si>
    <t>武进区武南中路北侧,新平路东侧</t>
  </si>
  <si>
    <t>＞1且≤1.8</t>
  </si>
  <si>
    <t>2018-06-22</t>
  </si>
  <si>
    <t>镇江美的房地产发展有限公司</t>
  </si>
  <si>
    <t>东方东路北侧常青路西侧</t>
  </si>
  <si>
    <t>≥1.8且≤2.2</t>
  </si>
  <si>
    <t>2018-06-21</t>
  </si>
  <si>
    <t>华润置地(常州)有限公司</t>
  </si>
  <si>
    <t>武进区延政中大道南侧,凤林北路东侧</t>
  </si>
  <si>
    <t>＞1且≤1.44</t>
  </si>
  <si>
    <t>2018-05-20</t>
  </si>
  <si>
    <t>常州新城宏业房地产有限公司</t>
  </si>
  <si>
    <t>武进区延政大道南侧,牛溪路西侧</t>
  </si>
  <si>
    <t>1＜容积率≤2.20</t>
  </si>
  <si>
    <t>2018-05-11</t>
  </si>
  <si>
    <t>武进高新区武进西大道南侧,新知路东侧</t>
  </si>
  <si>
    <t>1＜容积率≤1.80</t>
  </si>
  <si>
    <t>2018-04-19</t>
  </si>
  <si>
    <t>荣盛</t>
  </si>
  <si>
    <t>武进高新区镜湖西路北侧、凤林南路西侧</t>
  </si>
  <si>
    <t>住宅/其他普通商品住房用地</t>
  </si>
  <si>
    <t>2018-03-29</t>
  </si>
  <si>
    <t>常州万方新城房地产开发有限公司*(新城)</t>
  </si>
  <si>
    <t>顺通路东侧、公园路南侧</t>
  </si>
  <si>
    <t>2018-03-21</t>
  </si>
  <si>
    <t>江苏港龙华扬置业有限公司</t>
  </si>
  <si>
    <t>山水路北侧、232省道东侧</t>
  </si>
  <si>
    <t>常州市丰乐房地产开发有限公司</t>
  </si>
  <si>
    <t>武进区洛阳镇珠光路东侧、公园路南侧</t>
  </si>
  <si>
    <t>2018-02-28</t>
  </si>
  <si>
    <t>常州新城金郡房地产有限公司</t>
  </si>
  <si>
    <t>武进区采菱家园北侧</t>
  </si>
  <si>
    <t>其他、普通商品住房用地</t>
  </si>
  <si>
    <t>2017-12-13</t>
  </si>
  <si>
    <t>常州嘉宏融科置业发展有限公司</t>
  </si>
  <si>
    <t>武进区西太湖环湖北路北侧、竹月路西侧</t>
  </si>
  <si>
    <t>1.20≤容积率≤1.80</t>
  </si>
  <si>
    <t>2017-10-19</t>
  </si>
  <si>
    <t>常州建源房地产开发公司</t>
  </si>
  <si>
    <t>湖塘镇大通东路以南,社桥路以西</t>
  </si>
  <si>
    <t>1＜容积率≤1.50</t>
  </si>
  <si>
    <t>2017-08-11</t>
  </si>
  <si>
    <t>常州绿城置业有限公司</t>
  </si>
  <si>
    <t>武进高新区顺龙河北侧、新知路以西</t>
  </si>
  <si>
    <t>1＜容积率≤2.50</t>
  </si>
  <si>
    <t>2017-07-06</t>
  </si>
  <si>
    <t>常州众创汇置业有限公司</t>
  </si>
  <si>
    <t>常州经开区三观路北侧红丰路东侧</t>
  </si>
  <si>
    <t>2017-06-27</t>
  </si>
  <si>
    <t>常州经开区顺通西路北侧、明清路西侧地块</t>
  </si>
  <si>
    <t>常州经开区劳动东路北侧京杭大运河东侧</t>
  </si>
  <si>
    <t>1＜容积率≤3.20</t>
  </si>
  <si>
    <t>常州经开区华昌路东侧夏和路南侧地块</t>
  </si>
  <si>
    <t>镇江润德置业有限公司</t>
  </si>
  <si>
    <t>湖塘镇花园街东侧、人民中路北侧地块</t>
  </si>
  <si>
    <t>1＜容积率≤2.40</t>
  </si>
  <si>
    <t>2017-06-22</t>
  </si>
  <si>
    <t>徐州市美的新城房地产开发有限公司</t>
  </si>
  <si>
    <t>住宅</t>
    <phoneticPr fontId="26" type="noConversion"/>
  </si>
  <si>
    <t>70</t>
    <phoneticPr fontId="26" type="noConversion"/>
  </si>
  <si>
    <t>楼面地价</t>
  </si>
  <si>
    <t>较好</t>
  </si>
  <si>
    <t>较好</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</si>
  <si>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</si>
  <si>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</si>
  <si>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</si>
  <si>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</si>
  <si>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</si>
  <si>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</si>
  <si>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规则</t>
  </si>
  <si>
    <t>规则</t>
    <phoneticPr fontId="26" type="noConversion"/>
  </si>
  <si>
    <t>较规则</t>
    <phoneticPr fontId="26" type="noConversion"/>
  </si>
  <si>
    <t>较不规则</t>
    <phoneticPr fontId="26" type="noConversion"/>
  </si>
  <si>
    <t>不规则</t>
    <phoneticPr fontId="26" type="noConversion"/>
  </si>
  <si>
    <t>有</t>
    <phoneticPr fontId="26" type="noConversion"/>
  </si>
  <si>
    <t>无</t>
    <phoneticPr fontId="26" type="noConversion"/>
  </si>
  <si>
    <t>自持</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</si>
  <si>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</si>
  <si>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</si>
  <si>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</si>
  <si>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</si>
  <si>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</si>
  <si>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津通国际智慧谷</t>
    <phoneticPr fontId="3" type="noConversion"/>
  </si>
  <si>
    <t>住宅</t>
    <phoneticPr fontId="21" type="noConversion"/>
  </si>
  <si>
    <t>60-70（含）</t>
  </si>
  <si>
    <t>有装修</t>
  </si>
  <si>
    <t>有装修</t>
    <phoneticPr fontId="21" type="noConversion"/>
  </si>
  <si>
    <t>毛坯</t>
  </si>
  <si>
    <t>绿地香奈</t>
    <phoneticPr fontId="3" type="noConversion"/>
  </si>
  <si>
    <t>碧桂园都市森林</t>
    <phoneticPr fontId="3" type="noConversion"/>
  </si>
  <si>
    <t>一般</t>
  </si>
  <si>
    <t>六通</t>
    <phoneticPr fontId="21" type="noConversion"/>
  </si>
  <si>
    <t>售价</t>
  </si>
  <si>
    <t>钢混</t>
    <phoneticPr fontId="21" type="noConversion"/>
  </si>
  <si>
    <t>洋房、小高层</t>
  </si>
  <si>
    <t>洋房、小高层</t>
    <phoneticPr fontId="21" type="noConversion"/>
  </si>
  <si>
    <t>叠拼</t>
    <phoneticPr fontId="21" type="noConversion"/>
  </si>
  <si>
    <t>合院</t>
    <phoneticPr fontId="21" type="noConversion"/>
  </si>
  <si>
    <t>建筑类型</t>
    <phoneticPr fontId="3" type="noConversion"/>
  </si>
  <si>
    <t>洋房、小高层</t>
    <phoneticPr fontId="21" type="noConversion"/>
  </si>
  <si>
    <t>叠拼</t>
    <phoneticPr fontId="21" type="noConversion"/>
  </si>
  <si>
    <t>合院</t>
    <phoneticPr fontId="21" type="noConversion"/>
  </si>
  <si>
    <t>装修</t>
    <phoneticPr fontId="3" type="noConversion"/>
  </si>
  <si>
    <t>精装</t>
    <phoneticPr fontId="21" type="noConversion"/>
  </si>
  <si>
    <t>普装</t>
    <phoneticPr fontId="21" type="noConversion"/>
  </si>
  <si>
    <t>简装</t>
    <phoneticPr fontId="21" type="noConversion"/>
  </si>
  <si>
    <t>毛坯</t>
    <phoneticPr fontId="21" type="noConversion"/>
  </si>
  <si>
    <r>
      <rPr>
        <sz val="11"/>
        <color indexed="8"/>
        <rFont val="宋体"/>
        <family val="3"/>
        <charset val="134"/>
      </rPr>
      <t>不动产收益法</t>
    </r>
    <r>
      <rPr>
        <sz val="11"/>
        <color indexed="8"/>
        <rFont val="宋体"/>
        <family val="3"/>
        <charset val="134"/>
      </rPr>
      <t>商业</t>
    </r>
    <phoneticPr fontId="14" type="noConversion"/>
  </si>
  <si>
    <r>
      <rPr>
        <sz val="11"/>
        <color indexed="8"/>
        <rFont val="宋体"/>
        <family val="3"/>
        <charset val="134"/>
      </rPr>
      <t>不动产收益法</t>
    </r>
    <r>
      <rPr>
        <sz val="11"/>
        <color indexed="8"/>
        <rFont val="宋体"/>
        <family val="3"/>
        <charset val="134"/>
      </rPr>
      <t>办公</t>
    </r>
    <phoneticPr fontId="14" type="noConversion"/>
  </si>
  <si>
    <t>押一</t>
  </si>
  <si>
    <t>不动产收益法商业</t>
  </si>
  <si>
    <t>不动产收益法办公</t>
  </si>
  <si>
    <r>
      <rPr>
        <sz val="10"/>
        <color indexed="8"/>
        <rFont val="宋体"/>
        <family val="3"/>
        <charset val="134"/>
      </rPr>
      <t>商业</t>
    </r>
    <r>
      <rPr>
        <sz val="10"/>
        <color indexed="8"/>
        <rFont val="Arial"/>
        <family val="2"/>
      </rPr>
      <t>1</t>
    </r>
    <r>
      <rPr>
        <sz val="10"/>
        <color indexed="8"/>
        <rFont val="宋体"/>
        <family val="3"/>
        <charset val="134"/>
      </rPr>
      <t>层</t>
    </r>
    <phoneticPr fontId="3" type="noConversion"/>
  </si>
  <si>
    <r>
      <rPr>
        <sz val="10"/>
        <color indexed="8"/>
        <rFont val="宋体"/>
        <family val="3"/>
        <charset val="134"/>
      </rPr>
      <t>商业</t>
    </r>
    <r>
      <rPr>
        <sz val="10"/>
        <color indexed="8"/>
        <rFont val="Arial"/>
        <family val="2"/>
      </rPr>
      <t>2</t>
    </r>
    <r>
      <rPr>
        <sz val="10"/>
        <color indexed="8"/>
        <rFont val="宋体"/>
        <family val="3"/>
        <charset val="134"/>
      </rPr>
      <t>层</t>
    </r>
    <phoneticPr fontId="3" type="noConversion"/>
  </si>
  <si>
    <t>1-3层商铺19000</t>
    <phoneticPr fontId="228" type="noConversion"/>
  </si>
  <si>
    <r>
      <t>1</t>
    </r>
    <r>
      <rPr>
        <sz val="11"/>
        <color theme="1"/>
        <rFont val="宋体"/>
        <family val="3"/>
        <charset val="134"/>
        <scheme val="minor"/>
      </rPr>
      <t>-2层商铺2000-21000</t>
    </r>
    <phoneticPr fontId="228" type="noConversion"/>
  </si>
  <si>
    <t>折扣后最多便宜1000，一般便宜500-800</t>
    <phoneticPr fontId="228" type="noConversion"/>
  </si>
  <si>
    <t>较规则</t>
  </si>
  <si>
    <t>有</t>
    <phoneticPr fontId="26" type="noConversion"/>
  </si>
  <si>
    <t>有</t>
    <phoneticPr fontId="26" type="noConversion"/>
  </si>
  <si>
    <t>双面临街</t>
  </si>
  <si>
    <t>单面临街</t>
  </si>
  <si>
    <t>多面临街</t>
  </si>
  <si>
    <t>毛坯</t>
    <phoneticPr fontId="21" type="noConversion"/>
  </si>
  <si>
    <r>
      <rPr>
        <sz val="11"/>
        <color indexed="8"/>
        <rFont val="宋体"/>
        <family val="3"/>
        <charset val="134"/>
      </rPr>
      <t>不动产收益法</t>
    </r>
    <r>
      <rPr>
        <sz val="11"/>
        <color indexed="8"/>
        <rFont val="宋体"/>
        <family val="3"/>
        <charset val="134"/>
      </rPr>
      <t>车库</t>
    </r>
    <phoneticPr fontId="14" type="noConversion"/>
  </si>
  <si>
    <t>不动产收益法车库</t>
  </si>
  <si>
    <t>类别</t>
  </si>
  <si>
    <t>项目类型</t>
  </si>
  <si>
    <t>经营性</t>
  </si>
  <si>
    <t>公共配套及物业（住宅）</t>
  </si>
  <si>
    <t>总计</t>
  </si>
  <si>
    <t>——</t>
    <phoneticPr fontId="228" type="noConversion"/>
  </si>
  <si>
    <t>——</t>
    <phoneticPr fontId="228" type="noConversion"/>
  </si>
  <si>
    <t>小高层住宅</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</si>
</sst>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0" fontId="145" fillId="0" borderId="0" xfId="0" applyFont="1" applyAlignment="1">
      <alignment horizontal="left" vertical="center"/>
    </xf>
    <xf numFmtId="0" fontId="0" fillId="18" borderId="0" xfId="0" applyFill="1" applyAlignment="1">
      <alignment horizontal="left" vertical="center"/>
    </xf>
    <xf numFmtId="0" fontId="0" fillId="6" borderId="0" xfId="0" applyFill="1" applyAlignment="1">
      <alignment horizontal="left" vertical="center"/>
    </xf>
    <xf numFmtId="0" fontId="0" fillId="0" borderId="0" xfId="0" applyFill="1" applyAlignment="1">
      <alignment horizontal="left" vertical="center"/>
    </xf>
    <xf numFmtId="0" fontId="0" fillId="16" borderId="0" xfId="0" applyFill="1" applyAlignment="1">
      <alignment horizontal="left" vertical="center"/>
    </xf>
    <xf numFmtId="178" fontId="81" fillId="0" borderId="2" xfId="2" applyNumberFormat="1" applyFont="1" applyFill="1" applyBorder="1" applyAlignment="1" applyProtection="1">
      <alignment vertical="center"/>
      <protection locked="0"/>
    </xf>
    <xf numFmtId="0" fontId="145" fillId="0" borderId="0" xfId="1" applyFont="1">
      <alignment vertical="center"/>
    </xf>
    <xf numFmtId="0" fontId="145" fillId="0" borderId="0" xfId="1">
      <alignment vertical="center"/>
    </xf>
    <xf numFmtId="14" fontId="145" fillId="0" borderId="0" xfId="1" applyNumberFormat="1">
      <alignment vertical="center"/>
    </xf>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6" fillId="0" borderId="0" xfId="16"/>
    <xf numFmtId="0" fontId="86" fillId="9" borderId="0" xfId="16" applyFill="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0" fontId="145" fillId="0" borderId="0" xfId="0" applyFont="1">
      <alignment vertical="center"/>
    </xf>
    <xf numFmtId="0" fontId="86" fillId="6" borderId="0" xfId="16" applyFill="1"/>
    <xf numFmtId="0" fontId="86" fillId="19" borderId="0" xfId="16" applyFill="1"/>
    <xf numFmtId="177" fontId="84" fillId="5" borderId="2" xfId="2" applyNumberFormat="1" applyFont="1" applyFill="1" applyBorder="1" applyAlignment="1" applyProtection="1">
      <alignment horizontal="left" vertical="center"/>
    </xf>
    <xf numFmtId="178" fontId="11" fillId="0" borderId="2" xfId="2" applyNumberFormat="1" applyFont="1" applyFill="1" applyBorder="1" applyAlignment="1" applyProtection="1">
      <alignment horizontal="left" vertical="center"/>
      <protection locked="0" hidden="1"/>
    </xf>
    <xf numFmtId="0" fontId="71" fillId="5" borderId="2" xfId="0" applyFont="1" applyFill="1" applyBorder="1" applyAlignment="1" applyProtection="1">
      <alignment horizontal="left" vertical="center"/>
    </xf>
    <xf numFmtId="177" fontId="71" fillId="5" borderId="2" xfId="0" applyNumberFormat="1" applyFont="1" applyFill="1" applyBorder="1" applyAlignment="1" applyProtection="1">
      <alignment horizontal="left" vertical="center"/>
    </xf>
    <xf numFmtId="178" fontId="81" fillId="0" borderId="2" xfId="2" applyNumberFormat="1" applyFont="1" applyFill="1" applyBorder="1" applyAlignment="1" applyProtection="1">
      <alignment horizontal="left" vertical="center"/>
      <protection locked="0"/>
    </xf>
    <xf numFmtId="0" fontId="52" fillId="5" borderId="2" xfId="0" applyFont="1" applyFill="1" applyBorder="1" applyAlignment="1" applyProtection="1">
      <alignment horizontal="left" vertical="center"/>
    </xf>
    <xf numFmtId="177" fontId="83" fillId="5" borderId="2" xfId="2" applyNumberFormat="1" applyFont="1" applyFill="1" applyBorder="1" applyAlignment="1" applyProtection="1">
      <alignment horizontal="left" vertical="center"/>
    </xf>
    <xf numFmtId="0" fontId="76" fillId="3" borderId="2" xfId="0" applyFont="1" applyFill="1" applyBorder="1" applyAlignment="1" applyProtection="1">
      <alignment horizontal="left" vertical="center"/>
      <protection locked="0"/>
    </xf>
    <xf numFmtId="0" fontId="71" fillId="3" borderId="2" xfId="0" applyFont="1" applyFill="1" applyBorder="1" applyAlignment="1" applyProtection="1">
      <alignment horizontal="left" vertical="center"/>
      <protection locked="0"/>
    </xf>
    <xf numFmtId="0" fontId="133" fillId="5" borderId="2" xfId="0" applyFont="1" applyFill="1" applyBorder="1" applyAlignment="1" applyProtection="1">
      <alignment horizontal="left" vertical="center"/>
    </xf>
    <xf numFmtId="180" fontId="75" fillId="5" borderId="2" xfId="0" applyNumberFormat="1" applyFont="1" applyFill="1" applyBorder="1" applyAlignment="1" applyProtection="1">
      <alignment horizontal="lef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1" fillId="5" borderId="2" xfId="0" applyFont="1" applyFill="1" applyBorder="1" applyAlignment="1" applyProtection="1">
      <alignment horizontal="left" vertical="center"/>
    </xf>
    <xf numFmtId="0" fontId="71" fillId="5" borderId="10" xfId="0" applyFont="1" applyFill="1" applyBorder="1" applyAlignment="1" applyProtection="1">
      <alignment horizontal="center" vertical="center"/>
    </xf>
    <xf numFmtId="0" fontId="71" fillId="5" borderId="21" xfId="0" applyFont="1" applyFill="1" applyBorder="1" applyAlignment="1" applyProtection="1">
      <alignment horizontal="center" vertical="center"/>
    </xf>
    <xf numFmtId="0" fontId="52" fillId="5" borderId="10" xfId="0" applyFont="1" applyFill="1" applyBorder="1" applyAlignment="1" applyProtection="1">
      <alignment horizontal="center" vertical="center"/>
    </xf>
    <xf numFmtId="0" fontId="52" fillId="5" borderId="21" xfId="0" applyFont="1" applyFill="1" applyBorder="1" applyAlignment="1" applyProtection="1">
      <alignment horizontal="center" vertical="center"/>
    </xf>
    <xf numFmtId="0" fontId="98" fillId="9" borderId="0" xfId="0" applyFont="1" applyFill="1" applyAlignment="1" applyProtection="1">
      <alignment vertical="center"/>
      <protection locked="0"/>
    </xf>
    <xf numFmtId="0" fontId="86" fillId="9" borderId="98" xfId="0" applyNumberFormat="1" applyFont="1" applyFill="1" applyBorder="1" applyAlignment="1" applyProtection="1">
      <alignment horizontal="center" vertical="center" wrapText="1"/>
      <protection locked="0"/>
    </xf>
    <xf numFmtId="9" fontId="71" fillId="9" borderId="64" xfId="0" applyNumberFormat="1" applyFont="1" applyFill="1" applyBorder="1" applyAlignment="1" applyProtection="1">
      <alignment horizontal="center" vertical="center" wrapText="1"/>
      <protection locked="0"/>
    </xf>
    <xf numFmtId="0" fontId="86" fillId="9" borderId="25" xfId="2"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182" fontId="71" fillId="9" borderId="2" xfId="0" applyNumberFormat="1"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4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7.png"/><Relationship Id="rId16" Type="http://schemas.openxmlformats.org/officeDocument/2006/relationships/image" Target="../media/image31.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19" Type="http://schemas.openxmlformats.org/officeDocument/2006/relationships/image" Target="../media/image34.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76200</xdr:colOff>
      <xdr:row>2</xdr:row>
      <xdr:rowOff>76200</xdr:rowOff>
    </xdr:from>
    <xdr:to>
      <xdr:col>13</xdr:col>
      <xdr:colOff>475660</xdr:colOff>
      <xdr:row>27</xdr:row>
      <xdr:rowOff>28046</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5391150" y="419100"/>
          <a:ext cx="4723810" cy="4238096"/>
        </a:xfrm>
        <a:prstGeom prst="rect">
          <a:avLst/>
        </a:prstGeom>
      </xdr:spPr>
    </xdr:pic>
    <xdr:clientData/>
  </xdr:twoCellAnchor>
  <xdr:twoCellAnchor editAs="oneCell">
    <xdr:from>
      <xdr:col>5</xdr:col>
      <xdr:colOff>495300</xdr:colOff>
      <xdr:row>29</xdr:row>
      <xdr:rowOff>76200</xdr:rowOff>
    </xdr:from>
    <xdr:to>
      <xdr:col>15</xdr:col>
      <xdr:colOff>675336</xdr:colOff>
      <xdr:row>59</xdr:row>
      <xdr:rowOff>94605</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4171950" y="5048250"/>
          <a:ext cx="7514286" cy="51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61</xdr:row>
      <xdr:rowOff>38100</xdr:rowOff>
    </xdr:from>
    <xdr:to>
      <xdr:col>7</xdr:col>
      <xdr:colOff>180036</xdr:colOff>
      <xdr:row>99</xdr:row>
      <xdr:rowOff>103998</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228600" y="9915525"/>
          <a:ext cx="7514286" cy="6219048"/>
        </a:xfrm>
        <a:prstGeom prst="rect">
          <a:avLst/>
        </a:prstGeom>
      </xdr:spPr>
    </xdr:pic>
    <xdr:clientData/>
  </xdr:twoCellAnchor>
  <xdr:twoCellAnchor editAs="oneCell">
    <xdr:from>
      <xdr:col>0</xdr:col>
      <xdr:colOff>133350</xdr:colOff>
      <xdr:row>102</xdr:row>
      <xdr:rowOff>104775</xdr:rowOff>
    </xdr:from>
    <xdr:to>
      <xdr:col>8</xdr:col>
      <xdr:colOff>541823</xdr:colOff>
      <xdr:row>140</xdr:row>
      <xdr:rowOff>46864</xdr:rowOff>
    </xdr:to>
    <xdr:pic>
      <xdr:nvPicPr>
        <xdr:cNvPr id="4" name="图片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33350" y="16621125"/>
          <a:ext cx="8819048" cy="6095239"/>
        </a:xfrm>
        <a:prstGeom prst="rect">
          <a:avLst/>
        </a:prstGeom>
      </xdr:spPr>
    </xdr:pic>
    <xdr:clientData/>
  </xdr:twoCellAnchor>
  <xdr:twoCellAnchor editAs="oneCell">
    <xdr:from>
      <xdr:col>9</xdr:col>
      <xdr:colOff>257175</xdr:colOff>
      <xdr:row>105</xdr:row>
      <xdr:rowOff>57150</xdr:rowOff>
    </xdr:from>
    <xdr:to>
      <xdr:col>14</xdr:col>
      <xdr:colOff>887142</xdr:colOff>
      <xdr:row>125</xdr:row>
      <xdr:rowOff>161507</xdr:rowOff>
    </xdr:to>
    <xdr:pic>
      <xdr:nvPicPr>
        <xdr:cNvPr id="5" name="图片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3"/>
        <a:stretch>
          <a:fillRect/>
        </a:stretch>
      </xdr:blipFill>
      <xdr:spPr>
        <a:xfrm>
          <a:off x="9353550" y="17059275"/>
          <a:ext cx="4704762" cy="3342857"/>
        </a:xfrm>
        <a:prstGeom prst="rect">
          <a:avLst/>
        </a:prstGeom>
      </xdr:spPr>
    </xdr:pic>
    <xdr:clientData/>
  </xdr:twoCellAnchor>
  <xdr:twoCellAnchor editAs="oneCell">
    <xdr:from>
      <xdr:col>0</xdr:col>
      <xdr:colOff>66675</xdr:colOff>
      <xdr:row>141</xdr:row>
      <xdr:rowOff>123825</xdr:rowOff>
    </xdr:from>
    <xdr:to>
      <xdr:col>8</xdr:col>
      <xdr:colOff>237053</xdr:colOff>
      <xdr:row>179</xdr:row>
      <xdr:rowOff>94485</xdr:rowOff>
    </xdr:to>
    <xdr:pic>
      <xdr:nvPicPr>
        <xdr:cNvPr id="6" name="图片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4"/>
        <a:stretch>
          <a:fillRect/>
        </a:stretch>
      </xdr:blipFill>
      <xdr:spPr>
        <a:xfrm>
          <a:off x="66675" y="22955250"/>
          <a:ext cx="8580953" cy="6123810"/>
        </a:xfrm>
        <a:prstGeom prst="rect">
          <a:avLst/>
        </a:prstGeom>
      </xdr:spPr>
    </xdr:pic>
    <xdr:clientData/>
  </xdr:twoCellAnchor>
  <xdr:twoCellAnchor editAs="oneCell">
    <xdr:from>
      <xdr:col>9</xdr:col>
      <xdr:colOff>0</xdr:colOff>
      <xdr:row>144</xdr:row>
      <xdr:rowOff>0</xdr:rowOff>
    </xdr:from>
    <xdr:to>
      <xdr:col>14</xdr:col>
      <xdr:colOff>268062</xdr:colOff>
      <xdr:row>165</xdr:row>
      <xdr:rowOff>56718</xdr:rowOff>
    </xdr:to>
    <xdr:pic>
      <xdr:nvPicPr>
        <xdr:cNvPr id="7" name="图片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5"/>
        <a:stretch>
          <a:fillRect/>
        </a:stretch>
      </xdr:blipFill>
      <xdr:spPr>
        <a:xfrm>
          <a:off x="9096375" y="23317200"/>
          <a:ext cx="4342857" cy="3457143"/>
        </a:xfrm>
        <a:prstGeom prst="rect">
          <a:avLst/>
        </a:prstGeom>
      </xdr:spPr>
    </xdr:pic>
    <xdr:clientData/>
  </xdr:twoCellAnchor>
  <xdr:twoCellAnchor editAs="oneCell">
    <xdr:from>
      <xdr:col>0</xdr:col>
      <xdr:colOff>66675</xdr:colOff>
      <xdr:row>181</xdr:row>
      <xdr:rowOff>28575</xdr:rowOff>
    </xdr:from>
    <xdr:to>
      <xdr:col>9</xdr:col>
      <xdr:colOff>36967</xdr:colOff>
      <xdr:row>219</xdr:row>
      <xdr:rowOff>37330</xdr:rowOff>
    </xdr:to>
    <xdr:pic>
      <xdr:nvPicPr>
        <xdr:cNvPr id="8" name="图片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6"/>
        <a:stretch>
          <a:fillRect/>
        </a:stretch>
      </xdr:blipFill>
      <xdr:spPr>
        <a:xfrm>
          <a:off x="66675" y="29337000"/>
          <a:ext cx="9066667" cy="6161905"/>
        </a:xfrm>
        <a:prstGeom prst="rect">
          <a:avLst/>
        </a:prstGeom>
      </xdr:spPr>
    </xdr:pic>
    <xdr:clientData/>
  </xdr:twoCellAnchor>
  <xdr:twoCellAnchor editAs="oneCell">
    <xdr:from>
      <xdr:col>9</xdr:col>
      <xdr:colOff>628650</xdr:colOff>
      <xdr:row>183</xdr:row>
      <xdr:rowOff>114300</xdr:rowOff>
    </xdr:from>
    <xdr:to>
      <xdr:col>14</xdr:col>
      <xdr:colOff>1807191</xdr:colOff>
      <xdr:row>204</xdr:row>
      <xdr:rowOff>113875</xdr:rowOff>
    </xdr:to>
    <xdr:pic>
      <xdr:nvPicPr>
        <xdr:cNvPr id="9" name="图片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7"/>
        <a:stretch>
          <a:fillRect/>
        </a:stretch>
      </xdr:blipFill>
      <xdr:spPr>
        <a:xfrm>
          <a:off x="9725025" y="29746575"/>
          <a:ext cx="5238096" cy="3400000"/>
        </a:xfrm>
        <a:prstGeom prst="rect">
          <a:avLst/>
        </a:prstGeom>
      </xdr:spPr>
    </xdr:pic>
    <xdr:clientData/>
  </xdr:twoCellAnchor>
  <xdr:twoCellAnchor>
    <xdr:from>
      <xdr:col>0</xdr:col>
      <xdr:colOff>1463040</xdr:colOff>
      <xdr:row>78</xdr:row>
      <xdr:rowOff>83820</xdr:rowOff>
    </xdr:from>
    <xdr:to>
      <xdr:col>1</xdr:col>
      <xdr:colOff>358140</xdr:colOff>
      <xdr:row>79</xdr:row>
      <xdr:rowOff>121920</xdr:rowOff>
    </xdr:to>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1463040" y="13159740"/>
          <a:ext cx="1021080" cy="205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2020-1.8-5765</a:t>
          </a:r>
          <a:endParaRPr lang="zh-CN" altLang="en-US" sz="1100"/>
        </a:p>
      </xdr:txBody>
    </xdr:sp>
    <xdr:clientData/>
  </xdr:twoCellAnchor>
  <xdr:twoCellAnchor>
    <xdr:from>
      <xdr:col>2</xdr:col>
      <xdr:colOff>678180</xdr:colOff>
      <xdr:row>80</xdr:row>
      <xdr:rowOff>0</xdr:rowOff>
    </xdr:from>
    <xdr:to>
      <xdr:col>3</xdr:col>
      <xdr:colOff>784860</xdr:colOff>
      <xdr:row>81</xdr:row>
      <xdr:rowOff>68580</xdr:rowOff>
    </xdr:to>
    <xdr:sp macro="" textlink="">
      <xdr:nvSpPr>
        <xdr:cNvPr id="11" name="TextBox 10">
          <a:extLst>
            <a:ext uri="{FF2B5EF4-FFF2-40B4-BE49-F238E27FC236}">
              <a16:creationId xmlns:a16="http://schemas.microsoft.com/office/drawing/2014/main" id="{00000000-0008-0000-1300-00000B000000}"/>
            </a:ext>
          </a:extLst>
        </xdr:cNvPr>
        <xdr:cNvSpPr txBox="1"/>
      </xdr:nvSpPr>
      <xdr:spPr>
        <a:xfrm>
          <a:off x="3230880" y="13411200"/>
          <a:ext cx="105918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2020-2-12896</a:t>
          </a:r>
          <a:endParaRPr lang="zh-CN" altLang="en-US" sz="1100"/>
        </a:p>
      </xdr:txBody>
    </xdr:sp>
    <xdr:clientData/>
  </xdr:twoCellAnchor>
  <xdr:twoCellAnchor>
    <xdr:from>
      <xdr:col>3</xdr:col>
      <xdr:colOff>228600</xdr:colOff>
      <xdr:row>75</xdr:row>
      <xdr:rowOff>38100</xdr:rowOff>
    </xdr:from>
    <xdr:to>
      <xdr:col>4</xdr:col>
      <xdr:colOff>320040</xdr:colOff>
      <xdr:row>76</xdr:row>
      <xdr:rowOff>83820</xdr:rowOff>
    </xdr:to>
    <xdr:sp macro="" textlink="">
      <xdr:nvSpPr>
        <xdr:cNvPr id="12" name="TextBox 11">
          <a:extLst>
            <a:ext uri="{FF2B5EF4-FFF2-40B4-BE49-F238E27FC236}">
              <a16:creationId xmlns:a16="http://schemas.microsoft.com/office/drawing/2014/main" id="{00000000-0008-0000-1300-00000C000000}"/>
            </a:ext>
          </a:extLst>
        </xdr:cNvPr>
        <xdr:cNvSpPr txBox="1"/>
      </xdr:nvSpPr>
      <xdr:spPr>
        <a:xfrm>
          <a:off x="3733800" y="12611100"/>
          <a:ext cx="1043940" cy="2133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2019-2.1-6627</a:t>
          </a:r>
          <a:endParaRPr lang="zh-CN" altLang="en-US" sz="1100"/>
        </a:p>
      </xdr:txBody>
    </xdr:sp>
    <xdr:clientData/>
  </xdr:twoCellAnchor>
  <xdr:twoCellAnchor>
    <xdr:from>
      <xdr:col>4</xdr:col>
      <xdr:colOff>68580</xdr:colOff>
      <xdr:row>85</xdr:row>
      <xdr:rowOff>0</xdr:rowOff>
    </xdr:from>
    <xdr:to>
      <xdr:col>5</xdr:col>
      <xdr:colOff>38100</xdr:colOff>
      <xdr:row>86</xdr:row>
      <xdr:rowOff>53340</xdr:rowOff>
    </xdr:to>
    <xdr:sp macro="" textlink="">
      <xdr:nvSpPr>
        <xdr:cNvPr id="13" name="TextBox 12">
          <a:extLst>
            <a:ext uri="{FF2B5EF4-FFF2-40B4-BE49-F238E27FC236}">
              <a16:creationId xmlns:a16="http://schemas.microsoft.com/office/drawing/2014/main" id="{00000000-0008-0000-1300-00000D000000}"/>
            </a:ext>
          </a:extLst>
        </xdr:cNvPr>
        <xdr:cNvSpPr txBox="1"/>
      </xdr:nvSpPr>
      <xdr:spPr>
        <a:xfrm>
          <a:off x="4526280" y="14249400"/>
          <a:ext cx="922020" cy="220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2020-2-4186</a:t>
          </a:r>
          <a:endParaRPr lang="zh-CN" altLang="en-US" sz="1100"/>
        </a:p>
      </xdr:txBody>
    </xdr:sp>
    <xdr:clientData/>
  </xdr:twoCellAnchor>
  <xdr:twoCellAnchor>
    <xdr:from>
      <xdr:col>4</xdr:col>
      <xdr:colOff>403860</xdr:colOff>
      <xdr:row>91</xdr:row>
      <xdr:rowOff>38100</xdr:rowOff>
    </xdr:from>
    <xdr:to>
      <xdr:col>5</xdr:col>
      <xdr:colOff>381000</xdr:colOff>
      <xdr:row>92</xdr:row>
      <xdr:rowOff>83820</xdr:rowOff>
    </xdr:to>
    <xdr:sp macro="" textlink="">
      <xdr:nvSpPr>
        <xdr:cNvPr id="14" name="TextBox 13">
          <a:extLst>
            <a:ext uri="{FF2B5EF4-FFF2-40B4-BE49-F238E27FC236}">
              <a16:creationId xmlns:a16="http://schemas.microsoft.com/office/drawing/2014/main" id="{00000000-0008-0000-1300-00000E000000}"/>
            </a:ext>
          </a:extLst>
        </xdr:cNvPr>
        <xdr:cNvSpPr txBox="1"/>
      </xdr:nvSpPr>
      <xdr:spPr>
        <a:xfrm>
          <a:off x="4861560" y="15293340"/>
          <a:ext cx="929640" cy="2133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2020-2-6140</a:t>
          </a:r>
          <a:endParaRPr lang="zh-CN" altLang="en-US" sz="1100"/>
        </a:p>
      </xdr:txBody>
    </xdr:sp>
    <xdr:clientData/>
  </xdr:twoCellAnchor>
  <xdr:twoCellAnchor>
    <xdr:from>
      <xdr:col>4</xdr:col>
      <xdr:colOff>22860</xdr:colOff>
      <xdr:row>77</xdr:row>
      <xdr:rowOff>60960</xdr:rowOff>
    </xdr:from>
    <xdr:to>
      <xdr:col>5</xdr:col>
      <xdr:colOff>205740</xdr:colOff>
      <xdr:row>78</xdr:row>
      <xdr:rowOff>114300</xdr:rowOff>
    </xdr:to>
    <xdr:sp macro="" textlink="">
      <xdr:nvSpPr>
        <xdr:cNvPr id="15" name="TextBox 14">
          <a:extLst>
            <a:ext uri="{FF2B5EF4-FFF2-40B4-BE49-F238E27FC236}">
              <a16:creationId xmlns:a16="http://schemas.microsoft.com/office/drawing/2014/main" id="{00000000-0008-0000-1300-00000F000000}"/>
            </a:ext>
          </a:extLst>
        </xdr:cNvPr>
        <xdr:cNvSpPr txBox="1"/>
      </xdr:nvSpPr>
      <xdr:spPr>
        <a:xfrm>
          <a:off x="4480560" y="12969240"/>
          <a:ext cx="1135380" cy="220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2019-1.5-12922</a:t>
          </a:r>
          <a:endParaRPr lang="zh-CN" altLang="en-US" sz="1100"/>
        </a:p>
      </xdr:txBody>
    </xdr:sp>
    <xdr:clientData/>
  </xdr:twoCellAnchor>
  <xdr:twoCellAnchor>
    <xdr:from>
      <xdr:col>4</xdr:col>
      <xdr:colOff>769620</xdr:colOff>
      <xdr:row>80</xdr:row>
      <xdr:rowOff>106680</xdr:rowOff>
    </xdr:from>
    <xdr:to>
      <xdr:col>6</xdr:col>
      <xdr:colOff>22860</xdr:colOff>
      <xdr:row>81</xdr:row>
      <xdr:rowOff>144780</xdr:rowOff>
    </xdr:to>
    <xdr:sp macro="" textlink="">
      <xdr:nvSpPr>
        <xdr:cNvPr id="16" name="TextBox 15">
          <a:extLst>
            <a:ext uri="{FF2B5EF4-FFF2-40B4-BE49-F238E27FC236}">
              <a16:creationId xmlns:a16="http://schemas.microsoft.com/office/drawing/2014/main" id="{00000000-0008-0000-1300-000010000000}"/>
            </a:ext>
          </a:extLst>
        </xdr:cNvPr>
        <xdr:cNvSpPr txBox="1"/>
      </xdr:nvSpPr>
      <xdr:spPr>
        <a:xfrm>
          <a:off x="5227320" y="13517880"/>
          <a:ext cx="1059180" cy="205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2019-2.2-8996</a:t>
          </a:r>
          <a:endParaRPr lang="zh-CN" altLang="en-US" sz="1100"/>
        </a:p>
      </xdr:txBody>
    </xdr:sp>
    <xdr:clientData/>
  </xdr:twoCellAnchor>
  <xdr:twoCellAnchor>
    <xdr:from>
      <xdr:col>4</xdr:col>
      <xdr:colOff>190500</xdr:colOff>
      <xdr:row>72</xdr:row>
      <xdr:rowOff>22860</xdr:rowOff>
    </xdr:from>
    <xdr:to>
      <xdr:col>5</xdr:col>
      <xdr:colOff>388620</xdr:colOff>
      <xdr:row>73</xdr:row>
      <xdr:rowOff>53340</xdr:rowOff>
    </xdr:to>
    <xdr:sp macro="" textlink="">
      <xdr:nvSpPr>
        <xdr:cNvPr id="17" name="TextBox 16">
          <a:extLst>
            <a:ext uri="{FF2B5EF4-FFF2-40B4-BE49-F238E27FC236}">
              <a16:creationId xmlns:a16="http://schemas.microsoft.com/office/drawing/2014/main" id="{00000000-0008-0000-1300-000011000000}"/>
            </a:ext>
          </a:extLst>
        </xdr:cNvPr>
        <xdr:cNvSpPr txBox="1"/>
      </xdr:nvSpPr>
      <xdr:spPr>
        <a:xfrm>
          <a:off x="4648200" y="12092940"/>
          <a:ext cx="1150620" cy="198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2020-1.5-11256</a:t>
          </a:r>
          <a:endParaRPr lang="zh-CN" altLang="en-US" sz="1100"/>
        </a:p>
      </xdr:txBody>
    </xdr:sp>
    <xdr:clientData/>
  </xdr:twoCellAnchor>
  <xdr:twoCellAnchor>
    <xdr:from>
      <xdr:col>5</xdr:col>
      <xdr:colOff>419100</xdr:colOff>
      <xdr:row>91</xdr:row>
      <xdr:rowOff>15240</xdr:rowOff>
    </xdr:from>
    <xdr:to>
      <xdr:col>6</xdr:col>
      <xdr:colOff>472440</xdr:colOff>
      <xdr:row>92</xdr:row>
      <xdr:rowOff>91440</xdr:rowOff>
    </xdr:to>
    <xdr:sp macro="" textlink="">
      <xdr:nvSpPr>
        <xdr:cNvPr id="18" name="TextBox 17">
          <a:extLst>
            <a:ext uri="{FF2B5EF4-FFF2-40B4-BE49-F238E27FC236}">
              <a16:creationId xmlns:a16="http://schemas.microsoft.com/office/drawing/2014/main" id="{00000000-0008-0000-1300-000012000000}"/>
            </a:ext>
          </a:extLst>
        </xdr:cNvPr>
        <xdr:cNvSpPr txBox="1"/>
      </xdr:nvSpPr>
      <xdr:spPr>
        <a:xfrm>
          <a:off x="5829300" y="15270480"/>
          <a:ext cx="90678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2019-2-5755</a:t>
          </a:r>
          <a:endParaRPr lang="zh-CN" altLang="en-US" sz="1100"/>
        </a:p>
      </xdr:txBody>
    </xdr:sp>
    <xdr:clientData/>
  </xdr:twoCellAnchor>
  <xdr:twoCellAnchor>
    <xdr:from>
      <xdr:col>5</xdr:col>
      <xdr:colOff>350520</xdr:colOff>
      <xdr:row>87</xdr:row>
      <xdr:rowOff>152400</xdr:rowOff>
    </xdr:from>
    <xdr:to>
      <xdr:col>6</xdr:col>
      <xdr:colOff>403860</xdr:colOff>
      <xdr:row>89</xdr:row>
      <xdr:rowOff>60960</xdr:rowOff>
    </xdr:to>
    <xdr:sp macro="" textlink="">
      <xdr:nvSpPr>
        <xdr:cNvPr id="19" name="TextBox 18">
          <a:extLst>
            <a:ext uri="{FF2B5EF4-FFF2-40B4-BE49-F238E27FC236}">
              <a16:creationId xmlns:a16="http://schemas.microsoft.com/office/drawing/2014/main" id="{00000000-0008-0000-1300-000013000000}"/>
            </a:ext>
          </a:extLst>
        </xdr:cNvPr>
        <xdr:cNvSpPr txBox="1"/>
      </xdr:nvSpPr>
      <xdr:spPr>
        <a:xfrm>
          <a:off x="5760720" y="14737080"/>
          <a:ext cx="90678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2019-2-5840</a:t>
          </a:r>
          <a:endParaRPr lang="zh-CN" altLang="en-US" sz="1100"/>
        </a:p>
      </xdr:txBody>
    </xdr:sp>
    <xdr:clientData/>
  </xdr:twoCellAnchor>
  <xdr:twoCellAnchor>
    <xdr:from>
      <xdr:col>5</xdr:col>
      <xdr:colOff>525780</xdr:colOff>
      <xdr:row>77</xdr:row>
      <xdr:rowOff>38100</xdr:rowOff>
    </xdr:from>
    <xdr:to>
      <xdr:col>7</xdr:col>
      <xdr:colOff>198120</xdr:colOff>
      <xdr:row>78</xdr:row>
      <xdr:rowOff>114300</xdr:rowOff>
    </xdr:to>
    <xdr:sp macro="" textlink="">
      <xdr:nvSpPr>
        <xdr:cNvPr id="20" name="TextBox 19">
          <a:extLst>
            <a:ext uri="{FF2B5EF4-FFF2-40B4-BE49-F238E27FC236}">
              <a16:creationId xmlns:a16="http://schemas.microsoft.com/office/drawing/2014/main" id="{00000000-0008-0000-1300-000014000000}"/>
            </a:ext>
          </a:extLst>
        </xdr:cNvPr>
        <xdr:cNvSpPr txBox="1"/>
      </xdr:nvSpPr>
      <xdr:spPr>
        <a:xfrm>
          <a:off x="5935980" y="12946380"/>
          <a:ext cx="106680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2020-2.5-6607</a:t>
          </a:r>
          <a:endParaRPr lang="zh-CN" altLang="en-US" sz="1100"/>
        </a:p>
      </xdr:txBody>
    </xdr:sp>
    <xdr:clientData/>
  </xdr:twoCellAnchor>
  <xdr:twoCellAnchor>
    <xdr:from>
      <xdr:col>3</xdr:col>
      <xdr:colOff>670560</xdr:colOff>
      <xdr:row>66</xdr:row>
      <xdr:rowOff>76200</xdr:rowOff>
    </xdr:from>
    <xdr:to>
      <xdr:col>4</xdr:col>
      <xdr:colOff>746760</xdr:colOff>
      <xdr:row>67</xdr:row>
      <xdr:rowOff>137160</xdr:rowOff>
    </xdr:to>
    <xdr:sp macro="" textlink="">
      <xdr:nvSpPr>
        <xdr:cNvPr id="21" name="TextBox 20">
          <a:extLst>
            <a:ext uri="{FF2B5EF4-FFF2-40B4-BE49-F238E27FC236}">
              <a16:creationId xmlns:a16="http://schemas.microsoft.com/office/drawing/2014/main" id="{00000000-0008-0000-1300-000015000000}"/>
            </a:ext>
          </a:extLst>
        </xdr:cNvPr>
        <xdr:cNvSpPr txBox="1"/>
      </xdr:nvSpPr>
      <xdr:spPr>
        <a:xfrm>
          <a:off x="4175760" y="11140440"/>
          <a:ext cx="102870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2020-2.2-8174</a:t>
          </a:r>
          <a:endParaRPr lang="zh-CN" altLang="en-US" sz="1100"/>
        </a:p>
      </xdr:txBody>
    </xdr:sp>
    <xdr:clientData/>
  </xdr:twoCellAnchor>
  <xdr:twoCellAnchor>
    <xdr:from>
      <xdr:col>0</xdr:col>
      <xdr:colOff>632460</xdr:colOff>
      <xdr:row>89</xdr:row>
      <xdr:rowOff>129540</xdr:rowOff>
    </xdr:from>
    <xdr:to>
      <xdr:col>0</xdr:col>
      <xdr:colOff>1592580</xdr:colOff>
      <xdr:row>91</xdr:row>
      <xdr:rowOff>45720</xdr:rowOff>
    </xdr:to>
    <xdr:sp macro="" textlink="">
      <xdr:nvSpPr>
        <xdr:cNvPr id="22" name="TextBox 21">
          <a:extLst>
            <a:ext uri="{FF2B5EF4-FFF2-40B4-BE49-F238E27FC236}">
              <a16:creationId xmlns:a16="http://schemas.microsoft.com/office/drawing/2014/main" id="{00000000-0008-0000-1300-000016000000}"/>
            </a:ext>
          </a:extLst>
        </xdr:cNvPr>
        <xdr:cNvSpPr txBox="1"/>
      </xdr:nvSpPr>
      <xdr:spPr>
        <a:xfrm>
          <a:off x="632460" y="15049500"/>
          <a:ext cx="960120" cy="251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2019-2-4552</a:t>
          </a:r>
          <a:endParaRPr lang="zh-CN" altLang="en-US" sz="1100"/>
        </a:p>
      </xdr:txBody>
    </xdr:sp>
    <xdr:clientData/>
  </xdr:twoCellAnchor>
  <xdr:twoCellAnchor editAs="oneCell">
    <xdr:from>
      <xdr:col>8</xdr:col>
      <xdr:colOff>0</xdr:colOff>
      <xdr:row>61</xdr:row>
      <xdr:rowOff>0</xdr:rowOff>
    </xdr:from>
    <xdr:to>
      <xdr:col>15</xdr:col>
      <xdr:colOff>305384</xdr:colOff>
      <xdr:row>93</xdr:row>
      <xdr:rowOff>8086</xdr:rowOff>
    </xdr:to>
    <xdr:pic>
      <xdr:nvPicPr>
        <xdr:cNvPr id="23" name="图片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8"/>
        <a:stretch>
          <a:fillRect/>
        </a:stretch>
      </xdr:blipFill>
      <xdr:spPr>
        <a:xfrm>
          <a:off x="7566660" y="10226040"/>
          <a:ext cx="6736664" cy="5372566"/>
        </a:xfrm>
        <a:prstGeom prst="rect">
          <a:avLst/>
        </a:prstGeom>
      </xdr:spPr>
    </xdr:pic>
    <xdr:clientData/>
  </xdr:twoCellAnchor>
  <xdr:twoCellAnchor>
    <xdr:from>
      <xdr:col>9</xdr:col>
      <xdr:colOff>38100</xdr:colOff>
      <xdr:row>66</xdr:row>
      <xdr:rowOff>137160</xdr:rowOff>
    </xdr:from>
    <xdr:to>
      <xdr:col>10</xdr:col>
      <xdr:colOff>449580</xdr:colOff>
      <xdr:row>68</xdr:row>
      <xdr:rowOff>53340</xdr:rowOff>
    </xdr:to>
    <xdr:sp macro="" textlink="">
      <xdr:nvSpPr>
        <xdr:cNvPr id="24" name="TextBox 23">
          <a:extLst>
            <a:ext uri="{FF2B5EF4-FFF2-40B4-BE49-F238E27FC236}">
              <a16:creationId xmlns:a16="http://schemas.microsoft.com/office/drawing/2014/main" id="{00000000-0008-0000-1300-000018000000}"/>
            </a:ext>
          </a:extLst>
        </xdr:cNvPr>
        <xdr:cNvSpPr txBox="1"/>
      </xdr:nvSpPr>
      <xdr:spPr>
        <a:xfrm>
          <a:off x="8221980" y="11201400"/>
          <a:ext cx="1028700" cy="251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2018-2.2-2421</a:t>
          </a:r>
          <a:endParaRPr lang="zh-CN" altLang="en-US" sz="1100"/>
        </a:p>
      </xdr:txBody>
    </xdr:sp>
    <xdr:clientData/>
  </xdr:twoCellAnchor>
  <xdr:twoCellAnchor>
    <xdr:from>
      <xdr:col>9</xdr:col>
      <xdr:colOff>510540</xdr:colOff>
      <xdr:row>71</xdr:row>
      <xdr:rowOff>99060</xdr:rowOff>
    </xdr:from>
    <xdr:to>
      <xdr:col>11</xdr:col>
      <xdr:colOff>243840</xdr:colOff>
      <xdr:row>72</xdr:row>
      <xdr:rowOff>160020</xdr:rowOff>
    </xdr:to>
    <xdr:sp macro="" textlink="">
      <xdr:nvSpPr>
        <xdr:cNvPr id="25" name="TextBox 24">
          <a:extLst>
            <a:ext uri="{FF2B5EF4-FFF2-40B4-BE49-F238E27FC236}">
              <a16:creationId xmlns:a16="http://schemas.microsoft.com/office/drawing/2014/main" id="{00000000-0008-0000-1300-000019000000}"/>
            </a:ext>
          </a:extLst>
        </xdr:cNvPr>
        <xdr:cNvSpPr txBox="1"/>
      </xdr:nvSpPr>
      <xdr:spPr>
        <a:xfrm>
          <a:off x="8694420" y="12001500"/>
          <a:ext cx="108204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2017-1.8-6221</a:t>
          </a:r>
          <a:endParaRPr lang="zh-CN" altLang="en-US" sz="1100"/>
        </a:p>
      </xdr:txBody>
    </xdr:sp>
    <xdr:clientData/>
  </xdr:twoCellAnchor>
  <xdr:twoCellAnchor>
    <xdr:from>
      <xdr:col>11</xdr:col>
      <xdr:colOff>335280</xdr:colOff>
      <xdr:row>70</xdr:row>
      <xdr:rowOff>114300</xdr:rowOff>
    </xdr:from>
    <xdr:to>
      <xdr:col>12</xdr:col>
      <xdr:colOff>624840</xdr:colOff>
      <xdr:row>72</xdr:row>
      <xdr:rowOff>0</xdr:rowOff>
    </xdr:to>
    <xdr:sp macro="" textlink="">
      <xdr:nvSpPr>
        <xdr:cNvPr id="26" name="TextBox 25">
          <a:extLst>
            <a:ext uri="{FF2B5EF4-FFF2-40B4-BE49-F238E27FC236}">
              <a16:creationId xmlns:a16="http://schemas.microsoft.com/office/drawing/2014/main" id="{00000000-0008-0000-1300-00001A000000}"/>
            </a:ext>
          </a:extLst>
        </xdr:cNvPr>
        <xdr:cNvSpPr txBox="1"/>
      </xdr:nvSpPr>
      <xdr:spPr>
        <a:xfrm>
          <a:off x="9867900" y="11849100"/>
          <a:ext cx="1021080" cy="220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2018-2.2-6630</a:t>
          </a:r>
          <a:endParaRPr lang="zh-CN" altLang="en-US" sz="1100"/>
        </a:p>
      </xdr:txBody>
    </xdr:sp>
    <xdr:clientData/>
  </xdr:twoCellAnchor>
  <xdr:twoCellAnchor>
    <xdr:from>
      <xdr:col>11</xdr:col>
      <xdr:colOff>502920</xdr:colOff>
      <xdr:row>75</xdr:row>
      <xdr:rowOff>60960</xdr:rowOff>
    </xdr:from>
    <xdr:to>
      <xdr:col>12</xdr:col>
      <xdr:colOff>853440</xdr:colOff>
      <xdr:row>76</xdr:row>
      <xdr:rowOff>137160</xdr:rowOff>
    </xdr:to>
    <xdr:sp macro="" textlink="">
      <xdr:nvSpPr>
        <xdr:cNvPr id="27" name="TextBox 26">
          <a:extLst>
            <a:ext uri="{FF2B5EF4-FFF2-40B4-BE49-F238E27FC236}">
              <a16:creationId xmlns:a16="http://schemas.microsoft.com/office/drawing/2014/main" id="{00000000-0008-0000-1300-00001B000000}"/>
            </a:ext>
          </a:extLst>
        </xdr:cNvPr>
        <xdr:cNvSpPr txBox="1"/>
      </xdr:nvSpPr>
      <xdr:spPr>
        <a:xfrm>
          <a:off x="10035540" y="12633960"/>
          <a:ext cx="1082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2018-1.5-4558</a:t>
          </a:r>
          <a:endParaRPr lang="zh-CN" altLang="en-US" sz="1100"/>
        </a:p>
      </xdr:txBody>
    </xdr:sp>
    <xdr:clientData/>
  </xdr:twoCellAnchor>
  <xdr:twoCellAnchor>
    <xdr:from>
      <xdr:col>13</xdr:col>
      <xdr:colOff>114300</xdr:colOff>
      <xdr:row>72</xdr:row>
      <xdr:rowOff>7620</xdr:rowOff>
    </xdr:from>
    <xdr:to>
      <xdr:col>14</xdr:col>
      <xdr:colOff>944880</xdr:colOff>
      <xdr:row>73</xdr:row>
      <xdr:rowOff>76200</xdr:rowOff>
    </xdr:to>
    <xdr:sp macro="" textlink="">
      <xdr:nvSpPr>
        <xdr:cNvPr id="28" name="TextBox 27">
          <a:extLst>
            <a:ext uri="{FF2B5EF4-FFF2-40B4-BE49-F238E27FC236}">
              <a16:creationId xmlns:a16="http://schemas.microsoft.com/office/drawing/2014/main" id="{00000000-0008-0000-1300-00001C000000}"/>
            </a:ext>
          </a:extLst>
        </xdr:cNvPr>
        <xdr:cNvSpPr txBox="1"/>
      </xdr:nvSpPr>
      <xdr:spPr>
        <a:xfrm>
          <a:off x="11361420" y="12077700"/>
          <a:ext cx="125730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2018-1.44-11933</a:t>
          </a:r>
          <a:endParaRPr lang="zh-CN" altLang="en-US" sz="1100"/>
        </a:p>
      </xdr:txBody>
    </xdr:sp>
    <xdr:clientData/>
  </xdr:twoCellAnchor>
  <xdr:twoCellAnchor>
    <xdr:from>
      <xdr:col>13</xdr:col>
      <xdr:colOff>251460</xdr:colOff>
      <xdr:row>84</xdr:row>
      <xdr:rowOff>106680</xdr:rowOff>
    </xdr:from>
    <xdr:to>
      <xdr:col>14</xdr:col>
      <xdr:colOff>944880</xdr:colOff>
      <xdr:row>86</xdr:row>
      <xdr:rowOff>30480</xdr:rowOff>
    </xdr:to>
    <xdr:sp macro="" textlink="">
      <xdr:nvSpPr>
        <xdr:cNvPr id="29" name="TextBox 28">
          <a:extLst>
            <a:ext uri="{FF2B5EF4-FFF2-40B4-BE49-F238E27FC236}">
              <a16:creationId xmlns:a16="http://schemas.microsoft.com/office/drawing/2014/main" id="{00000000-0008-0000-1300-00001D000000}"/>
            </a:ext>
          </a:extLst>
        </xdr:cNvPr>
        <xdr:cNvSpPr txBox="1"/>
      </xdr:nvSpPr>
      <xdr:spPr>
        <a:xfrm>
          <a:off x="11498580" y="14188440"/>
          <a:ext cx="1120140"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2018-1.8-5699</a:t>
          </a:r>
          <a:endParaRPr lang="zh-CN" altLang="en-US" sz="1100"/>
        </a:p>
      </xdr:txBody>
    </xdr:sp>
    <xdr:clientData/>
  </xdr:twoCellAnchor>
  <xdr:twoCellAnchor>
    <xdr:from>
      <xdr:col>11</xdr:col>
      <xdr:colOff>342900</xdr:colOff>
      <xdr:row>83</xdr:row>
      <xdr:rowOff>121920</xdr:rowOff>
    </xdr:from>
    <xdr:to>
      <xdr:col>12</xdr:col>
      <xdr:colOff>708660</xdr:colOff>
      <xdr:row>85</xdr:row>
      <xdr:rowOff>7620</xdr:rowOff>
    </xdr:to>
    <xdr:sp macro="" textlink="">
      <xdr:nvSpPr>
        <xdr:cNvPr id="30" name="TextBox 29">
          <a:extLst>
            <a:ext uri="{FF2B5EF4-FFF2-40B4-BE49-F238E27FC236}">
              <a16:creationId xmlns:a16="http://schemas.microsoft.com/office/drawing/2014/main" id="{00000000-0008-0000-1300-00001E000000}"/>
            </a:ext>
          </a:extLst>
        </xdr:cNvPr>
        <xdr:cNvSpPr txBox="1"/>
      </xdr:nvSpPr>
      <xdr:spPr>
        <a:xfrm>
          <a:off x="9875520" y="14036040"/>
          <a:ext cx="1097280" cy="220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2018-2-2182</a:t>
          </a:r>
          <a:endParaRPr lang="zh-CN" altLang="en-US" sz="1100"/>
        </a:p>
      </xdr:txBody>
    </xdr:sp>
    <xdr:clientData/>
  </xdr:twoCellAnchor>
  <xdr:twoCellAnchor>
    <xdr:from>
      <xdr:col>11</xdr:col>
      <xdr:colOff>304800</xdr:colOff>
      <xdr:row>85</xdr:row>
      <xdr:rowOff>160020</xdr:rowOff>
    </xdr:from>
    <xdr:to>
      <xdr:col>12</xdr:col>
      <xdr:colOff>624840</xdr:colOff>
      <xdr:row>87</xdr:row>
      <xdr:rowOff>53340</xdr:rowOff>
    </xdr:to>
    <xdr:sp macro="" textlink="">
      <xdr:nvSpPr>
        <xdr:cNvPr id="31" name="TextBox 30">
          <a:extLst>
            <a:ext uri="{FF2B5EF4-FFF2-40B4-BE49-F238E27FC236}">
              <a16:creationId xmlns:a16="http://schemas.microsoft.com/office/drawing/2014/main" id="{00000000-0008-0000-1300-00001F000000}"/>
            </a:ext>
          </a:extLst>
        </xdr:cNvPr>
        <xdr:cNvSpPr txBox="1"/>
      </xdr:nvSpPr>
      <xdr:spPr>
        <a:xfrm>
          <a:off x="9837420" y="14409420"/>
          <a:ext cx="10515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2018-1.8-3157</a:t>
          </a:r>
          <a:endParaRPr lang="zh-CN" altLang="en-US" sz="1100"/>
        </a:p>
      </xdr:txBody>
    </xdr:sp>
    <xdr:clientData/>
  </xdr:twoCellAnchor>
  <xdr:twoCellAnchor>
    <xdr:from>
      <xdr:col>14</xdr:col>
      <xdr:colOff>304800</xdr:colOff>
      <xdr:row>78</xdr:row>
      <xdr:rowOff>68580</xdr:rowOff>
    </xdr:from>
    <xdr:to>
      <xdr:col>14</xdr:col>
      <xdr:colOff>1508760</xdr:colOff>
      <xdr:row>79</xdr:row>
      <xdr:rowOff>114300</xdr:rowOff>
    </xdr:to>
    <xdr:sp macro="" textlink="">
      <xdr:nvSpPr>
        <xdr:cNvPr id="32" name="TextBox 31">
          <a:extLst>
            <a:ext uri="{FF2B5EF4-FFF2-40B4-BE49-F238E27FC236}">
              <a16:creationId xmlns:a16="http://schemas.microsoft.com/office/drawing/2014/main" id="{00000000-0008-0000-1300-000020000000}"/>
            </a:ext>
          </a:extLst>
        </xdr:cNvPr>
        <xdr:cNvSpPr txBox="1"/>
      </xdr:nvSpPr>
      <xdr:spPr>
        <a:xfrm>
          <a:off x="11978640" y="13144500"/>
          <a:ext cx="1203960" cy="2133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2019-2.2-6881</a:t>
          </a:r>
          <a:endParaRPr lang="zh-CN" altLang="en-US" sz="1100"/>
        </a:p>
      </xdr:txBody>
    </xdr:sp>
    <xdr:clientData/>
  </xdr:twoCellAnchor>
  <xdr:twoCellAnchor>
    <xdr:from>
      <xdr:col>14</xdr:col>
      <xdr:colOff>769620</xdr:colOff>
      <xdr:row>76</xdr:row>
      <xdr:rowOff>22860</xdr:rowOff>
    </xdr:from>
    <xdr:to>
      <xdr:col>14</xdr:col>
      <xdr:colOff>1798320</xdr:colOff>
      <xdr:row>77</xdr:row>
      <xdr:rowOff>114300</xdr:rowOff>
    </xdr:to>
    <xdr:sp macro="" textlink="">
      <xdr:nvSpPr>
        <xdr:cNvPr id="33" name="TextBox 32">
          <a:extLst>
            <a:ext uri="{FF2B5EF4-FFF2-40B4-BE49-F238E27FC236}">
              <a16:creationId xmlns:a16="http://schemas.microsoft.com/office/drawing/2014/main" id="{00000000-0008-0000-1300-000021000000}"/>
            </a:ext>
          </a:extLst>
        </xdr:cNvPr>
        <xdr:cNvSpPr txBox="1"/>
      </xdr:nvSpPr>
      <xdr:spPr>
        <a:xfrm>
          <a:off x="12443460" y="12763500"/>
          <a:ext cx="1028700"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2018-1.8-5883</a:t>
          </a:r>
          <a:endParaRPr lang="zh-CN" altLang="en-US" sz="1100"/>
        </a:p>
      </xdr:txBody>
    </xdr:sp>
    <xdr:clientData/>
  </xdr:twoCellAnchor>
  <xdr:twoCellAnchor>
    <xdr:from>
      <xdr:col>13</xdr:col>
      <xdr:colOff>99060</xdr:colOff>
      <xdr:row>74</xdr:row>
      <xdr:rowOff>152400</xdr:rowOff>
    </xdr:from>
    <xdr:to>
      <xdr:col>14</xdr:col>
      <xdr:colOff>685800</xdr:colOff>
      <xdr:row>76</xdr:row>
      <xdr:rowOff>53340</xdr:rowOff>
    </xdr:to>
    <xdr:sp macro="" textlink="">
      <xdr:nvSpPr>
        <xdr:cNvPr id="34" name="TextBox 33">
          <a:extLst>
            <a:ext uri="{FF2B5EF4-FFF2-40B4-BE49-F238E27FC236}">
              <a16:creationId xmlns:a16="http://schemas.microsoft.com/office/drawing/2014/main" id="{00000000-0008-0000-1300-000022000000}"/>
            </a:ext>
          </a:extLst>
        </xdr:cNvPr>
        <xdr:cNvSpPr txBox="1"/>
      </xdr:nvSpPr>
      <xdr:spPr>
        <a:xfrm>
          <a:off x="11346180" y="12557760"/>
          <a:ext cx="101346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2018-2.2-4884</a:t>
          </a:r>
          <a:endParaRPr lang="zh-CN" altLang="en-US" sz="1100"/>
        </a:p>
      </xdr:txBody>
    </xdr:sp>
    <xdr:clientData/>
  </xdr:twoCellAnchor>
  <xdr:twoCellAnchor editAs="oneCell">
    <xdr:from>
      <xdr:col>0</xdr:col>
      <xdr:colOff>0</xdr:colOff>
      <xdr:row>222</xdr:row>
      <xdr:rowOff>0</xdr:rowOff>
    </xdr:from>
    <xdr:to>
      <xdr:col>12</xdr:col>
      <xdr:colOff>267630</xdr:colOff>
      <xdr:row>260</xdr:row>
      <xdr:rowOff>38655</xdr:rowOff>
    </xdr:to>
    <xdr:pic>
      <xdr:nvPicPr>
        <xdr:cNvPr id="35" name="图片 34">
          <a:extLst>
            <a:ext uri="{FF2B5EF4-FFF2-40B4-BE49-F238E27FC236}">
              <a16:creationId xmlns:a16="http://schemas.microsoft.com/office/drawing/2014/main" id="{00000000-0008-0000-1300-000023000000}"/>
            </a:ext>
          </a:extLst>
        </xdr:cNvPr>
        <xdr:cNvPicPr>
          <a:picLocks noChangeAspect="1"/>
        </xdr:cNvPicPr>
      </xdr:nvPicPr>
      <xdr:blipFill>
        <a:blip xmlns:r="http://schemas.openxmlformats.org/officeDocument/2006/relationships" r:embed="rId9"/>
        <a:stretch>
          <a:fillRect/>
        </a:stretch>
      </xdr:blipFill>
      <xdr:spPr>
        <a:xfrm>
          <a:off x="0" y="37216080"/>
          <a:ext cx="10729890" cy="6408975"/>
        </a:xfrm>
        <a:prstGeom prst="rect">
          <a:avLst/>
        </a:prstGeom>
      </xdr:spPr>
    </xdr:pic>
    <xdr:clientData/>
  </xdr:twoCellAnchor>
  <xdr:twoCellAnchor editAs="oneCell">
    <xdr:from>
      <xdr:col>13</xdr:col>
      <xdr:colOff>0</xdr:colOff>
      <xdr:row>225</xdr:row>
      <xdr:rowOff>0</xdr:rowOff>
    </xdr:from>
    <xdr:to>
      <xdr:col>21</xdr:col>
      <xdr:colOff>31018</xdr:colOff>
      <xdr:row>245</xdr:row>
      <xdr:rowOff>23153</xdr:rowOff>
    </xdr:to>
    <xdr:pic>
      <xdr:nvPicPr>
        <xdr:cNvPr id="36" name="图片 35">
          <a:extLst>
            <a:ext uri="{FF2B5EF4-FFF2-40B4-BE49-F238E27FC236}">
              <a16:creationId xmlns:a16="http://schemas.microsoft.com/office/drawing/2014/main" id="{00000000-0008-0000-1300-000024000000}"/>
            </a:ext>
          </a:extLst>
        </xdr:cNvPr>
        <xdr:cNvPicPr>
          <a:picLocks noChangeAspect="1"/>
        </xdr:cNvPicPr>
      </xdr:nvPicPr>
      <xdr:blipFill>
        <a:blip xmlns:r="http://schemas.openxmlformats.org/officeDocument/2006/relationships" r:embed="rId10"/>
        <a:stretch>
          <a:fillRect/>
        </a:stretch>
      </xdr:blipFill>
      <xdr:spPr>
        <a:xfrm>
          <a:off x="11445240" y="37719000"/>
          <a:ext cx="6210838" cy="3375953"/>
        </a:xfrm>
        <a:prstGeom prst="rect">
          <a:avLst/>
        </a:prstGeom>
      </xdr:spPr>
    </xdr:pic>
    <xdr:clientData/>
  </xdr:twoCellAnchor>
  <xdr:twoCellAnchor editAs="oneCell">
    <xdr:from>
      <xdr:col>4</xdr:col>
      <xdr:colOff>769620</xdr:colOff>
      <xdr:row>96</xdr:row>
      <xdr:rowOff>129540</xdr:rowOff>
    </xdr:from>
    <xdr:to>
      <xdr:col>12</xdr:col>
      <xdr:colOff>671072</xdr:colOff>
      <xdr:row>123</xdr:row>
      <xdr:rowOff>30864</xdr:rowOff>
    </xdr:to>
    <xdr:pic>
      <xdr:nvPicPr>
        <xdr:cNvPr id="37" name="图片 36">
          <a:extLst>
            <a:ext uri="{FF2B5EF4-FFF2-40B4-BE49-F238E27FC236}">
              <a16:creationId xmlns:a16="http://schemas.microsoft.com/office/drawing/2014/main" id="{00000000-0008-0000-1300-000025000000}"/>
            </a:ext>
          </a:extLst>
        </xdr:cNvPr>
        <xdr:cNvPicPr>
          <a:picLocks noChangeAspect="1"/>
        </xdr:cNvPicPr>
      </xdr:nvPicPr>
      <xdr:blipFill>
        <a:blip xmlns:r="http://schemas.openxmlformats.org/officeDocument/2006/relationships" r:embed="rId11"/>
        <a:stretch>
          <a:fillRect/>
        </a:stretch>
      </xdr:blipFill>
      <xdr:spPr>
        <a:xfrm>
          <a:off x="5227320" y="16222980"/>
          <a:ext cx="5906012" cy="44276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358647</xdr:colOff>
      <xdr:row>21</xdr:row>
      <xdr:rowOff>99386</xdr:rowOff>
    </xdr:to>
    <xdr:pic>
      <xdr:nvPicPr>
        <xdr:cNvPr id="2" name="图片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609600" y="182880"/>
          <a:ext cx="5845047" cy="3756986"/>
        </a:xfrm>
        <a:prstGeom prst="rect">
          <a:avLst/>
        </a:prstGeom>
      </xdr:spPr>
    </xdr:pic>
    <xdr:clientData/>
  </xdr:twoCellAnchor>
  <xdr:twoCellAnchor editAs="oneCell">
    <xdr:from>
      <xdr:col>1</xdr:col>
      <xdr:colOff>0</xdr:colOff>
      <xdr:row>23</xdr:row>
      <xdr:rowOff>0</xdr:rowOff>
    </xdr:from>
    <xdr:to>
      <xdr:col>12</xdr:col>
      <xdr:colOff>15822</xdr:colOff>
      <xdr:row>47</xdr:row>
      <xdr:rowOff>61346</xdr:rowOff>
    </xdr:to>
    <xdr:pic>
      <xdr:nvPicPr>
        <xdr:cNvPr id="3" name="图片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609600" y="4206240"/>
          <a:ext cx="6721422" cy="4450466"/>
        </a:xfrm>
        <a:prstGeom prst="rect">
          <a:avLst/>
        </a:prstGeom>
      </xdr:spPr>
    </xdr:pic>
    <xdr:clientData/>
  </xdr:twoCellAnchor>
  <xdr:twoCellAnchor editAs="oneCell">
    <xdr:from>
      <xdr:col>1</xdr:col>
      <xdr:colOff>0</xdr:colOff>
      <xdr:row>50</xdr:row>
      <xdr:rowOff>0</xdr:rowOff>
    </xdr:from>
    <xdr:to>
      <xdr:col>11</xdr:col>
      <xdr:colOff>99597</xdr:colOff>
      <xdr:row>70</xdr:row>
      <xdr:rowOff>30800</xdr:rowOff>
    </xdr:to>
    <xdr:pic>
      <xdr:nvPicPr>
        <xdr:cNvPr id="4" name="图片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609600" y="9144000"/>
          <a:ext cx="6195597" cy="3688400"/>
        </a:xfrm>
        <a:prstGeom prst="rect">
          <a:avLst/>
        </a:prstGeom>
      </xdr:spPr>
    </xdr:pic>
    <xdr:clientData/>
  </xdr:twoCellAnchor>
  <xdr:twoCellAnchor editAs="oneCell">
    <xdr:from>
      <xdr:col>1</xdr:col>
      <xdr:colOff>30480</xdr:colOff>
      <xdr:row>71</xdr:row>
      <xdr:rowOff>60960</xdr:rowOff>
    </xdr:from>
    <xdr:to>
      <xdr:col>11</xdr:col>
      <xdr:colOff>526351</xdr:colOff>
      <xdr:row>99</xdr:row>
      <xdr:rowOff>175714</xdr:rowOff>
    </xdr:to>
    <xdr:pic>
      <xdr:nvPicPr>
        <xdr:cNvPr id="5" name="图片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a:stretch>
          <a:fillRect/>
        </a:stretch>
      </xdr:blipFill>
      <xdr:spPr>
        <a:xfrm>
          <a:off x="640080" y="13045440"/>
          <a:ext cx="6591871" cy="5235394"/>
        </a:xfrm>
        <a:prstGeom prst="rect">
          <a:avLst/>
        </a:prstGeom>
      </xdr:spPr>
    </xdr:pic>
    <xdr:clientData/>
  </xdr:twoCellAnchor>
  <xdr:twoCellAnchor editAs="oneCell">
    <xdr:from>
      <xdr:col>1</xdr:col>
      <xdr:colOff>0</xdr:colOff>
      <xdr:row>102</xdr:row>
      <xdr:rowOff>0</xdr:rowOff>
    </xdr:from>
    <xdr:to>
      <xdr:col>11</xdr:col>
      <xdr:colOff>366320</xdr:colOff>
      <xdr:row>122</xdr:row>
      <xdr:rowOff>68903</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a:stretch>
          <a:fillRect/>
        </a:stretch>
      </xdr:blipFill>
      <xdr:spPr>
        <a:xfrm>
          <a:off x="609600" y="18653760"/>
          <a:ext cx="6462320" cy="3726503"/>
        </a:xfrm>
        <a:prstGeom prst="rect">
          <a:avLst/>
        </a:prstGeom>
      </xdr:spPr>
    </xdr:pic>
    <xdr:clientData/>
  </xdr:twoCellAnchor>
  <xdr:twoCellAnchor editAs="oneCell">
    <xdr:from>
      <xdr:col>1</xdr:col>
      <xdr:colOff>0</xdr:colOff>
      <xdr:row>124</xdr:row>
      <xdr:rowOff>0</xdr:rowOff>
    </xdr:from>
    <xdr:to>
      <xdr:col>11</xdr:col>
      <xdr:colOff>457768</xdr:colOff>
      <xdr:row>158</xdr:row>
      <xdr:rowOff>168193</xdr:rowOff>
    </xdr:to>
    <xdr:pic>
      <xdr:nvPicPr>
        <xdr:cNvPr id="7" name="图片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6"/>
        <a:stretch>
          <a:fillRect/>
        </a:stretch>
      </xdr:blipFill>
      <xdr:spPr>
        <a:xfrm>
          <a:off x="609600" y="22677120"/>
          <a:ext cx="6553768" cy="6386113"/>
        </a:xfrm>
        <a:prstGeom prst="rect">
          <a:avLst/>
        </a:prstGeom>
      </xdr:spPr>
    </xdr:pic>
    <xdr:clientData/>
  </xdr:twoCellAnchor>
  <xdr:twoCellAnchor editAs="oneCell">
    <xdr:from>
      <xdr:col>13</xdr:col>
      <xdr:colOff>15240</xdr:colOff>
      <xdr:row>1</xdr:row>
      <xdr:rowOff>7620</xdr:rowOff>
    </xdr:from>
    <xdr:to>
      <xdr:col>24</xdr:col>
      <xdr:colOff>373992</xdr:colOff>
      <xdr:row>29</xdr:row>
      <xdr:rowOff>168098</xdr:rowOff>
    </xdr:to>
    <xdr:pic>
      <xdr:nvPicPr>
        <xdr:cNvPr id="8" name="图片 7">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7"/>
        <a:stretch>
          <a:fillRect/>
        </a:stretch>
      </xdr:blipFill>
      <xdr:spPr>
        <a:xfrm>
          <a:off x="7940040" y="190500"/>
          <a:ext cx="7064352" cy="5281118"/>
        </a:xfrm>
        <a:prstGeom prst="rect">
          <a:avLst/>
        </a:prstGeom>
      </xdr:spPr>
    </xdr:pic>
    <xdr:clientData/>
  </xdr:twoCellAnchor>
  <xdr:twoCellAnchor editAs="oneCell">
    <xdr:from>
      <xdr:col>1</xdr:col>
      <xdr:colOff>220980</xdr:colOff>
      <xdr:row>162</xdr:row>
      <xdr:rowOff>60960</xdr:rowOff>
    </xdr:from>
    <xdr:to>
      <xdr:col>11</xdr:col>
      <xdr:colOff>53854</xdr:colOff>
      <xdr:row>183</xdr:row>
      <xdr:rowOff>175603</xdr:rowOff>
    </xdr:to>
    <xdr:pic>
      <xdr:nvPicPr>
        <xdr:cNvPr id="9" name="图片 8">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8"/>
        <a:stretch>
          <a:fillRect/>
        </a:stretch>
      </xdr:blipFill>
      <xdr:spPr>
        <a:xfrm>
          <a:off x="830580" y="29687520"/>
          <a:ext cx="5928874" cy="3955123"/>
        </a:xfrm>
        <a:prstGeom prst="rect">
          <a:avLst/>
        </a:prstGeom>
      </xdr:spPr>
    </xdr:pic>
    <xdr:clientData/>
  </xdr:twoCellAnchor>
  <xdr:twoCellAnchor editAs="oneCell">
    <xdr:from>
      <xdr:col>1</xdr:col>
      <xdr:colOff>144780</xdr:colOff>
      <xdr:row>185</xdr:row>
      <xdr:rowOff>68580</xdr:rowOff>
    </xdr:from>
    <xdr:to>
      <xdr:col>12</xdr:col>
      <xdr:colOff>569</xdr:colOff>
      <xdr:row>217</xdr:row>
      <xdr:rowOff>99570</xdr:rowOff>
    </xdr:to>
    <xdr:pic>
      <xdr:nvPicPr>
        <xdr:cNvPr id="10" name="图片 9">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9"/>
        <a:stretch>
          <a:fillRect/>
        </a:stretch>
      </xdr:blipFill>
      <xdr:spPr>
        <a:xfrm>
          <a:off x="754380" y="33901380"/>
          <a:ext cx="6561389" cy="5883150"/>
        </a:xfrm>
        <a:prstGeom prst="rect">
          <a:avLst/>
        </a:prstGeom>
      </xdr:spPr>
    </xdr:pic>
    <xdr:clientData/>
  </xdr:twoCellAnchor>
  <xdr:twoCellAnchor editAs="oneCell">
    <xdr:from>
      <xdr:col>1</xdr:col>
      <xdr:colOff>160020</xdr:colOff>
      <xdr:row>219</xdr:row>
      <xdr:rowOff>91440</xdr:rowOff>
    </xdr:from>
    <xdr:to>
      <xdr:col>10</xdr:col>
      <xdr:colOff>511046</xdr:colOff>
      <xdr:row>240</xdr:row>
      <xdr:rowOff>7946</xdr:rowOff>
    </xdr:to>
    <xdr:pic>
      <xdr:nvPicPr>
        <xdr:cNvPr id="11" name="图片 10">
          <a:extLst>
            <a:ext uri="{FF2B5EF4-FFF2-40B4-BE49-F238E27FC236}">
              <a16:creationId xmlns:a16="http://schemas.microsoft.com/office/drawing/2014/main" id="{00000000-0008-0000-2200-00000B000000}"/>
            </a:ext>
          </a:extLst>
        </xdr:cNvPr>
        <xdr:cNvPicPr>
          <a:picLocks noChangeAspect="1"/>
        </xdr:cNvPicPr>
      </xdr:nvPicPr>
      <xdr:blipFill>
        <a:blip xmlns:r="http://schemas.openxmlformats.org/officeDocument/2006/relationships" r:embed="rId10"/>
        <a:stretch>
          <a:fillRect/>
        </a:stretch>
      </xdr:blipFill>
      <xdr:spPr>
        <a:xfrm>
          <a:off x="769620" y="40142160"/>
          <a:ext cx="5837426" cy="3756986"/>
        </a:xfrm>
        <a:prstGeom prst="rect">
          <a:avLst/>
        </a:prstGeom>
      </xdr:spPr>
    </xdr:pic>
    <xdr:clientData/>
  </xdr:twoCellAnchor>
  <xdr:twoCellAnchor editAs="oneCell">
    <xdr:from>
      <xdr:col>1</xdr:col>
      <xdr:colOff>167640</xdr:colOff>
      <xdr:row>241</xdr:row>
      <xdr:rowOff>106680</xdr:rowOff>
    </xdr:from>
    <xdr:to>
      <xdr:col>11</xdr:col>
      <xdr:colOff>602546</xdr:colOff>
      <xdr:row>267</xdr:row>
      <xdr:rowOff>403</xdr:rowOff>
    </xdr:to>
    <xdr:pic>
      <xdr:nvPicPr>
        <xdr:cNvPr id="12" name="图片 11">
          <a:extLst>
            <a:ext uri="{FF2B5EF4-FFF2-40B4-BE49-F238E27FC236}">
              <a16:creationId xmlns:a16="http://schemas.microsoft.com/office/drawing/2014/main" id="{00000000-0008-0000-2200-00000C000000}"/>
            </a:ext>
          </a:extLst>
        </xdr:cNvPr>
        <xdr:cNvPicPr>
          <a:picLocks noChangeAspect="1"/>
        </xdr:cNvPicPr>
      </xdr:nvPicPr>
      <xdr:blipFill>
        <a:blip xmlns:r="http://schemas.openxmlformats.org/officeDocument/2006/relationships" r:embed="rId11"/>
        <a:stretch>
          <a:fillRect/>
        </a:stretch>
      </xdr:blipFill>
      <xdr:spPr>
        <a:xfrm>
          <a:off x="777240" y="44180760"/>
          <a:ext cx="6530906" cy="4648603"/>
        </a:xfrm>
        <a:prstGeom prst="rect">
          <a:avLst/>
        </a:prstGeom>
      </xdr:spPr>
    </xdr:pic>
    <xdr:clientData/>
  </xdr:twoCellAnchor>
  <xdr:twoCellAnchor editAs="oneCell">
    <xdr:from>
      <xdr:col>1</xdr:col>
      <xdr:colOff>0</xdr:colOff>
      <xdr:row>269</xdr:row>
      <xdr:rowOff>0</xdr:rowOff>
    </xdr:from>
    <xdr:to>
      <xdr:col>11</xdr:col>
      <xdr:colOff>366320</xdr:colOff>
      <xdr:row>290</xdr:row>
      <xdr:rowOff>129884</xdr:rowOff>
    </xdr:to>
    <xdr:pic>
      <xdr:nvPicPr>
        <xdr:cNvPr id="13" name="图片 12">
          <a:extLst>
            <a:ext uri="{FF2B5EF4-FFF2-40B4-BE49-F238E27FC236}">
              <a16:creationId xmlns:a16="http://schemas.microsoft.com/office/drawing/2014/main" id="{00000000-0008-0000-2200-00000D000000}"/>
            </a:ext>
          </a:extLst>
        </xdr:cNvPr>
        <xdr:cNvPicPr>
          <a:picLocks noChangeAspect="1"/>
        </xdr:cNvPicPr>
      </xdr:nvPicPr>
      <xdr:blipFill>
        <a:blip xmlns:r="http://schemas.openxmlformats.org/officeDocument/2006/relationships" r:embed="rId12"/>
        <a:stretch>
          <a:fillRect/>
        </a:stretch>
      </xdr:blipFill>
      <xdr:spPr>
        <a:xfrm>
          <a:off x="609600" y="49194720"/>
          <a:ext cx="6462320" cy="3970364"/>
        </a:xfrm>
        <a:prstGeom prst="rect">
          <a:avLst/>
        </a:prstGeom>
      </xdr:spPr>
    </xdr:pic>
    <xdr:clientData/>
  </xdr:twoCellAnchor>
  <xdr:twoCellAnchor editAs="oneCell">
    <xdr:from>
      <xdr:col>1</xdr:col>
      <xdr:colOff>0</xdr:colOff>
      <xdr:row>293</xdr:row>
      <xdr:rowOff>0</xdr:rowOff>
    </xdr:from>
    <xdr:to>
      <xdr:col>11</xdr:col>
      <xdr:colOff>457768</xdr:colOff>
      <xdr:row>325</xdr:row>
      <xdr:rowOff>99576</xdr:rowOff>
    </xdr:to>
    <xdr:pic>
      <xdr:nvPicPr>
        <xdr:cNvPr id="14" name="图片 13">
          <a:extLst>
            <a:ext uri="{FF2B5EF4-FFF2-40B4-BE49-F238E27FC236}">
              <a16:creationId xmlns:a16="http://schemas.microsoft.com/office/drawing/2014/main" id="{00000000-0008-0000-2200-00000E000000}"/>
            </a:ext>
          </a:extLst>
        </xdr:cNvPr>
        <xdr:cNvPicPr>
          <a:picLocks noChangeAspect="1"/>
        </xdr:cNvPicPr>
      </xdr:nvPicPr>
      <xdr:blipFill>
        <a:blip xmlns:r="http://schemas.openxmlformats.org/officeDocument/2006/relationships" r:embed="rId13"/>
        <a:stretch>
          <a:fillRect/>
        </a:stretch>
      </xdr:blipFill>
      <xdr:spPr>
        <a:xfrm>
          <a:off x="609600" y="53583840"/>
          <a:ext cx="6553768" cy="5951736"/>
        </a:xfrm>
        <a:prstGeom prst="rect">
          <a:avLst/>
        </a:prstGeom>
      </xdr:spPr>
    </xdr:pic>
    <xdr:clientData/>
  </xdr:twoCellAnchor>
  <xdr:twoCellAnchor editAs="oneCell">
    <xdr:from>
      <xdr:col>16</xdr:col>
      <xdr:colOff>106680</xdr:colOff>
      <xdr:row>48</xdr:row>
      <xdr:rowOff>152400</xdr:rowOff>
    </xdr:from>
    <xdr:to>
      <xdr:col>20</xdr:col>
      <xdr:colOff>503166</xdr:colOff>
      <xdr:row>60</xdr:row>
      <xdr:rowOff>137349</xdr:rowOff>
    </xdr:to>
    <xdr:pic>
      <xdr:nvPicPr>
        <xdr:cNvPr id="15" name="图片 14">
          <a:extLst>
            <a:ext uri="{FF2B5EF4-FFF2-40B4-BE49-F238E27FC236}">
              <a16:creationId xmlns:a16="http://schemas.microsoft.com/office/drawing/2014/main" id="{00000000-0008-0000-2200-00000F000000}"/>
            </a:ext>
          </a:extLst>
        </xdr:cNvPr>
        <xdr:cNvPicPr>
          <a:picLocks noChangeAspect="1"/>
        </xdr:cNvPicPr>
      </xdr:nvPicPr>
      <xdr:blipFill>
        <a:blip xmlns:r="http://schemas.openxmlformats.org/officeDocument/2006/relationships" r:embed="rId14"/>
        <a:stretch>
          <a:fillRect/>
        </a:stretch>
      </xdr:blipFill>
      <xdr:spPr>
        <a:xfrm>
          <a:off x="9860280" y="8930640"/>
          <a:ext cx="2834886" cy="2179509"/>
        </a:xfrm>
        <a:prstGeom prst="rect">
          <a:avLst/>
        </a:prstGeom>
      </xdr:spPr>
    </xdr:pic>
    <xdr:clientData/>
  </xdr:twoCellAnchor>
  <xdr:twoCellAnchor editAs="oneCell">
    <xdr:from>
      <xdr:col>22</xdr:col>
      <xdr:colOff>0</xdr:colOff>
      <xdr:row>49</xdr:row>
      <xdr:rowOff>0</xdr:rowOff>
    </xdr:from>
    <xdr:to>
      <xdr:col>32</xdr:col>
      <xdr:colOff>267251</xdr:colOff>
      <xdr:row>68</xdr:row>
      <xdr:rowOff>99370</xdr:rowOff>
    </xdr:to>
    <xdr:pic>
      <xdr:nvPicPr>
        <xdr:cNvPr id="16" name="图片 15">
          <a:extLst>
            <a:ext uri="{FF2B5EF4-FFF2-40B4-BE49-F238E27FC236}">
              <a16:creationId xmlns:a16="http://schemas.microsoft.com/office/drawing/2014/main" id="{00000000-0008-0000-2200-000010000000}"/>
            </a:ext>
          </a:extLst>
        </xdr:cNvPr>
        <xdr:cNvPicPr>
          <a:picLocks noChangeAspect="1"/>
        </xdr:cNvPicPr>
      </xdr:nvPicPr>
      <xdr:blipFill>
        <a:blip xmlns:r="http://schemas.openxmlformats.org/officeDocument/2006/relationships" r:embed="rId15"/>
        <a:stretch>
          <a:fillRect/>
        </a:stretch>
      </xdr:blipFill>
      <xdr:spPr>
        <a:xfrm>
          <a:off x="13411200" y="8961120"/>
          <a:ext cx="6363251" cy="3574090"/>
        </a:xfrm>
        <a:prstGeom prst="rect">
          <a:avLst/>
        </a:prstGeom>
      </xdr:spPr>
    </xdr:pic>
    <xdr:clientData/>
  </xdr:twoCellAnchor>
  <xdr:twoCellAnchor editAs="oneCell">
    <xdr:from>
      <xdr:col>22</xdr:col>
      <xdr:colOff>0</xdr:colOff>
      <xdr:row>70</xdr:row>
      <xdr:rowOff>0</xdr:rowOff>
    </xdr:from>
    <xdr:to>
      <xdr:col>32</xdr:col>
      <xdr:colOff>602560</xdr:colOff>
      <xdr:row>91</xdr:row>
      <xdr:rowOff>107022</xdr:rowOff>
    </xdr:to>
    <xdr:pic>
      <xdr:nvPicPr>
        <xdr:cNvPr id="17" name="图片 16">
          <a:extLst>
            <a:ext uri="{FF2B5EF4-FFF2-40B4-BE49-F238E27FC236}">
              <a16:creationId xmlns:a16="http://schemas.microsoft.com/office/drawing/2014/main" id="{00000000-0008-0000-2200-000011000000}"/>
            </a:ext>
          </a:extLst>
        </xdr:cNvPr>
        <xdr:cNvPicPr>
          <a:picLocks noChangeAspect="1"/>
        </xdr:cNvPicPr>
      </xdr:nvPicPr>
      <xdr:blipFill>
        <a:blip xmlns:r="http://schemas.openxmlformats.org/officeDocument/2006/relationships" r:embed="rId16"/>
        <a:stretch>
          <a:fillRect/>
        </a:stretch>
      </xdr:blipFill>
      <xdr:spPr>
        <a:xfrm>
          <a:off x="13411200" y="12801600"/>
          <a:ext cx="6698560" cy="3947502"/>
        </a:xfrm>
        <a:prstGeom prst="rect">
          <a:avLst/>
        </a:prstGeom>
      </xdr:spPr>
    </xdr:pic>
    <xdr:clientData/>
  </xdr:twoCellAnchor>
  <xdr:twoCellAnchor editAs="oneCell">
    <xdr:from>
      <xdr:col>22</xdr:col>
      <xdr:colOff>0</xdr:colOff>
      <xdr:row>95</xdr:row>
      <xdr:rowOff>0</xdr:rowOff>
    </xdr:from>
    <xdr:to>
      <xdr:col>32</xdr:col>
      <xdr:colOff>114838</xdr:colOff>
      <xdr:row>116</xdr:row>
      <xdr:rowOff>30815</xdr:rowOff>
    </xdr:to>
    <xdr:pic>
      <xdr:nvPicPr>
        <xdr:cNvPr id="18" name="图片 17">
          <a:extLst>
            <a:ext uri="{FF2B5EF4-FFF2-40B4-BE49-F238E27FC236}">
              <a16:creationId xmlns:a16="http://schemas.microsoft.com/office/drawing/2014/main" id="{00000000-0008-0000-2200-000012000000}"/>
            </a:ext>
          </a:extLst>
        </xdr:cNvPr>
        <xdr:cNvPicPr>
          <a:picLocks noChangeAspect="1"/>
        </xdr:cNvPicPr>
      </xdr:nvPicPr>
      <xdr:blipFill>
        <a:blip xmlns:r="http://schemas.openxmlformats.org/officeDocument/2006/relationships" r:embed="rId17"/>
        <a:stretch>
          <a:fillRect/>
        </a:stretch>
      </xdr:blipFill>
      <xdr:spPr>
        <a:xfrm>
          <a:off x="13411200" y="17373600"/>
          <a:ext cx="6210838" cy="3871295"/>
        </a:xfrm>
        <a:prstGeom prst="rect">
          <a:avLst/>
        </a:prstGeom>
      </xdr:spPr>
    </xdr:pic>
    <xdr:clientData/>
  </xdr:twoCellAnchor>
  <xdr:twoCellAnchor editAs="oneCell">
    <xdr:from>
      <xdr:col>22</xdr:col>
      <xdr:colOff>0</xdr:colOff>
      <xdr:row>119</xdr:row>
      <xdr:rowOff>0</xdr:rowOff>
    </xdr:from>
    <xdr:to>
      <xdr:col>32</xdr:col>
      <xdr:colOff>602560</xdr:colOff>
      <xdr:row>141</xdr:row>
      <xdr:rowOff>76555</xdr:rowOff>
    </xdr:to>
    <xdr:pic>
      <xdr:nvPicPr>
        <xdr:cNvPr id="19" name="图片 18">
          <a:extLst>
            <a:ext uri="{FF2B5EF4-FFF2-40B4-BE49-F238E27FC236}">
              <a16:creationId xmlns:a16="http://schemas.microsoft.com/office/drawing/2014/main" id="{00000000-0008-0000-2200-000013000000}"/>
            </a:ext>
          </a:extLst>
        </xdr:cNvPr>
        <xdr:cNvPicPr>
          <a:picLocks noChangeAspect="1"/>
        </xdr:cNvPicPr>
      </xdr:nvPicPr>
      <xdr:blipFill>
        <a:blip xmlns:r="http://schemas.openxmlformats.org/officeDocument/2006/relationships" r:embed="rId18"/>
        <a:stretch>
          <a:fillRect/>
        </a:stretch>
      </xdr:blipFill>
      <xdr:spPr>
        <a:xfrm>
          <a:off x="13411200" y="21762720"/>
          <a:ext cx="6698560" cy="4099915"/>
        </a:xfrm>
        <a:prstGeom prst="rect">
          <a:avLst/>
        </a:prstGeom>
      </xdr:spPr>
    </xdr:pic>
    <xdr:clientData/>
  </xdr:twoCellAnchor>
  <xdr:twoCellAnchor editAs="oneCell">
    <xdr:from>
      <xdr:col>17</xdr:col>
      <xdr:colOff>15240</xdr:colOff>
      <xdr:row>142</xdr:row>
      <xdr:rowOff>68580</xdr:rowOff>
    </xdr:from>
    <xdr:to>
      <xdr:col>33</xdr:col>
      <xdr:colOff>844</xdr:colOff>
      <xdr:row>165</xdr:row>
      <xdr:rowOff>30841</xdr:rowOff>
    </xdr:to>
    <xdr:pic>
      <xdr:nvPicPr>
        <xdr:cNvPr id="20" name="图片 19">
          <a:extLst>
            <a:ext uri="{FF2B5EF4-FFF2-40B4-BE49-F238E27FC236}">
              <a16:creationId xmlns:a16="http://schemas.microsoft.com/office/drawing/2014/main" id="{00000000-0008-0000-2200-000014000000}"/>
            </a:ext>
          </a:extLst>
        </xdr:cNvPr>
        <xdr:cNvPicPr>
          <a:picLocks noChangeAspect="1"/>
        </xdr:cNvPicPr>
      </xdr:nvPicPr>
      <xdr:blipFill>
        <a:blip xmlns:r="http://schemas.openxmlformats.org/officeDocument/2006/relationships" r:embed="rId19"/>
        <a:stretch>
          <a:fillRect/>
        </a:stretch>
      </xdr:blipFill>
      <xdr:spPr>
        <a:xfrm>
          <a:off x="10378440" y="26037540"/>
          <a:ext cx="9739204" cy="41685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4120;&#24030;&#22303;&#22320;/&#21442;&#32771;/2018-1-0613&#24120;&#24030;&#22303;&#22320;/P05-2019-9&#37101;&#38745;/&#27979;&#31639;-&#37101;&#38745;20200117-14053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4120;&#24030;&#22303;&#22320;/&#21442;&#32771;/2018-1-0613&#24120;&#24030;&#22303;&#22320;/P05-2019-9&#37101;&#38745;/&#24120;&#24030;&#22303;&#22320;/&#24120;&#24030;&#35810;&#20215;2018-8-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2"/>
      <sheetName val="土地案例更新"/>
      <sheetName val="信息"/>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商业"/>
      <sheetName val="不动产比较法-办公"/>
      <sheetName val="不动产收益法"/>
      <sheetName val="酒店收入计算"/>
      <sheetName val="成本逼近法"/>
      <sheetName val="不动产比较法-工业"/>
      <sheetName val="不动产比较法-车位"/>
      <sheetName val="不动产比较法-仓储"/>
      <sheetName val="典型户型修正"/>
      <sheetName val="存贷款利率"/>
      <sheetName val="商业修正"/>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row r="20">
          <cell r="C20" t="str">
            <v>商业</v>
          </cell>
        </row>
        <row r="21">
          <cell r="C21" t="str">
            <v>办公</v>
          </cell>
        </row>
        <row r="22">
          <cell r="C22" t="str">
            <v>地下车库</v>
          </cell>
        </row>
        <row r="23">
          <cell r="C23" t="str">
            <v>保障房</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row r="19">
          <cell r="G19">
            <v>172360</v>
          </cell>
        </row>
      </sheetData>
      <sheetData sheetId="17">
        <row r="75">
          <cell r="A75" t="str">
            <v>交易情况</v>
          </cell>
          <cell r="C75" t="str">
            <v>正常</v>
          </cell>
        </row>
        <row r="77">
          <cell r="B77" t="str">
            <v>用途</v>
          </cell>
          <cell r="C77" t="str">
            <v>综合（含住宅）</v>
          </cell>
          <cell r="D77" t="str">
            <v>住宅</v>
          </cell>
        </row>
        <row r="108">
          <cell r="B108" t="str">
            <v>毗邻道路的类型与等级</v>
          </cell>
          <cell r="C108" t="str">
            <v>主干道</v>
          </cell>
          <cell r="D108" t="str">
            <v>次干道</v>
          </cell>
          <cell r="E108" t="str">
            <v>支路</v>
          </cell>
        </row>
        <row r="110">
          <cell r="B110" t="str">
            <v>土地级别</v>
          </cell>
        </row>
        <row r="121">
          <cell r="B121" t="str">
            <v>宗地形状</v>
          </cell>
          <cell r="C121" t="str">
            <v>规则</v>
          </cell>
          <cell r="D121" t="str">
            <v>较规则</v>
          </cell>
          <cell r="E121" t="str">
            <v>较不规则</v>
          </cell>
        </row>
        <row r="123">
          <cell r="B123" t="str">
            <v>临街宽度及深度</v>
          </cell>
          <cell r="C123" t="str">
            <v>较适宜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8"/>
      <sheetData sheetId="19"/>
      <sheetData sheetId="20"/>
      <sheetData sheetId="21"/>
      <sheetData sheetId="22"/>
      <sheetData sheetId="2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独栋别墅</v>
          </cell>
          <cell r="D100" t="str">
            <v>联排别墅</v>
          </cell>
          <cell r="E100" t="str">
            <v>高层住宅</v>
          </cell>
        </row>
        <row r="105">
          <cell r="B105" t="str">
            <v>建筑结构</v>
          </cell>
          <cell r="C105" t="str">
            <v>钢混</v>
          </cell>
        </row>
        <row r="107">
          <cell r="B107" t="str">
            <v>建筑品质</v>
          </cell>
          <cell r="C107" t="str">
            <v>高档</v>
          </cell>
          <cell r="D107" t="str">
            <v>普通</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row>
        <row r="118">
          <cell r="B118" t="str">
            <v>房型</v>
          </cell>
        </row>
        <row r="122">
          <cell r="B122" t="str">
            <v>内部装修</v>
          </cell>
          <cell r="C122" t="str">
            <v>精装</v>
          </cell>
          <cell r="D122" t="str">
            <v>普装</v>
          </cell>
          <cell r="E122" t="str">
            <v>简装</v>
          </cell>
          <cell r="F122" t="str">
            <v>毛坯</v>
          </cell>
        </row>
      </sheetData>
      <sheetData sheetId="33">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临街坊路</v>
          </cell>
        </row>
        <row r="90">
          <cell r="B90" t="str">
            <v>人流量</v>
          </cell>
          <cell r="C90" t="str">
            <v>大</v>
          </cell>
          <cell r="D90" t="str">
            <v>较大</v>
          </cell>
          <cell r="E90" t="str">
            <v>一般</v>
          </cell>
          <cell r="F90" t="str">
            <v>较差</v>
          </cell>
          <cell r="G90" t="str">
            <v>差</v>
          </cell>
        </row>
        <row r="92">
          <cell r="B92" t="str">
            <v>楼层</v>
          </cell>
          <cell r="C92" t="str">
            <v>1层</v>
          </cell>
          <cell r="D92" t="str">
            <v>1-2层</v>
          </cell>
        </row>
        <row r="100">
          <cell r="B100" t="str">
            <v>商业类型</v>
          </cell>
          <cell r="C100" t="str">
            <v>商业综合体</v>
          </cell>
          <cell r="D100" t="str">
            <v>商业街商铺</v>
          </cell>
          <cell r="E100" t="str">
            <v>独栋商业</v>
          </cell>
          <cell r="F100" t="str">
            <v>写字楼底商</v>
          </cell>
          <cell r="G100" t="str">
            <v>住宅底商</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v>
          </cell>
          <cell r="D116" t="str">
            <v>标准</v>
          </cell>
        </row>
        <row r="120">
          <cell r="B120" t="str">
            <v>进深比</v>
          </cell>
          <cell r="C120" t="str">
            <v>较适宜</v>
          </cell>
        </row>
        <row r="122">
          <cell r="B122" t="str">
            <v>内部装修</v>
          </cell>
          <cell r="C122" t="str">
            <v>精装</v>
          </cell>
          <cell r="D122" t="str">
            <v>普装</v>
          </cell>
          <cell r="E122" t="str">
            <v>简装</v>
          </cell>
          <cell r="F122" t="str">
            <v>毛坯</v>
          </cell>
        </row>
      </sheetData>
      <sheetData sheetId="34">
        <row r="62">
          <cell r="A62" t="str">
            <v>交易情况</v>
          </cell>
          <cell r="C62" t="str">
            <v>正常</v>
          </cell>
        </row>
        <row r="64">
          <cell r="B64" t="str">
            <v>用途</v>
          </cell>
          <cell r="C64" t="str">
            <v>办公</v>
          </cell>
        </row>
        <row r="87">
          <cell r="B87" t="str">
            <v>毗邻道路的类型与等级</v>
          </cell>
          <cell r="C87" t="str">
            <v>主干道</v>
          </cell>
          <cell r="D87" t="str">
            <v>次干道</v>
          </cell>
          <cell r="E87" t="str">
            <v>支路</v>
          </cell>
        </row>
        <row r="89">
          <cell r="B89" t="str">
            <v>楼层</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cell r="D113" t="str">
            <v>乙级</v>
          </cell>
        </row>
        <row r="115">
          <cell r="B115" t="str">
            <v>物业管理</v>
          </cell>
          <cell r="C115" t="str">
            <v>专业</v>
          </cell>
          <cell r="D115" t="str">
            <v>普通</v>
          </cell>
        </row>
        <row r="117">
          <cell r="B117" t="str">
            <v>市政基础设施</v>
          </cell>
          <cell r="C117" t="str">
            <v>七通</v>
          </cell>
          <cell r="D117" t="str">
            <v>六通</v>
          </cell>
          <cell r="E117" t="str">
            <v>五通</v>
          </cell>
        </row>
        <row r="119">
          <cell r="B119" t="str">
            <v>层高</v>
          </cell>
          <cell r="C119" t="str">
            <v>超高</v>
          </cell>
          <cell r="D119" t="str">
            <v>标准</v>
          </cell>
        </row>
        <row r="123">
          <cell r="B123" t="str">
            <v>内部装修</v>
          </cell>
          <cell r="C123" t="str">
            <v>精装</v>
          </cell>
          <cell r="D123" t="str">
            <v>普装</v>
          </cell>
          <cell r="E123" t="str">
            <v>简装</v>
          </cell>
          <cell r="F123" t="str">
            <v>毛坯</v>
          </cell>
        </row>
      </sheetData>
      <sheetData sheetId="35"/>
      <sheetData sheetId="36"/>
      <sheetData sheetId="37"/>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1"/>
      <sheetName val="案例2"/>
      <sheetName val="土地比较法-住宅、综合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ow r="73">
          <cell r="A73" t="str">
            <v>交易情况</v>
          </cell>
        </row>
      </sheetData>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0">
          <cell r="B70" t="str">
            <v>用途</v>
          </cell>
        </row>
        <row r="97">
          <cell r="B97" t="str">
            <v>毗邻道路的类型与等级</v>
          </cell>
        </row>
        <row r="112">
          <cell r="B112" t="str">
            <v>宗地开发程度</v>
          </cell>
        </row>
        <row r="114">
          <cell r="B114" t="str">
            <v>工程地质条件</v>
          </cell>
        </row>
      </sheetData>
      <sheetData sheetId="33" refreshError="1"/>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22" customWidth="1"/>
    <col min="2" max="2" width="78.25" style="2723" customWidth="1"/>
    <col min="3" max="18" width="9" style="2717"/>
    <col min="19" max="19" width="17.875" style="2717" customWidth="1"/>
    <col min="20" max="51" width="9" style="2717"/>
    <col min="52" max="52" width="13.25" style="2717" customWidth="1"/>
    <col min="53" max="53" width="13.5" style="2717" bestFit="1" customWidth="1"/>
    <col min="54" max="54" width="11.625" style="2717" bestFit="1" customWidth="1"/>
    <col min="55" max="55" width="13.5" style="2717" bestFit="1" customWidth="1"/>
    <col min="56" max="16384" width="9" style="2717"/>
  </cols>
  <sheetData>
    <row r="1" spans="1:55" s="2728" customFormat="1" ht="16.5" thickBot="1">
      <c r="A1" s="2726" t="s">
        <v>2646</v>
      </c>
      <c r="B1" s="2727" t="s">
        <v>2743</v>
      </c>
    </row>
    <row r="2" spans="1:55" s="2731" customFormat="1" ht="15" thickTop="1">
      <c r="A2" s="2729" t="s">
        <v>2650</v>
      </c>
      <c r="B2" s="2730" t="str">
        <f>'预评函-封皮'!B37</f>
        <v>出让国有建设用地使用权抵押价格预评估</v>
      </c>
      <c r="AX2" s="2732"/>
      <c r="AZ2" s="2732"/>
      <c r="BA2" s="2733"/>
      <c r="BC2" s="2733"/>
    </row>
    <row r="3" spans="1:55" s="2734" customFormat="1">
      <c r="A3" s="2713" t="s">
        <v>2651</v>
      </c>
      <c r="B3" s="2716">
        <f>'预评函-封皮'!B40</f>
        <v>0</v>
      </c>
    </row>
    <row r="4" spans="1:55" s="2715" customFormat="1">
      <c r="A4" s="2713" t="s">
        <v>2652</v>
      </c>
      <c r="B4" s="2714" t="str">
        <f>'预评函-封皮'!B46</f>
        <v>土地估价师、土地估价师</v>
      </c>
      <c r="N4" s="2715" t="str">
        <f>'预评函-1'!A28</f>
        <v>本次估价的“抵押净值”是指估价对象“抵押价格”减去估价对象在估价期日以“土地销售收入”为基数计算的预计抵押权实现进行处置时需缴纳的各项费用、税金等相关费用后的价格。</v>
      </c>
    </row>
    <row r="5" spans="1:55" s="2728" customFormat="1" ht="15" thickBot="1">
      <c r="A5" s="2735" t="s">
        <v>2653</v>
      </c>
      <c r="B5" s="2736" t="str">
        <f>'预评函-封皮'!B49</f>
        <v>康正预评字号</v>
      </c>
    </row>
    <row r="6" spans="1:55" s="2737" customFormat="1" ht="15" thickTop="1">
      <c r="A6" s="2729" t="s">
        <v>2695</v>
      </c>
      <c r="B6" s="2730" t="str">
        <f>'预评函-1'!A4</f>
        <v>受贵公司委托，我公司对出让国有建设用地使用权抵押价格进行了预评估。</v>
      </c>
      <c r="AM6" s="2738"/>
    </row>
    <row r="7" spans="1:55" s="2712" customFormat="1">
      <c r="A7" s="2713" t="s">
        <v>2647</v>
      </c>
      <c r="B7" s="2714" t="str">
        <f>'预评函-1'!A6</f>
        <v>估价对象为使用的、位于出让国有建设用地使用权。根据《国有土地使用证》[]，估价对象（分摊）出让国有建设用地使用权面积为177193.01平方米。根据《建设工程规划许可证》[]、《出让合同》[]，估价对象规划建筑面积为472085.52平方米。</v>
      </c>
    </row>
    <row r="8" spans="1:55" s="2712" customFormat="1">
      <c r="A8" s="2713" t="s">
        <v>2648</v>
      </c>
      <c r="B8" s="2714" t="str">
        <f>'预评函-1'!A7</f>
        <v xml:space="preserve">简述项目推广名，项目类型（用途），估价对象分布，各用途面积明细情况：XX用途建筑面积XX平方米，XX用途建筑面积XX平方米，……。复杂面积清单需设‘附表’列示：抵押物清单详见附表。        </v>
      </c>
    </row>
    <row r="9" spans="1:55" s="2712" customFormat="1">
      <c r="A9" s="2713" t="s">
        <v>2698</v>
      </c>
      <c r="B9" s="271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712" customFormat="1">
      <c r="A10" s="2713" t="s">
        <v>2649</v>
      </c>
      <c r="B10" s="2714" t="str">
        <f>'预评函-1'!A11</f>
        <v>2020年8月7日（评估专业人员勘察现场之日）</v>
      </c>
    </row>
    <row r="11" spans="1:55" s="2712" customFormat="1">
      <c r="A11" s="2713" t="s">
        <v>2655</v>
      </c>
      <c r="B11" s="2714" t="str">
        <f>'预评函-1'!A14</f>
        <v>根据《国有土地使用证》[]，本次评估估价对象证载（地类）用途为。</v>
      </c>
    </row>
    <row r="12" spans="1:55" s="2712" customFormat="1">
      <c r="A12" s="2713" t="s">
        <v>2656</v>
      </c>
      <c r="B12" s="2714" t="str">
        <f>'预评函-1'!A15</f>
        <v>本次评估设定用途即为证载用途。</v>
      </c>
    </row>
    <row r="13" spans="1:55" s="2712" customFormat="1">
      <c r="A13" s="2713" t="s">
        <v>2657</v>
      </c>
      <c r="B13" s="2714" t="str">
        <f>'预评函-1'!A17</f>
        <v>根据委托估价方介绍及评估专业人员现场勘查，本次评估估价对象实际土地开发程度为红线外市政基础设施达“七通”（即、、、、、、）、宗地红线内场地平整。</v>
      </c>
    </row>
    <row r="14" spans="1:55" s="2712" customFormat="1">
      <c r="A14" s="2713" t="s">
        <v>2658</v>
      </c>
      <c r="B14" s="2714" t="str">
        <f>'预评函-1'!A18</f>
        <v>。本次评估设定土地开发程度为红线外市政基础设施达“七通”、宗地红线内场地平整。</v>
      </c>
    </row>
    <row r="15" spans="1:55" s="2712" customFormat="1">
      <c r="A15" s="2713" t="s">
        <v>2654</v>
      </c>
      <c r="B15" s="2714" t="str">
        <f>'预评函-1'!A20</f>
        <v>根据《国有土地使用证》[]，估价对象（分摊）出让国有建设用地使用权面积为177193.01平方米。根据《建设工程规划许可证》[]、《出让合同》[]，估价对象规划建筑面积为472085.52平方米。</v>
      </c>
    </row>
    <row r="16" spans="1:55" s="2712" customFormat="1">
      <c r="A16" s="2713" t="s">
        <v>2659</v>
      </c>
      <c r="B16" s="271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2082年3月30日、商业2052年3月30日、办公2062年3月30日、地下车库2062年3月30日。截至估价期日，出让国有建设用地使用权剩余土地使用年限为。</v>
      </c>
    </row>
    <row r="17" spans="1:48" s="2712" customFormat="1">
      <c r="A17" s="2713" t="s">
        <v>2660</v>
      </c>
      <c r="B17" s="2714" t="str">
        <f>'预评函-1'!A23</f>
        <v>本次评估设定估价对象剩余土地使用年限为。</v>
      </c>
    </row>
    <row r="18" spans="1:48" s="2712" customFormat="1">
      <c r="A18" s="2713" t="s">
        <v>2661</v>
      </c>
      <c r="B18" s="2714" t="str">
        <f>'预评函-1'!A25</f>
        <v>本次估价的“出让国有建设用地使用权价格”是指在估价对象土地所有权为国家所有，使用权性质为出让，在公开市场条件下、于估价期日2020年8月7日，在规划利用条件下、设定土地开发程度为红线外“七通”、宗地内场地，设定用途为，剩余土地使用年限为的出让国有建设用地使用权价格。</v>
      </c>
    </row>
    <row r="19" spans="1:48" s="2712" customFormat="1">
      <c r="A19" s="2713" t="s">
        <v>2662</v>
      </c>
      <c r="B19" s="2714" t="str">
        <f>'预评函-1'!A26</f>
        <v>本次估价的“抵押价格”是指估价对象在估价期日的“出让国有建设用地使用权价格”扣减估价师于估价期日所知悉的法定优先受偿款后的余额。</v>
      </c>
    </row>
    <row r="20" spans="1:48" s="2712" customFormat="1">
      <c r="A20" s="2713" t="s">
        <v>2663</v>
      </c>
      <c r="B20" s="27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28" customFormat="1" ht="15" thickBot="1">
      <c r="A21" s="2735" t="s">
        <v>2664</v>
      </c>
      <c r="B21" s="27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724" t="s">
        <v>2665</v>
      </c>
      <c r="B22" s="272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13" t="s">
        <v>2666</v>
      </c>
      <c r="B23" s="2714" t="str">
        <f>'预评函-2'!K2</f>
        <v>估价期日：2020年8月7日</v>
      </c>
    </row>
    <row r="24" spans="1:48">
      <c r="A24" s="2713" t="s">
        <v>2667</v>
      </c>
      <c r="B24" s="2714" t="str">
        <f>'预评函-2'!R2</f>
        <v>估价期日的国有建设用地使用权性质：出让</v>
      </c>
    </row>
    <row r="25" spans="1:48">
      <c r="A25" s="2713" t="s">
        <v>2723</v>
      </c>
      <c r="B25" s="2714" t="str">
        <f>'预评函-2'!A3</f>
        <v>估价期日土地使用者</v>
      </c>
    </row>
    <row r="26" spans="1:48">
      <c r="A26" s="2713" t="s">
        <v>2699</v>
      </c>
      <c r="B26" s="2714" t="str">
        <f>'预评函-2'!A5</f>
        <v>中信开发</v>
      </c>
    </row>
    <row r="27" spans="1:48">
      <c r="A27" s="2713" t="s">
        <v>2724</v>
      </c>
      <c r="B27" s="2714" t="str">
        <f>'预评函-2'!B3</f>
        <v>宗地编号/不动产单元号</v>
      </c>
    </row>
    <row r="28" spans="1:48">
      <c r="A28" s="2713" t="s">
        <v>2700</v>
      </c>
      <c r="B28" s="2714" t="str">
        <f>'预评函-2'!B5</f>
        <v>11111111111</v>
      </c>
    </row>
    <row r="29" spans="1:48">
      <c r="A29" s="2713" t="s">
        <v>2726</v>
      </c>
      <c r="B29" s="2714">
        <f>'预评函-2'!C5</f>
        <v>22</v>
      </c>
    </row>
    <row r="30" spans="1:48">
      <c r="A30" s="2713" t="s">
        <v>2727</v>
      </c>
      <c r="B30" s="2714" t="str">
        <f>'预评函-2'!D3</f>
        <v>土地使用证编号/不动产权证书编号</v>
      </c>
    </row>
    <row r="31" spans="1:48">
      <c r="A31" s="2713" t="s">
        <v>2701</v>
      </c>
      <c r="B31" s="2714" t="str">
        <f>'预评函-2'!D5</f>
        <v>京国土字第111号</v>
      </c>
    </row>
    <row r="32" spans="1:48">
      <c r="A32" s="2713" t="s">
        <v>2702</v>
      </c>
      <c r="B32" s="2714">
        <f>'预评函-2'!E5</f>
        <v>0</v>
      </c>
      <c r="AV32" s="2718"/>
    </row>
    <row r="33" spans="1:2">
      <c r="A33" s="2713" t="s">
        <v>2703</v>
      </c>
      <c r="B33" s="2714">
        <f>'预评函-2'!F5</f>
        <v>258</v>
      </c>
    </row>
    <row r="34" spans="1:2">
      <c r="A34" s="2713" t="s">
        <v>2704</v>
      </c>
      <c r="B34" s="2714">
        <f>'预评函-2'!G5</f>
        <v>0</v>
      </c>
    </row>
    <row r="35" spans="1:2">
      <c r="A35" s="2713" t="s">
        <v>2705</v>
      </c>
      <c r="B35" s="2714">
        <f>'预评函-2'!H5</f>
        <v>1.5</v>
      </c>
    </row>
    <row r="36" spans="1:2">
      <c r="A36" s="2713" t="s">
        <v>2706</v>
      </c>
      <c r="B36" s="2714">
        <f>'预评函-2'!I5</f>
        <v>1.5</v>
      </c>
    </row>
    <row r="37" spans="1:2">
      <c r="A37" s="2713" t="s">
        <v>2707</v>
      </c>
      <c r="B37" s="2714">
        <f>'预评函-2'!J5</f>
        <v>1.5</v>
      </c>
    </row>
    <row r="38" spans="1:2">
      <c r="A38" s="2713" t="s">
        <v>2708</v>
      </c>
      <c r="B38" s="2714" t="str">
        <f>'预评函-2'!K5</f>
        <v>红线外七通、宗地红线内</v>
      </c>
    </row>
    <row r="39" spans="1:2">
      <c r="A39" s="2713" t="s">
        <v>2709</v>
      </c>
      <c r="B39" s="2714" t="str">
        <f>'预评函-2'!L5</f>
        <v>红线外七通、宗地红线内场地</v>
      </c>
    </row>
    <row r="40" spans="1:2">
      <c r="A40" s="2713" t="s">
        <v>2728</v>
      </c>
      <c r="B40" s="2714" t="str">
        <f>'预评函-2'!M3</f>
        <v>（剩余）土地使用年限/年</v>
      </c>
    </row>
    <row r="41" spans="1:2">
      <c r="A41" s="2713" t="s">
        <v>2710</v>
      </c>
      <c r="B41" s="2714">
        <f>'预评函-2'!M5</f>
        <v>0</v>
      </c>
    </row>
    <row r="42" spans="1:2">
      <c r="A42" s="2713" t="s">
        <v>2729</v>
      </c>
      <c r="B42" s="2714" t="str">
        <f>'预评函-2'!N3</f>
        <v>（分摊）出让国有建设用地使用权面积/㎡</v>
      </c>
    </row>
    <row r="43" spans="1:2">
      <c r="A43" s="2713" t="s">
        <v>2711</v>
      </c>
      <c r="B43" s="2714">
        <f>'预评函-2'!N5</f>
        <v>177193.01</v>
      </c>
    </row>
    <row r="44" spans="1:2">
      <c r="A44" s="2713" t="s">
        <v>2730</v>
      </c>
      <c r="B44" s="2714" t="str">
        <f>'预评函-2'!O3</f>
        <v>规划建筑面积/㎡</v>
      </c>
    </row>
    <row r="45" spans="1:2">
      <c r="A45" s="2713" t="s">
        <v>2712</v>
      </c>
      <c r="B45" s="2714">
        <f>'预评函-2'!O5</f>
        <v>472085.52</v>
      </c>
    </row>
    <row r="46" spans="1:2">
      <c r="A46" s="2713" t="s">
        <v>2713</v>
      </c>
      <c r="B46" s="2714">
        <f ca="1">'预评函-2'!P5</f>
        <v>10990</v>
      </c>
    </row>
    <row r="47" spans="1:2">
      <c r="A47" s="2713" t="s">
        <v>2714</v>
      </c>
      <c r="B47" s="2714">
        <f ca="1">'预评函-2'!Q5</f>
        <v>4125</v>
      </c>
    </row>
    <row r="48" spans="1:2">
      <c r="A48" s="2713" t="s">
        <v>2715</v>
      </c>
      <c r="B48" s="2714">
        <f ca="1">'预评函-2'!R5</f>
        <v>194742</v>
      </c>
    </row>
    <row r="49" spans="1:2">
      <c r="A49" s="2713" t="s">
        <v>2731</v>
      </c>
      <c r="B49" s="2714" t="str">
        <f>'预评函-2'!A6</f>
        <v>抵押价格</v>
      </c>
    </row>
    <row r="50" spans="1:2">
      <c r="A50" s="2713" t="s">
        <v>2716</v>
      </c>
      <c r="B50" s="2714">
        <f ca="1">'预评函-2'!R6</f>
        <v>194742</v>
      </c>
    </row>
    <row r="51" spans="1:2">
      <c r="A51" s="2713" t="s">
        <v>2732</v>
      </c>
      <c r="B51" s="2714" t="str">
        <f>'预评函-2'!A7</f>
        <v>——</v>
      </c>
    </row>
    <row r="52" spans="1:2">
      <c r="A52" s="2713" t="s">
        <v>2717</v>
      </c>
      <c r="B52" s="2714" t="str">
        <f>'预评函-2'!R7</f>
        <v>——</v>
      </c>
    </row>
    <row r="53" spans="1:2">
      <c r="A53" s="2713" t="s">
        <v>2733</v>
      </c>
      <c r="B53" s="2714">
        <f>'预评函-2'!A8</f>
        <v>0</v>
      </c>
    </row>
    <row r="54" spans="1:2" s="2728" customFormat="1" ht="15" thickBot="1">
      <c r="A54" s="2735" t="s">
        <v>2718</v>
      </c>
      <c r="B54" s="2736" t="str">
        <f>'预评函-2'!R8</f>
        <v>——</v>
      </c>
    </row>
    <row r="55" spans="1:2" ht="15" thickTop="1">
      <c r="A55" s="2724" t="s">
        <v>2668</v>
      </c>
      <c r="B55" s="2725" t="str">
        <f>'预评函-3'!A2</f>
        <v>1.权利限制：根据估价对象《不动产权证书》原件、《国有土地使用权》复印件，截至估价期日，估价对象抵押权未见登记。未设定租赁等其他他项权利。</v>
      </c>
    </row>
    <row r="56" spans="1:2">
      <c r="A56" s="2713" t="s">
        <v>2669</v>
      </c>
      <c r="B56" s="2714" t="str">
        <f>'预评函-3'!A3</f>
        <v>2.基础设施条件：估价对象实际开发程度为红线外七通、宗地红线内；本次评估设定开发程度为红线外七通、宗地红线内场地。</v>
      </c>
    </row>
    <row r="57" spans="1:2">
      <c r="A57" s="2713" t="s">
        <v>2670</v>
      </c>
      <c r="B57" s="2714" t="str">
        <f>'预评函-3'!A4</f>
        <v>3.估价规划限制条件：详见《建设工程规划许可证》[]、《出让合同》[]。</v>
      </c>
    </row>
    <row r="58" spans="1:2" s="2728" customFormat="1" ht="15" thickBot="1">
      <c r="A58" s="2735" t="s">
        <v>2719</v>
      </c>
      <c r="B58" s="2736" t="str">
        <f>'预评函-3'!A5</f>
        <v>4.影响价格的其他限定条件：无。</v>
      </c>
    </row>
    <row r="59" spans="1:2" ht="15" thickTop="1">
      <c r="A59" s="2724" t="s">
        <v>2671</v>
      </c>
      <c r="B59" s="2725" t="str">
        <f>'预评函-3'!A8</f>
        <v>2.本《评估意见函》仅供金融机构进行内部审核使用，不做其他目的之用。</v>
      </c>
    </row>
    <row r="60" spans="1:2">
      <c r="A60" s="2713" t="s">
        <v>2672</v>
      </c>
      <c r="B60" s="2714" t="str">
        <f>'预评函-3'!A9</f>
        <v>3.抵押双方在办理抵押登记手续时，应使用本公司出具的正式《土地估价报告》，特提请报告使用者注意。</v>
      </c>
    </row>
    <row r="61" spans="1:2">
      <c r="A61" s="2713" t="s">
        <v>2674</v>
      </c>
      <c r="B61" s="2714" t="str">
        <f>'预评函-3'!A10</f>
        <v>4.估价师所知悉的法定优先受偿款情况为：</v>
      </c>
    </row>
    <row r="62" spans="1:2">
      <c r="A62" s="2713" t="s">
        <v>2673</v>
      </c>
      <c r="B62" s="271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13" t="s">
        <v>2675</v>
      </c>
      <c r="B63" s="27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3" t="s">
        <v>2676</v>
      </c>
      <c r="B64" s="2719" t="str">
        <f>'预评函-3'!A13</f>
        <v>（3）。</v>
      </c>
    </row>
    <row r="65" spans="1:2">
      <c r="A65" s="2713" t="s">
        <v>2677</v>
      </c>
      <c r="B65" s="2720" t="str">
        <f>'预评函-3'!A14</f>
        <v>综上，本次评估不存在估价师知悉的法定优先受偿款</v>
      </c>
    </row>
    <row r="66" spans="1:2">
      <c r="A66" s="2713" t="s">
        <v>2678</v>
      </c>
      <c r="B66" s="27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3" t="s">
        <v>2679</v>
      </c>
      <c r="B67" s="27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28" customFormat="1" ht="15" thickBot="1">
      <c r="A68" s="2735" t="s">
        <v>2682</v>
      </c>
      <c r="B68" s="2739">
        <f>'预评函-3'!D30</f>
        <v>42558</v>
      </c>
    </row>
    <row r="69" spans="1:2" ht="15" thickTop="1">
      <c r="A69" s="2724" t="s">
        <v>2680</v>
      </c>
      <c r="B69" s="2725" t="str">
        <f>'预评函-3'!A20</f>
        <v>土地估价师</v>
      </c>
    </row>
    <row r="70" spans="1:2">
      <c r="A70" s="2713" t="s">
        <v>2680</v>
      </c>
      <c r="B70" s="2720">
        <f>'预评函-3'!B20</f>
        <v>0</v>
      </c>
    </row>
    <row r="71" spans="1:2">
      <c r="A71" s="2713" t="s">
        <v>2681</v>
      </c>
      <c r="B71" s="2714" t="str">
        <f>'预评函-3'!A21</f>
        <v>土地估价师</v>
      </c>
    </row>
    <row r="72" spans="1:2" s="2728" customFormat="1" ht="15" thickBot="1">
      <c r="A72" s="2735" t="s">
        <v>2681</v>
      </c>
      <c r="B72" s="2741">
        <f>'预评函-3'!B21</f>
        <v>0</v>
      </c>
    </row>
    <row r="73" spans="1:2" ht="15" thickTop="1">
      <c r="A73" s="2724" t="s">
        <v>2740</v>
      </c>
      <c r="B73" s="27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3" t="s">
        <v>2741</v>
      </c>
      <c r="B74" s="2721" t="str">
        <f>'预评函-1 (储备)'!A18</f>
        <v>由于本次评估估价目的是评估储备国有建设用地使用权的“抵押价格”，因此本次评估设定土地开发程度为红线外市政基础设施达“七通”、宗地红线内场地平整。</v>
      </c>
    </row>
    <row r="75" spans="1:2" s="2728" customFormat="1" ht="15" thickBot="1">
      <c r="A75" s="2735" t="s">
        <v>2742</v>
      </c>
      <c r="B75" s="27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2" t="s">
        <v>2777</v>
      </c>
      <c r="B76" s="272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C26" sqref="C26"/>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1929</v>
      </c>
      <c r="B1" s="3251" t="str">
        <f>IF(B10="北京市","北京市",C10)&amp;F10&amp;B16&amp;"国有建设用地使用权"&amp;B9&amp;"预评估"</f>
        <v>出让国有建设用地使用权抵押价格预评估</v>
      </c>
      <c r="C1" s="3252"/>
      <c r="D1" s="3252"/>
      <c r="E1" s="3252"/>
      <c r="F1" s="3252"/>
      <c r="G1" s="3252"/>
      <c r="H1" s="3252"/>
      <c r="I1" s="3253"/>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1930</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1931</v>
      </c>
      <c r="B3" s="1642">
        <v>44050</v>
      </c>
      <c r="C3" s="1643" t="s">
        <v>1987</v>
      </c>
      <c r="D3" s="1642">
        <v>44050</v>
      </c>
      <c r="E3" s="1674"/>
      <c r="F3" s="1674"/>
      <c r="G3" s="1674"/>
      <c r="H3" s="1640"/>
      <c r="I3" s="1675"/>
      <c r="J3" s="1674"/>
      <c r="K3" s="1754"/>
      <c r="L3" s="1703"/>
      <c r="M3" s="1703"/>
      <c r="N3" s="1674"/>
      <c r="O3" s="1675"/>
      <c r="P3" s="1674"/>
      <c r="Q3" s="1674"/>
      <c r="R3" s="1674"/>
      <c r="S3" s="1674"/>
      <c r="T3" s="1674"/>
      <c r="U3" s="1674"/>
    </row>
    <row r="4" spans="1:21" ht="29.25" thickBot="1">
      <c r="A4" s="1644" t="s">
        <v>1932</v>
      </c>
      <c r="B4" s="1823" t="s">
        <v>2879</v>
      </c>
      <c r="C4" s="1826">
        <f>SUMIF(土地估价师,B4,估价师及机构信息!E3:E24)</f>
        <v>0</v>
      </c>
      <c r="D4" s="1823" t="s">
        <v>2879</v>
      </c>
      <c r="E4" s="1826">
        <f>SUMIF(土地估价师,D4,估价师及机构信息!E3:E24)</f>
        <v>0</v>
      </c>
      <c r="F4" s="1823" t="s">
        <v>949</v>
      </c>
      <c r="G4" s="1826">
        <f>SUMIF(土地估价师,F4,估价师及机构信息!E3:E24)</f>
        <v>0</v>
      </c>
      <c r="H4" s="1823" t="s">
        <v>949</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1933</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2696</v>
      </c>
      <c r="B6" s="1769"/>
      <c r="C6" s="1741"/>
      <c r="D6" s="1648"/>
      <c r="E6" s="1674"/>
      <c r="F6" s="1674"/>
      <c r="G6" s="1674"/>
      <c r="H6" s="1640"/>
      <c r="I6" s="1675"/>
      <c r="J6" s="1674"/>
      <c r="K6" s="2880" t="str">
        <f>IF(COUNTIF(B6,"*上海银行*"),"上海银行","")</f>
        <v/>
      </c>
      <c r="L6" s="1703"/>
      <c r="M6" s="1703"/>
      <c r="N6" s="1674"/>
      <c r="O6" s="1675"/>
      <c r="P6" s="1674"/>
      <c r="Q6" s="1674"/>
      <c r="R6" s="1674"/>
      <c r="S6" s="1674"/>
      <c r="T6" s="1674"/>
      <c r="U6" s="1674"/>
    </row>
    <row r="7" spans="1:21">
      <c r="A7" s="1649" t="s">
        <v>2697</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1934</v>
      </c>
      <c r="B8" s="1650" t="s">
        <v>2981</v>
      </c>
      <c r="C8" s="1651"/>
      <c r="D8" s="3257" t="s">
        <v>1936</v>
      </c>
      <c r="E8" s="1824" t="s">
        <v>2993</v>
      </c>
      <c r="F8" s="1652"/>
      <c r="G8" s="1640"/>
      <c r="H8" s="1640"/>
      <c r="I8" s="1687"/>
      <c r="J8" s="1674"/>
      <c r="K8" s="1754"/>
      <c r="L8" s="1703"/>
      <c r="M8" s="1703"/>
      <c r="N8" s="1674"/>
      <c r="O8" s="1675"/>
      <c r="P8" s="1674"/>
      <c r="Q8" s="1674"/>
      <c r="R8" s="1674"/>
      <c r="S8" s="1674"/>
      <c r="T8" s="1674"/>
      <c r="U8" s="1674"/>
    </row>
    <row r="9" spans="1:21" ht="15" thickBot="1">
      <c r="A9" s="1653" t="s">
        <v>1935</v>
      </c>
      <c r="B9" s="1654" t="s">
        <v>2993</v>
      </c>
      <c r="C9" s="1655"/>
      <c r="D9" s="3258"/>
      <c r="E9" s="1654"/>
      <c r="F9" s="1727"/>
      <c r="G9" s="1722"/>
      <c r="H9" s="1722"/>
      <c r="I9" s="1723"/>
      <c r="J9" s="1674"/>
      <c r="K9" s="1754"/>
      <c r="L9" s="1703"/>
      <c r="M9" s="1703"/>
      <c r="N9" s="1674"/>
      <c r="O9" s="1675"/>
      <c r="P9" s="1674"/>
      <c r="Q9" s="1674"/>
      <c r="R9" s="1674"/>
      <c r="S9" s="1674"/>
      <c r="T9" s="1674"/>
      <c r="U9" s="1674"/>
    </row>
    <row r="10" spans="1:21" ht="15" thickTop="1">
      <c r="A10" s="1724" t="s">
        <v>1991</v>
      </c>
      <c r="B10" s="1699" t="s">
        <v>2994</v>
      </c>
      <c r="C10" s="1656"/>
      <c r="D10" s="1647"/>
      <c r="E10" s="1657" t="s">
        <v>1938</v>
      </c>
      <c r="F10" s="1658"/>
      <c r="G10" s="1725"/>
      <c r="H10" s="1726"/>
      <c r="I10" s="1647"/>
      <c r="J10" s="1674"/>
      <c r="K10" s="1754"/>
      <c r="L10" s="1703"/>
      <c r="M10" s="1703"/>
      <c r="N10" s="1674"/>
      <c r="O10" s="1675"/>
      <c r="P10" s="1674"/>
      <c r="Q10" s="1674"/>
      <c r="R10" s="1674"/>
      <c r="S10" s="1674"/>
      <c r="T10" s="1674"/>
      <c r="U10" s="1674"/>
    </row>
    <row r="11" spans="1:21">
      <c r="A11" s="1677" t="s">
        <v>1992</v>
      </c>
      <c r="B11" s="1678" t="s">
        <v>2995</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2050</v>
      </c>
      <c r="B12" s="3254"/>
      <c r="C12" s="3255"/>
      <c r="D12" s="3256"/>
      <c r="E12" s="1679" t="s">
        <v>2053</v>
      </c>
      <c r="F12" s="3272" t="s">
        <v>2880</v>
      </c>
      <c r="G12" s="3273"/>
      <c r="H12" s="3273"/>
      <c r="I12" s="3274"/>
      <c r="J12" s="1674"/>
      <c r="K12" s="1754"/>
      <c r="L12" s="1703"/>
      <c r="M12" s="1703"/>
      <c r="N12" s="1674"/>
      <c r="O12" s="1675"/>
      <c r="P12" s="1674"/>
      <c r="Q12" s="1674"/>
      <c r="R12" s="1674"/>
      <c r="S12" s="1674"/>
      <c r="T12" s="1674"/>
      <c r="U12" s="1674"/>
    </row>
    <row r="13" spans="1:21">
      <c r="A13" s="1667" t="s">
        <v>2051</v>
      </c>
      <c r="B13" s="3254"/>
      <c r="C13" s="3255"/>
      <c r="D13" s="3256"/>
      <c r="E13" s="1679" t="s">
        <v>2053</v>
      </c>
      <c r="F13" s="3272" t="s">
        <v>2881</v>
      </c>
      <c r="G13" s="3273"/>
      <c r="H13" s="3273"/>
      <c r="I13" s="3274"/>
      <c r="J13" s="1674"/>
      <c r="K13" s="1754"/>
      <c r="L13" s="1703"/>
      <c r="M13" s="1703"/>
      <c r="N13" s="1674"/>
      <c r="O13" s="1675"/>
      <c r="P13" s="1674"/>
      <c r="Q13" s="1674"/>
      <c r="R13" s="1674"/>
      <c r="S13" s="1674"/>
      <c r="T13" s="1674"/>
      <c r="U13" s="1674"/>
    </row>
    <row r="14" spans="1:21">
      <c r="A14" s="1641" t="s">
        <v>2054</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1941</v>
      </c>
      <c r="E15" s="1746" t="s">
        <v>1942</v>
      </c>
      <c r="F15" s="1746" t="s">
        <v>1943</v>
      </c>
      <c r="G15" s="1666" t="s">
        <v>1944</v>
      </c>
      <c r="H15" s="1666" t="s">
        <v>1945</v>
      </c>
      <c r="I15" s="1666" t="s">
        <v>1946</v>
      </c>
      <c r="J15" s="1674"/>
      <c r="K15" s="1754"/>
      <c r="L15" s="1703"/>
      <c r="M15" s="1703"/>
      <c r="N15" s="1674"/>
      <c r="O15" s="1675"/>
      <c r="P15" s="1674"/>
      <c r="Q15" s="1674"/>
      <c r="R15" s="1674"/>
      <c r="S15" s="1674"/>
      <c r="T15" s="1674"/>
      <c r="U15" s="1674"/>
    </row>
    <row r="16" spans="1:21" ht="42.75">
      <c r="A16" s="1660" t="s">
        <v>1939</v>
      </c>
      <c r="B16" s="1661" t="s">
        <v>2976</v>
      </c>
      <c r="C16" s="1679" t="s">
        <v>1940</v>
      </c>
      <c r="D16" s="2606" t="s">
        <v>1941</v>
      </c>
      <c r="E16" s="1702" t="s">
        <v>2996</v>
      </c>
      <c r="F16" s="1702" t="s">
        <v>1674</v>
      </c>
      <c r="G16" s="1702" t="s">
        <v>35</v>
      </c>
      <c r="H16" s="1702"/>
      <c r="I16" s="1666" t="s">
        <v>1946</v>
      </c>
      <c r="J16" s="1674"/>
      <c r="K16" s="2416" t="str">
        <f>IF(D17="","",D16&amp;TEXT(D17,"yyyy年m月d日;;"))</f>
        <v>住宅2082年3月30日</v>
      </c>
      <c r="L16" s="1679" t="str">
        <f>IF(OR(K16="",M16=""),"","、")</f>
        <v>、</v>
      </c>
      <c r="M16" s="2416" t="str">
        <f>IF(E17="","",E16&amp;TEXT(E17,"yyyy年m月d日;;"))</f>
        <v>商业2052年3月30日</v>
      </c>
      <c r="N16" s="1679" t="str">
        <f>IF(OR(M16="",O16=""),"","、")</f>
        <v>、</v>
      </c>
      <c r="O16" s="2416" t="str">
        <f>IF(F17="","",F16&amp;TEXT(F17,"yyyy年m月d日;;"))</f>
        <v>办公2062年3月30日</v>
      </c>
      <c r="P16" s="1679" t="str">
        <f>IF(OR(O16="",Q16=""),"","、")</f>
        <v>、</v>
      </c>
      <c r="Q16" s="2416" t="str">
        <f>IF(G17="","",G16&amp;TEXT(G17,"yyyy年m月d日;;"))</f>
        <v>地下车库2062年3月30日</v>
      </c>
      <c r="R16" s="1679" t="str">
        <f>IF(OR(Q16="",S16=""),"","、")</f>
        <v/>
      </c>
      <c r="S16" s="2416" t="str">
        <f>IF(H17="","",H16&amp;TEXT(H17,"yyyy年m月d日;;"))</f>
        <v/>
      </c>
      <c r="T16" s="1679" t="str">
        <f>IF(OR(S16="",U16=""),"","、")</f>
        <v/>
      </c>
      <c r="U16" s="2416" t="str">
        <f>IF(I17="","",I16&amp;TEXT(I17,"yyyy年m月d日;;"))</f>
        <v/>
      </c>
    </row>
    <row r="17" spans="1:21">
      <c r="A17" s="1743"/>
      <c r="B17" s="1662"/>
      <c r="C17" s="1663" t="s">
        <v>1947</v>
      </c>
      <c r="D17" s="1680">
        <v>66565</v>
      </c>
      <c r="E17" s="1680">
        <v>55608</v>
      </c>
      <c r="F17" s="1680">
        <v>59260</v>
      </c>
      <c r="G17" s="1680">
        <v>59260</v>
      </c>
      <c r="H17" s="1680"/>
      <c r="I17" s="1680"/>
      <c r="J17" s="1674"/>
      <c r="K17" s="2415" t="str">
        <f>CONCATENATE(K16,L16,M16,N16,O16,P16,Q16,R16,S16,T16,,U16)</f>
        <v>住宅2082年3月30日、商业2052年3月30日、办公2062年3月30日、地下车库2062年3月30日</v>
      </c>
      <c r="L17" s="1703"/>
      <c r="M17" s="1703"/>
      <c r="N17" s="1674"/>
      <c r="O17" s="1675"/>
      <c r="P17" s="1674"/>
      <c r="Q17" s="1674"/>
      <c r="R17" s="1674"/>
      <c r="S17" s="1674"/>
      <c r="T17" s="1674"/>
      <c r="U17" s="1674"/>
    </row>
    <row r="18" spans="1:21">
      <c r="A18" s="1743"/>
      <c r="B18" s="1662"/>
      <c r="C18" s="1663" t="s">
        <v>1948</v>
      </c>
      <c r="D18" s="1664">
        <v>70</v>
      </c>
      <c r="E18" s="1664">
        <v>40</v>
      </c>
      <c r="F18" s="1664">
        <v>50</v>
      </c>
      <c r="G18" s="1664">
        <v>50</v>
      </c>
      <c r="H18" s="1664"/>
      <c r="I18" s="1664"/>
      <c r="J18" s="1674"/>
      <c r="K18" s="1754"/>
      <c r="L18" s="1703"/>
      <c r="M18" s="1703"/>
      <c r="N18" s="1674"/>
      <c r="O18" s="1675"/>
      <c r="P18" s="1674"/>
      <c r="Q18" s="1674"/>
      <c r="R18" s="1674"/>
      <c r="S18" s="1674"/>
      <c r="T18" s="1674"/>
      <c r="U18" s="1674"/>
    </row>
    <row r="19" spans="1:21">
      <c r="A19" s="1743"/>
      <c r="B19" s="1662"/>
      <c r="C19" s="1640" t="s">
        <v>1949</v>
      </c>
      <c r="D19" s="1738">
        <f>IF(B16="出让",IF(D17="","",ROUNDDOWN(MIN((D17-$D$3)/365,D18),2)),D18)</f>
        <v>61.68</v>
      </c>
      <c r="E19" s="1665">
        <f>IF(B16="出让",IF(E17="","",ROUNDDOWN(MIN((E17-$D$3)/365,E18),2)),E18)</f>
        <v>31.66</v>
      </c>
      <c r="F19" s="1665">
        <f>IF(B16="出让",IF(F17="","",ROUNDDOWN(MIN((F17-$D$3)/365,F18),2)),F18)</f>
        <v>41.67</v>
      </c>
      <c r="G19" s="1665">
        <f>IF(B16="出让",IF(G17="","",ROUNDDOWN(MIN((G17-$D$3)/365,G18),2)),G18)</f>
        <v>41.67</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2052</v>
      </c>
      <c r="D20" s="3269"/>
      <c r="E20" s="3270"/>
      <c r="F20" s="3270"/>
      <c r="G20" s="3270"/>
      <c r="H20" s="3270"/>
      <c r="I20" s="3271"/>
      <c r="J20" s="1674"/>
      <c r="K20" s="1754"/>
      <c r="L20" s="1703"/>
      <c r="M20" s="1703"/>
      <c r="N20" s="1674"/>
      <c r="O20" s="1675"/>
      <c r="P20" s="1674"/>
      <c r="Q20" s="1674"/>
      <c r="R20" s="1674"/>
      <c r="S20" s="1674"/>
      <c r="T20" s="1674"/>
      <c r="U20" s="1674"/>
    </row>
    <row r="21" spans="1:21">
      <c r="A21" s="1743" t="s">
        <v>1950</v>
      </c>
      <c r="B21" s="1744" t="s">
        <v>1951</v>
      </c>
      <c r="C21" s="1739">
        <f>'数据-汇总表'!E3</f>
        <v>472085.52</v>
      </c>
      <c r="D21" s="1740" t="s">
        <v>1952</v>
      </c>
      <c r="E21" s="3259" t="s">
        <v>1990</v>
      </c>
      <c r="F21" s="3260"/>
      <c r="G21" s="3260"/>
      <c r="H21" s="3260"/>
      <c r="I21" s="3261"/>
      <c r="J21" s="1674"/>
      <c r="K21" s="1754"/>
      <c r="L21" s="1703"/>
      <c r="M21" s="1703"/>
      <c r="N21" s="1674"/>
      <c r="O21" s="1675"/>
      <c r="P21" s="1674"/>
      <c r="Q21" s="1674"/>
      <c r="R21" s="1674"/>
      <c r="S21" s="1674"/>
      <c r="T21" s="1674"/>
      <c r="U21" s="1674"/>
    </row>
    <row r="22" spans="1:21">
      <c r="A22" s="2947" t="s">
        <v>949</v>
      </c>
      <c r="B22" s="1641" t="s">
        <v>1953</v>
      </c>
      <c r="C22" s="1666">
        <f>'数据-汇总表'!D3</f>
        <v>177193.01</v>
      </c>
      <c r="D22" s="1667" t="s">
        <v>1952</v>
      </c>
      <c r="E22" s="3259" t="s">
        <v>2882</v>
      </c>
      <c r="F22" s="3260"/>
      <c r="G22" s="3260"/>
      <c r="H22" s="3260"/>
      <c r="I22" s="3261"/>
      <c r="J22" s="1674"/>
      <c r="K22" s="1754"/>
      <c r="L22" s="1703"/>
      <c r="M22" s="1703"/>
      <c r="N22" s="1674"/>
      <c r="O22" s="1675"/>
      <c r="P22" s="1674"/>
      <c r="Q22" s="1674"/>
      <c r="R22" s="1674"/>
      <c r="S22" s="1674"/>
      <c r="T22" s="1674"/>
      <c r="U22" s="1674"/>
    </row>
    <row r="23" spans="1:21" ht="43.5" thickBot="1">
      <c r="A23" s="1745" t="s">
        <v>1954</v>
      </c>
      <c r="B23" s="1681" t="s">
        <v>1955</v>
      </c>
      <c r="C23" s="1682"/>
      <c r="D23" s="1683" t="s">
        <v>1956</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1957</v>
      </c>
      <c r="B24" s="3262" t="s">
        <v>1958</v>
      </c>
      <c r="C24" s="3263"/>
      <c r="D24" s="3264" t="s">
        <v>1959</v>
      </c>
      <c r="E24" s="3265"/>
      <c r="F24" s="1688" t="s">
        <v>1960</v>
      </c>
      <c r="G24" s="1674"/>
      <c r="H24" s="1674"/>
      <c r="I24" s="1687"/>
      <c r="J24" s="1674"/>
      <c r="K24" s="3250" t="s">
        <v>1961</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2316</v>
      </c>
      <c r="C25" s="1689" t="s">
        <v>1962</v>
      </c>
      <c r="D25" s="1690"/>
      <c r="E25" s="1691" t="s">
        <v>949</v>
      </c>
      <c r="F25" s="1692"/>
      <c r="G25" s="1674"/>
      <c r="H25" s="1674"/>
      <c r="I25" s="1687"/>
      <c r="J25" s="1674"/>
      <c r="K25" s="3250"/>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1963</v>
      </c>
      <c r="C26" s="1689" t="s">
        <v>2317</v>
      </c>
      <c r="D26" s="1640"/>
      <c r="E26" s="1640"/>
      <c r="F26" s="1668"/>
      <c r="G26" s="1674"/>
      <c r="H26" s="1674"/>
      <c r="I26" s="1687"/>
      <c r="J26" s="1674"/>
      <c r="K26" s="3250"/>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1964</v>
      </c>
      <c r="B27" s="1733" t="s">
        <v>1965</v>
      </c>
      <c r="C27" s="1693"/>
      <c r="D27" s="2611" t="s">
        <v>1965</v>
      </c>
      <c r="E27" s="1694"/>
      <c r="F27" s="1668"/>
      <c r="G27" s="1674"/>
      <c r="H27" s="1674"/>
      <c r="I27" s="1687"/>
      <c r="J27" s="1674"/>
      <c r="K27" s="1754"/>
      <c r="L27" s="1703"/>
      <c r="M27" s="1703"/>
      <c r="N27" s="1674"/>
      <c r="O27" s="1675"/>
      <c r="P27" s="1674"/>
      <c r="Q27" s="1674"/>
      <c r="R27" s="1674"/>
      <c r="S27" s="1674"/>
      <c r="T27" s="1674"/>
      <c r="U27" s="1674"/>
    </row>
    <row r="28" spans="1:21">
      <c r="A28" s="1736"/>
      <c r="B28" s="1733" t="s">
        <v>1966</v>
      </c>
      <c r="C28" s="1695"/>
      <c r="D28" s="2612" t="s">
        <v>1966</v>
      </c>
      <c r="E28" s="1696"/>
      <c r="F28" s="1668"/>
      <c r="G28" s="1674"/>
      <c r="H28" s="1674"/>
      <c r="I28" s="1687"/>
      <c r="J28" s="1674"/>
      <c r="K28" s="1754"/>
      <c r="L28" s="1703"/>
      <c r="M28" s="1703"/>
      <c r="N28" s="1674"/>
      <c r="O28" s="1675"/>
      <c r="P28" s="1674"/>
      <c r="Q28" s="1674"/>
      <c r="R28" s="1674"/>
      <c r="S28" s="1674"/>
      <c r="T28" s="1674"/>
      <c r="U28" s="1674"/>
    </row>
    <row r="29" spans="1:21">
      <c r="A29" s="1736"/>
      <c r="B29" s="1733" t="s">
        <v>1967</v>
      </c>
      <c r="C29" s="1695"/>
      <c r="D29" s="2612" t="s">
        <v>1967</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1968</v>
      </c>
      <c r="C30" s="1697"/>
      <c r="D30" s="2613" t="s">
        <v>1968</v>
      </c>
      <c r="E30" s="1698"/>
      <c r="F30" s="1669"/>
      <c r="G30" s="1722"/>
      <c r="H30" s="1722"/>
      <c r="I30" s="1723"/>
      <c r="J30" s="1674"/>
      <c r="K30" s="1754"/>
      <c r="L30" s="1703"/>
      <c r="M30" s="1703"/>
      <c r="N30" s="1674"/>
      <c r="O30" s="1675"/>
      <c r="P30" s="1674"/>
      <c r="Q30" s="1674"/>
      <c r="R30" s="1674"/>
      <c r="S30" s="1674"/>
      <c r="T30" s="1674"/>
      <c r="U30" s="1674"/>
    </row>
    <row r="31" spans="1:21" ht="15" thickTop="1">
      <c r="A31" s="3277" t="s">
        <v>1993</v>
      </c>
      <c r="B31" s="1744" t="s">
        <v>1994</v>
      </c>
      <c r="C31" s="3275"/>
      <c r="D31" s="3276"/>
      <c r="E31" s="1674"/>
      <c r="F31" s="1674"/>
      <c r="G31" s="1674"/>
      <c r="H31" s="1674"/>
      <c r="I31" s="1687"/>
      <c r="J31" s="1674"/>
      <c r="K31" s="2418"/>
      <c r="L31" s="1674"/>
      <c r="M31" s="1674"/>
      <c r="N31" s="1674"/>
      <c r="O31" s="1674"/>
      <c r="P31" s="1674"/>
      <c r="Q31" s="1674"/>
      <c r="R31" s="1674"/>
      <c r="S31" s="1674"/>
      <c r="T31" s="1674"/>
      <c r="U31" s="1674"/>
    </row>
    <row r="32" spans="1:21">
      <c r="A32" s="3277"/>
      <c r="B32" s="1641" t="s">
        <v>1995</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77"/>
      <c r="B33" s="1641" t="s">
        <v>1996</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78"/>
      <c r="B34" s="1641" t="s">
        <v>1997</v>
      </c>
      <c r="C34" s="3279"/>
      <c r="D34" s="3280"/>
      <c r="E34" s="1674"/>
      <c r="F34" s="1674"/>
      <c r="G34" s="1674"/>
      <c r="H34" s="1674"/>
      <c r="I34" s="1687"/>
      <c r="J34" s="1674"/>
      <c r="K34" s="2418"/>
      <c r="L34" s="1674"/>
      <c r="M34" s="1674"/>
      <c r="N34" s="1674"/>
      <c r="O34" s="1674"/>
      <c r="P34" s="1674"/>
      <c r="Q34" s="1674"/>
      <c r="R34" s="1674"/>
      <c r="S34" s="1674"/>
      <c r="T34" s="1674"/>
      <c r="U34" s="1674"/>
    </row>
    <row r="35" spans="1:21">
      <c r="A35" s="3281" t="s">
        <v>844</v>
      </c>
      <c r="B35" s="1702"/>
      <c r="C35" s="1756" t="str">
        <f>IF(B35="场地平整","——","具体情况：")</f>
        <v>具体情况：</v>
      </c>
      <c r="D35" s="3283"/>
      <c r="E35" s="3284"/>
      <c r="F35" s="3284"/>
      <c r="G35" s="3284"/>
      <c r="H35" s="3284"/>
      <c r="I35" s="3285"/>
      <c r="J35" s="1674"/>
      <c r="K35" s="1755"/>
      <c r="L35" s="1703"/>
      <c r="M35" s="1703"/>
      <c r="N35" s="1674"/>
      <c r="O35" s="1675"/>
      <c r="P35" s="1674"/>
      <c r="Q35" s="1674"/>
      <c r="R35" s="1674"/>
      <c r="S35" s="1674"/>
      <c r="T35" s="1674"/>
      <c r="U35" s="1674"/>
    </row>
    <row r="36" spans="1:21">
      <c r="A36" s="3277"/>
      <c r="B36" s="3286" t="s">
        <v>2046</v>
      </c>
      <c r="C36" s="3287"/>
      <c r="D36" s="1772"/>
      <c r="E36" s="3288"/>
      <c r="F36" s="3288"/>
      <c r="G36" s="1667" t="str">
        <f>IF(B35="场地未平整","估价结果处理","")</f>
        <v/>
      </c>
      <c r="H36" s="3289"/>
      <c r="I36" s="3289"/>
      <c r="J36" s="1674"/>
      <c r="K36" s="1755"/>
      <c r="L36" s="1703"/>
      <c r="M36" s="1703"/>
      <c r="N36" s="1674"/>
      <c r="O36" s="1675"/>
      <c r="P36" s="1674"/>
      <c r="Q36" s="1674"/>
      <c r="R36" s="1674"/>
      <c r="S36" s="1674"/>
      <c r="T36" s="1674"/>
      <c r="U36" s="1674"/>
    </row>
    <row r="37" spans="1:21" ht="28.5">
      <c r="A37" s="3277"/>
      <c r="B37" s="3266" t="s">
        <v>845</v>
      </c>
      <c r="C37" s="1704" t="s">
        <v>846</v>
      </c>
      <c r="D37" s="1705"/>
      <c r="E37" s="1706"/>
      <c r="F37" s="1674"/>
      <c r="G37" s="1674"/>
      <c r="H37" s="1674"/>
      <c r="I37" s="1687"/>
      <c r="J37" s="1674"/>
      <c r="K37" s="1755"/>
      <c r="L37" s="1674"/>
      <c r="M37" s="1674"/>
      <c r="N37" s="1674"/>
      <c r="O37" s="1674"/>
      <c r="P37" s="1674"/>
      <c r="Q37" s="1674"/>
      <c r="R37" s="1674"/>
      <c r="S37" s="1674"/>
      <c r="T37" s="1674"/>
      <c r="U37" s="1674"/>
    </row>
    <row r="38" spans="1:21">
      <c r="A38" s="3277"/>
      <c r="B38" s="3267"/>
      <c r="C38" s="1649" t="s">
        <v>847</v>
      </c>
      <c r="D38" s="1771">
        <f>ROUNDDOWN(MIN(('数据-取费表'!$B$2-D37)/365,D34),1)</f>
        <v>120.6</v>
      </c>
      <c r="E38" s="1707" t="s">
        <v>848</v>
      </c>
      <c r="F38" s="1674"/>
      <c r="G38" s="1674"/>
      <c r="H38" s="1674"/>
      <c r="I38" s="1687"/>
      <c r="J38" s="1674"/>
      <c r="K38" s="1755"/>
      <c r="L38" s="1674"/>
      <c r="M38" s="1674"/>
      <c r="N38" s="1674"/>
      <c r="O38" s="1674"/>
      <c r="P38" s="1674"/>
      <c r="Q38" s="1674"/>
      <c r="R38" s="1674"/>
      <c r="S38" s="1674"/>
      <c r="T38" s="1674"/>
      <c r="U38" s="1674"/>
    </row>
    <row r="39" spans="1:21">
      <c r="A39" s="3278"/>
      <c r="B39" s="3268"/>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1969</v>
      </c>
      <c r="B40" s="1670"/>
      <c r="C40" s="1670"/>
      <c r="D40" s="1670"/>
      <c r="E40" s="1670"/>
      <c r="F40" s="1670"/>
      <c r="G40" s="1670"/>
      <c r="H40" s="1670"/>
      <c r="I40" s="1687"/>
      <c r="J40" s="1674"/>
      <c r="K40" s="1710">
        <f>COUNTIF(B40:H40,"——")</f>
        <v>0</v>
      </c>
      <c r="L40" s="1679" t="s">
        <v>1970</v>
      </c>
      <c r="M40" s="1676" t="s">
        <v>1971</v>
      </c>
      <c r="N40" s="1676" t="s">
        <v>1972</v>
      </c>
      <c r="O40" s="1676" t="s">
        <v>1973</v>
      </c>
      <c r="P40" s="1676" t="s">
        <v>1974</v>
      </c>
      <c r="Q40" s="1676" t="s">
        <v>1975</v>
      </c>
      <c r="R40" s="1676" t="s">
        <v>1976</v>
      </c>
      <c r="S40" s="3249" t="s">
        <v>1977</v>
      </c>
      <c r="T40" s="1711" t="str">
        <f>NUMBERSTRING(7-K40,1)&amp;"通"</f>
        <v>七通</v>
      </c>
      <c r="U40" s="1674"/>
    </row>
    <row r="41" spans="1:21">
      <c r="A41" s="1643"/>
      <c r="B41" s="3282" t="s">
        <v>1715</v>
      </c>
      <c r="C41" s="3282"/>
      <c r="D41" s="3282"/>
      <c r="E41" s="3282"/>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49"/>
      <c r="T41" s="1713" t="str">
        <f>IF(T40="一通",L41,IF(T40="二通",M41,IF(T40="三通",N41,IF(T40="四通",O41,IF(T40="五通",P41,IF(T40="六通",Q41,R41))))))</f>
        <v>、、、、、、</v>
      </c>
      <c r="U41" s="1674"/>
    </row>
    <row r="42" spans="1:21">
      <c r="A42" s="1715"/>
      <c r="B42" s="1746" t="s">
        <v>1891</v>
      </c>
      <c r="C42" s="1746" t="s">
        <v>1892</v>
      </c>
      <c r="D42" s="1746" t="s">
        <v>1893</v>
      </c>
      <c r="E42" s="1679" t="s">
        <v>1894</v>
      </c>
      <c r="F42" s="1716"/>
      <c r="G42" s="1674"/>
      <c r="H42" s="1674"/>
      <c r="I42" s="1687"/>
      <c r="J42" s="1674"/>
      <c r="K42" s="1754"/>
      <c r="L42" s="1703"/>
      <c r="M42" s="1703"/>
      <c r="N42" s="1674"/>
      <c r="O42" s="1675"/>
      <c r="P42" s="1674"/>
      <c r="Q42" s="1674"/>
      <c r="R42" s="1674"/>
      <c r="S42" s="1674"/>
      <c r="T42" s="1674"/>
      <c r="U42" s="1674"/>
    </row>
    <row r="43" spans="1:21">
      <c r="A43" s="1717" t="s">
        <v>1700</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1701</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2897" customFormat="1" ht="21" thickBot="1">
      <c r="A45" s="2898" t="s">
        <v>2883</v>
      </c>
      <c r="B45" s="2893"/>
      <c r="C45" s="2893"/>
      <c r="D45" s="2893"/>
      <c r="E45" s="2893"/>
      <c r="F45" s="2893"/>
      <c r="G45" s="2893"/>
      <c r="H45" s="2893"/>
      <c r="I45" s="2894"/>
      <c r="J45" s="2893"/>
      <c r="K45" s="2895"/>
      <c r="L45" s="2896"/>
      <c r="M45" s="2896"/>
      <c r="N45" s="2893"/>
      <c r="O45" s="2894"/>
      <c r="P45" s="2893"/>
      <c r="Q45" s="2893"/>
      <c r="R45" s="2893"/>
      <c r="S45" s="2893"/>
      <c r="T45" s="2893"/>
      <c r="U45" s="2893"/>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1998</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1999</v>
      </c>
      <c r="B48" s="1666" t="s">
        <v>2000</v>
      </c>
      <c r="C48" s="1666" t="s">
        <v>2001</v>
      </c>
      <c r="D48" s="1666" t="s">
        <v>2002</v>
      </c>
      <c r="E48" s="1666" t="s">
        <v>2003</v>
      </c>
      <c r="F48" s="1666" t="s">
        <v>2004</v>
      </c>
      <c r="G48" s="1666" t="s">
        <v>2005</v>
      </c>
      <c r="H48" s="1666" t="s">
        <v>2006</v>
      </c>
      <c r="I48" s="1666" t="s">
        <v>2007</v>
      </c>
      <c r="J48" s="1752" t="s">
        <v>2008</v>
      </c>
      <c r="K48" s="1746" t="s">
        <v>2009</v>
      </c>
      <c r="L48" s="1746" t="s">
        <v>2010</v>
      </c>
      <c r="M48" s="1746" t="s">
        <v>2011</v>
      </c>
      <c r="N48" s="1666" t="s">
        <v>2012</v>
      </c>
      <c r="O48" s="1666" t="s">
        <v>2013</v>
      </c>
      <c r="P48" s="1666" t="s">
        <v>2014</v>
      </c>
      <c r="Q48" s="1679" t="s">
        <v>2015</v>
      </c>
      <c r="R48" s="1679" t="s">
        <v>2016</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5" sqref="I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375" style="15" customWidth="1"/>
    <col min="10" max="10" width="9.5" style="15" customWidth="1"/>
    <col min="11" max="11" width="11" style="15" customWidth="1"/>
    <col min="12" max="12" width="9.5" style="15" customWidth="1"/>
    <col min="13" max="13" width="12"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customWidth="1"/>
    <col min="40" max="40" width="12.12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2324</v>
      </c>
      <c r="BA2" s="2321" t="s">
        <v>2323</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64929.45+112263.56</f>
        <v>177193.01</v>
      </c>
      <c r="B3" s="22">
        <f>IF(C3="否",G5-AT5,G5)</f>
        <v>472085.52</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472085.52</v>
      </c>
      <c r="H5" s="27">
        <f t="shared" ref="H5:AT5" si="0">SUM(H13:H641)</f>
        <v>434352.25</v>
      </c>
      <c r="I5" s="27">
        <f t="shared" si="0"/>
        <v>195457.31999999998</v>
      </c>
      <c r="J5" s="27">
        <f t="shared" si="0"/>
        <v>0</v>
      </c>
      <c r="K5" s="27">
        <f t="shared" si="0"/>
        <v>41200.360000000008</v>
      </c>
      <c r="L5" s="27">
        <f t="shared" si="0"/>
        <v>0</v>
      </c>
      <c r="M5" s="27">
        <f t="shared" si="0"/>
        <v>13269.76</v>
      </c>
      <c r="N5" s="27">
        <f t="shared" si="0"/>
        <v>0</v>
      </c>
      <c r="O5" s="27">
        <f t="shared" si="0"/>
        <v>11647.55</v>
      </c>
      <c r="P5" s="27">
        <f t="shared" si="0"/>
        <v>0</v>
      </c>
      <c r="Q5" s="27">
        <f t="shared" si="0"/>
        <v>55077.55</v>
      </c>
      <c r="R5" s="27">
        <f t="shared" si="0"/>
        <v>0</v>
      </c>
      <c r="S5" s="27">
        <f t="shared" si="0"/>
        <v>109970</v>
      </c>
      <c r="T5" s="27">
        <f t="shared" si="0"/>
        <v>0</v>
      </c>
      <c r="U5" s="27">
        <f t="shared" si="0"/>
        <v>7729.71</v>
      </c>
      <c r="V5" s="27">
        <f t="shared" si="0"/>
        <v>0</v>
      </c>
      <c r="W5" s="27">
        <f t="shared" si="0"/>
        <v>0</v>
      </c>
      <c r="X5" s="27">
        <f t="shared" si="0"/>
        <v>0</v>
      </c>
      <c r="Y5" s="27">
        <f t="shared" si="0"/>
        <v>0</v>
      </c>
      <c r="Z5" s="27">
        <f t="shared" si="0"/>
        <v>0</v>
      </c>
      <c r="AA5" s="27">
        <f t="shared" si="0"/>
        <v>0</v>
      </c>
      <c r="AB5" s="27">
        <f t="shared" si="0"/>
        <v>0</v>
      </c>
      <c r="AC5" s="27">
        <f t="shared" si="0"/>
        <v>37733.270000000011</v>
      </c>
      <c r="AD5" s="27">
        <f t="shared" si="0"/>
        <v>6935.72</v>
      </c>
      <c r="AE5" s="27">
        <f t="shared" si="0"/>
        <v>0</v>
      </c>
      <c r="AF5" s="27">
        <f t="shared" si="0"/>
        <v>0</v>
      </c>
      <c r="AG5" s="27">
        <f t="shared" si="0"/>
        <v>0</v>
      </c>
      <c r="AH5" s="27">
        <f t="shared" si="0"/>
        <v>0</v>
      </c>
      <c r="AI5" s="27">
        <f t="shared" si="0"/>
        <v>0</v>
      </c>
      <c r="AJ5" s="27">
        <f t="shared" si="0"/>
        <v>0</v>
      </c>
      <c r="AK5" s="27">
        <f t="shared" si="0"/>
        <v>0</v>
      </c>
      <c r="AL5" s="27">
        <f t="shared" si="0"/>
        <v>4566.88</v>
      </c>
      <c r="AM5" s="27">
        <f t="shared" si="0"/>
        <v>0</v>
      </c>
      <c r="AN5" s="27">
        <f t="shared" si="0"/>
        <v>26230.670000000013</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472085.52</v>
      </c>
      <c r="BA5" s="29">
        <f t="shared" si="1"/>
        <v>434352.25</v>
      </c>
      <c r="BB5" s="29">
        <f t="shared" si="1"/>
        <v>195457.31999999998</v>
      </c>
      <c r="BC5" s="29">
        <f t="shared" si="1"/>
        <v>41200.360000000008</v>
      </c>
      <c r="BD5" s="29">
        <f t="shared" si="1"/>
        <v>13269.76</v>
      </c>
      <c r="BE5" s="29">
        <f t="shared" si="1"/>
        <v>11647.55</v>
      </c>
      <c r="BF5" s="29">
        <f t="shared" si="1"/>
        <v>55077.55</v>
      </c>
      <c r="BG5" s="29">
        <f t="shared" si="1"/>
        <v>109970</v>
      </c>
      <c r="BH5" s="29">
        <f t="shared" si="1"/>
        <v>7729.71</v>
      </c>
      <c r="BI5" s="29">
        <f t="shared" si="1"/>
        <v>0</v>
      </c>
      <c r="BJ5" s="29">
        <f t="shared" si="1"/>
        <v>0</v>
      </c>
      <c r="BK5" s="29">
        <f t="shared" si="1"/>
        <v>0</v>
      </c>
      <c r="BL5" s="29">
        <f t="shared" si="1"/>
        <v>37733.270000000011</v>
      </c>
      <c r="BM5" s="29">
        <f t="shared" si="1"/>
        <v>6935.72</v>
      </c>
      <c r="BN5" s="29">
        <f t="shared" si="1"/>
        <v>0</v>
      </c>
      <c r="BO5" s="29">
        <f t="shared" si="1"/>
        <v>0</v>
      </c>
      <c r="BP5" s="29">
        <f t="shared" si="1"/>
        <v>0</v>
      </c>
      <c r="BQ5" s="29">
        <f t="shared" si="1"/>
        <v>4566.88</v>
      </c>
      <c r="BR5" s="29">
        <f t="shared" si="1"/>
        <v>26230.670000000013</v>
      </c>
      <c r="BS5" s="29">
        <f t="shared" si="1"/>
        <v>0</v>
      </c>
      <c r="BT5" s="30">
        <f t="shared" si="1"/>
        <v>0</v>
      </c>
    </row>
    <row r="6" spans="1:72" s="37" customFormat="1" ht="12.75">
      <c r="A6" s="26" t="s">
        <v>169</v>
      </c>
      <c r="B6" s="31"/>
      <c r="C6" s="31"/>
      <c r="D6" s="32"/>
      <c r="E6" s="27">
        <f>H6+AC6+AT6</f>
        <v>177193.00999999998</v>
      </c>
      <c r="F6" s="27" t="s">
        <v>1</v>
      </c>
      <c r="G6" s="27" t="s">
        <v>2</v>
      </c>
      <c r="H6" s="33">
        <f>SUMIF(I$12:AB$12,"总值",I6:AB6)</f>
        <v>163030.16999999998</v>
      </c>
      <c r="I6" s="27">
        <f t="shared" ref="I6:AB6" si="2">ROUND($A$3*I5/$B$3,2)</f>
        <v>73363.13</v>
      </c>
      <c r="J6" s="27">
        <f t="shared" si="2"/>
        <v>0</v>
      </c>
      <c r="K6" s="27">
        <f t="shared" si="2"/>
        <v>15464.18</v>
      </c>
      <c r="L6" s="27">
        <f t="shared" si="2"/>
        <v>0</v>
      </c>
      <c r="M6" s="27">
        <f t="shared" si="2"/>
        <v>4980.68</v>
      </c>
      <c r="N6" s="27">
        <f t="shared" si="2"/>
        <v>0</v>
      </c>
      <c r="O6" s="27">
        <f t="shared" si="2"/>
        <v>4371.8</v>
      </c>
      <c r="P6" s="27">
        <f t="shared" si="2"/>
        <v>0</v>
      </c>
      <c r="Q6" s="27">
        <f t="shared" si="2"/>
        <v>20672.86</v>
      </c>
      <c r="R6" s="27">
        <f t="shared" si="2"/>
        <v>0</v>
      </c>
      <c r="S6" s="27">
        <f t="shared" si="2"/>
        <v>41276.239999999998</v>
      </c>
      <c r="T6" s="27">
        <f t="shared" si="2"/>
        <v>0</v>
      </c>
      <c r="U6" s="27">
        <f t="shared" si="2"/>
        <v>2901.28</v>
      </c>
      <c r="V6" s="27">
        <f t="shared" si="2"/>
        <v>0</v>
      </c>
      <c r="W6" s="27">
        <f t="shared" si="2"/>
        <v>0</v>
      </c>
      <c r="X6" s="27">
        <f t="shared" si="2"/>
        <v>0</v>
      </c>
      <c r="Y6" s="27">
        <f t="shared" si="2"/>
        <v>0</v>
      </c>
      <c r="Z6" s="27">
        <f t="shared" si="2"/>
        <v>0</v>
      </c>
      <c r="AA6" s="27">
        <f t="shared" si="2"/>
        <v>0</v>
      </c>
      <c r="AB6" s="27">
        <f t="shared" si="2"/>
        <v>0</v>
      </c>
      <c r="AC6" s="33">
        <f>SUMIF(AD$12:AS$12,"总值",AD6:AS6)</f>
        <v>14162.84</v>
      </c>
      <c r="AD6" s="27">
        <f t="shared" ref="AD6:AS6" si="3">ROUND($A$3*AD5/$B$3,2)</f>
        <v>2603.2600000000002</v>
      </c>
      <c r="AE6" s="27">
        <f t="shared" si="3"/>
        <v>0</v>
      </c>
      <c r="AF6" s="27">
        <f t="shared" si="3"/>
        <v>0</v>
      </c>
      <c r="AG6" s="27">
        <f t="shared" si="3"/>
        <v>0</v>
      </c>
      <c r="AH6" s="27">
        <f t="shared" si="3"/>
        <v>0</v>
      </c>
      <c r="AI6" s="27">
        <f t="shared" si="3"/>
        <v>0</v>
      </c>
      <c r="AJ6" s="27">
        <f t="shared" si="3"/>
        <v>0</v>
      </c>
      <c r="AK6" s="27">
        <f t="shared" si="3"/>
        <v>0</v>
      </c>
      <c r="AL6" s="27">
        <f t="shared" si="3"/>
        <v>1714.14</v>
      </c>
      <c r="AM6" s="27">
        <f t="shared" si="3"/>
        <v>0</v>
      </c>
      <c r="AN6" s="27">
        <f t="shared" si="3"/>
        <v>9845.44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177193.01</v>
      </c>
      <c r="AZ6" s="27" t="s">
        <v>3</v>
      </c>
      <c r="BA6" s="27">
        <f>ROUND($AY$6*BA5/$AZ$5,2)</f>
        <v>163030.17000000001</v>
      </c>
      <c r="BB6" s="27">
        <f>ROUND($AY$6*BB5/$AZ$5,2)</f>
        <v>73363.13</v>
      </c>
      <c r="BC6" s="27">
        <f t="shared" ref="BC6:BH6" si="4">ROUND($AY$6*BC5/$AZ$5,2)</f>
        <v>15464.18</v>
      </c>
      <c r="BD6" s="27">
        <f t="shared" si="4"/>
        <v>4980.68</v>
      </c>
      <c r="BE6" s="27">
        <f t="shared" si="4"/>
        <v>4371.8</v>
      </c>
      <c r="BF6" s="27">
        <f t="shared" si="4"/>
        <v>20672.86</v>
      </c>
      <c r="BG6" s="27">
        <f t="shared" si="4"/>
        <v>41276.239999999998</v>
      </c>
      <c r="BH6" s="27">
        <f t="shared" si="4"/>
        <v>2901.28</v>
      </c>
      <c r="BI6" s="27">
        <f t="shared" ref="BI6:BT6" si="5">ROUND($AY$6*BI5/$AZ$5,2)</f>
        <v>0</v>
      </c>
      <c r="BJ6" s="27">
        <f t="shared" si="5"/>
        <v>0</v>
      </c>
      <c r="BK6" s="27">
        <f t="shared" si="5"/>
        <v>0</v>
      </c>
      <c r="BL6" s="27">
        <f t="shared" si="5"/>
        <v>14162.84</v>
      </c>
      <c r="BM6" s="27">
        <f t="shared" si="5"/>
        <v>2603.2600000000002</v>
      </c>
      <c r="BN6" s="27">
        <f t="shared" si="5"/>
        <v>0</v>
      </c>
      <c r="BO6" s="27">
        <f t="shared" si="5"/>
        <v>0</v>
      </c>
      <c r="BP6" s="27">
        <f t="shared" si="5"/>
        <v>0</v>
      </c>
      <c r="BQ6" s="27">
        <f t="shared" si="5"/>
        <v>1714.14</v>
      </c>
      <c r="BR6" s="27">
        <f t="shared" si="5"/>
        <v>9845.44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8"/>
      <c r="AT8" s="2309" t="s">
        <v>852</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850" t="s">
        <v>2998</v>
      </c>
      <c r="J9" s="51"/>
      <c r="K9" s="2850" t="s">
        <v>2998</v>
      </c>
      <c r="L9" s="51"/>
      <c r="M9" s="2850" t="s">
        <v>2998</v>
      </c>
      <c r="N9" s="51"/>
      <c r="O9" s="59" t="s">
        <v>2998</v>
      </c>
      <c r="P9" s="51"/>
      <c r="Q9" s="59" t="s">
        <v>2998</v>
      </c>
      <c r="R9" s="51"/>
      <c r="S9" s="59" t="s">
        <v>2999</v>
      </c>
      <c r="T9" s="51"/>
      <c r="U9" s="59" t="s">
        <v>2998</v>
      </c>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850" t="s">
        <v>920</v>
      </c>
      <c r="J10" s="51"/>
      <c r="K10" s="2852" t="s">
        <v>920</v>
      </c>
      <c r="L10" s="51"/>
      <c r="M10" s="2852" t="s">
        <v>920</v>
      </c>
      <c r="N10" s="51"/>
      <c r="O10" s="66" t="s">
        <v>2996</v>
      </c>
      <c r="P10" s="51"/>
      <c r="Q10" s="66" t="s">
        <v>1674</v>
      </c>
      <c r="R10" s="51"/>
      <c r="S10" s="66" t="s">
        <v>2997</v>
      </c>
      <c r="T10" s="51"/>
      <c r="U10" s="66" t="s">
        <v>920</v>
      </c>
      <c r="V10" s="51"/>
      <c r="W10" s="66"/>
      <c r="X10" s="51"/>
      <c r="Y10" s="66"/>
      <c r="Z10" s="51"/>
      <c r="AA10" s="66"/>
      <c r="AB10" s="51"/>
      <c r="AC10" s="55"/>
      <c r="AD10" s="2295" t="s">
        <v>2308</v>
      </c>
      <c r="AE10" s="2317"/>
      <c r="AF10" s="2295" t="s">
        <v>2308</v>
      </c>
      <c r="AG10" s="2317"/>
      <c r="AH10" s="2295" t="s">
        <v>2309</v>
      </c>
      <c r="AI10" s="2317"/>
      <c r="AJ10" s="26" t="s">
        <v>2322</v>
      </c>
      <c r="AK10" s="2314"/>
      <c r="AL10" s="2295" t="s">
        <v>2310</v>
      </c>
      <c r="AM10" s="2296"/>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地上</v>
      </c>
      <c r="BE10" s="69" t="str">
        <f>O9</f>
        <v>地上</v>
      </c>
      <c r="BF10" s="69" t="str">
        <f>Q9</f>
        <v>地上</v>
      </c>
      <c r="BG10" s="69" t="str">
        <f>S9</f>
        <v>地下</v>
      </c>
      <c r="BH10" s="69" t="str">
        <f>U9</f>
        <v>地上</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851"/>
      <c r="J11" s="71"/>
      <c r="K11" s="2851" t="s">
        <v>3013</v>
      </c>
      <c r="L11" s="71"/>
      <c r="M11" s="70" t="s">
        <v>3014</v>
      </c>
      <c r="N11" s="71"/>
      <c r="O11" s="70"/>
      <c r="P11" s="71"/>
      <c r="Q11" s="70"/>
      <c r="R11" s="71"/>
      <c r="S11" s="70"/>
      <c r="T11" s="71"/>
      <c r="U11" s="70"/>
      <c r="V11" s="71"/>
      <c r="W11" s="70"/>
      <c r="X11" s="71"/>
      <c r="Y11" s="70"/>
      <c r="Z11" s="71"/>
      <c r="AA11" s="70"/>
      <c r="AB11" s="71"/>
      <c r="AC11" s="55"/>
      <c r="AD11" s="2315" t="s">
        <v>2321</v>
      </c>
      <c r="AE11" s="1000"/>
      <c r="AF11" s="2315" t="s">
        <v>2321</v>
      </c>
      <c r="AG11" s="1000"/>
      <c r="AH11" s="2315" t="s">
        <v>2320</v>
      </c>
      <c r="AI11" s="2316"/>
      <c r="AJ11" s="2315" t="s">
        <v>2320</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住宅</v>
      </c>
      <c r="BD11" s="50" t="str">
        <f>M10</f>
        <v>住宅</v>
      </c>
      <c r="BE11" s="50" t="str">
        <f>O10</f>
        <v>商业</v>
      </c>
      <c r="BF11" s="50" t="str">
        <f>Q10</f>
        <v>办公</v>
      </c>
      <c r="BG11" s="50" t="str">
        <f>S10</f>
        <v>车库</v>
      </c>
      <c r="BH11" s="50" t="str">
        <f>U10</f>
        <v>住宅</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t="str">
        <f>K11</f>
        <v>叠拼</v>
      </c>
      <c r="BD12" s="79" t="str">
        <f>M11</f>
        <v>独栋</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845"/>
      <c r="B13" s="2845"/>
      <c r="C13" s="2845"/>
      <c r="D13" s="2846" t="s">
        <v>1675</v>
      </c>
      <c r="E13" s="27">
        <f t="shared" ref="E13:E20" si="6">IF($C$3="是",ROUND($A$3*G13/$B$3,2),ROUND($A$3*(G13-AT13)/$B$3,2))</f>
        <v>177193.01</v>
      </c>
      <c r="F13" s="81"/>
      <c r="G13" s="82">
        <f t="shared" ref="G13:G20" si="7">H13+AC13+AT13</f>
        <v>472085.52</v>
      </c>
      <c r="H13" s="33">
        <f t="shared" ref="H13:H20" si="8">SUMIF(I$12:AB$12,"总值",I13:AB13)</f>
        <v>434352.25</v>
      </c>
      <c r="I13" s="2849">
        <f>257657.15-K13-M13-U13</f>
        <v>195457.31999999998</v>
      </c>
      <c r="J13" s="2849"/>
      <c r="K13" s="2849">
        <f>Sheet1!E56</f>
        <v>41200.360000000008</v>
      </c>
      <c r="L13" s="2849"/>
      <c r="M13" s="2849">
        <f>Sheet1!F56</f>
        <v>13269.76</v>
      </c>
      <c r="N13" s="83"/>
      <c r="O13" s="83">
        <v>11647.55</v>
      </c>
      <c r="P13" s="83"/>
      <c r="Q13" s="83">
        <v>55077.55</v>
      </c>
      <c r="R13" s="83"/>
      <c r="S13" s="83">
        <v>109970</v>
      </c>
      <c r="T13" s="83"/>
      <c r="U13" s="83">
        <v>7729.71</v>
      </c>
      <c r="V13" s="83"/>
      <c r="W13" s="83"/>
      <c r="X13" s="83"/>
      <c r="Y13" s="83"/>
      <c r="Z13" s="83"/>
      <c r="AA13" s="83"/>
      <c r="AB13" s="83"/>
      <c r="AC13" s="27">
        <f t="shared" ref="AC13:AC20" si="9">SUMIF(AD$12:AS$12,"总值",AD13:AS13)</f>
        <v>37733.270000000011</v>
      </c>
      <c r="AD13" s="2853">
        <v>6935.72</v>
      </c>
      <c r="AE13" s="2853"/>
      <c r="AF13" s="2853"/>
      <c r="AG13" s="2853"/>
      <c r="AH13" s="2853"/>
      <c r="AI13" s="2853"/>
      <c r="AJ13" s="2853"/>
      <c r="AK13" s="2853"/>
      <c r="AL13" s="2853">
        <v>4566.88</v>
      </c>
      <c r="AM13" s="2853"/>
      <c r="AN13" s="2853">
        <f>136200.67-S13</f>
        <v>26230.670000000013</v>
      </c>
      <c r="AO13" s="2853"/>
      <c r="AP13" s="2853"/>
      <c r="AQ13" s="2853"/>
      <c r="AR13" s="2853"/>
      <c r="AS13" s="2853"/>
      <c r="AT13" s="2854"/>
      <c r="AU13" s="2855"/>
      <c r="AV13" s="17">
        <f t="shared" ref="AV13:AX20" si="10">A13</f>
        <v>0</v>
      </c>
      <c r="AW13" s="17">
        <f t="shared" si="10"/>
        <v>0</v>
      </c>
      <c r="AX13" s="17">
        <f t="shared" si="10"/>
        <v>0</v>
      </c>
      <c r="AY13" s="994">
        <f t="shared" ref="AY13:AY20" si="11">ROUND($AY$6*AZ13/$AZ$5,2)</f>
        <v>177193.01</v>
      </c>
      <c r="AZ13" s="27">
        <f t="shared" ref="AZ13:AZ20" si="12">BA13+BL13</f>
        <v>472085.52</v>
      </c>
      <c r="BA13" s="27">
        <f t="shared" ref="BA13:BA20" si="13">SUM(BB13:BK13)</f>
        <v>434352.25</v>
      </c>
      <c r="BB13" s="27">
        <f t="shared" ref="BB13:BB20" si="14">IF($D13="是",I13-J13,0)</f>
        <v>195457.31999999998</v>
      </c>
      <c r="BC13" s="27">
        <f t="shared" ref="BC13:BC20" si="15">IF($D13="是",K13-L13,0)</f>
        <v>41200.360000000008</v>
      </c>
      <c r="BD13" s="27">
        <f t="shared" ref="BD13:BD20" si="16">IF($D13="是",M13-N13,0)</f>
        <v>13269.76</v>
      </c>
      <c r="BE13" s="27">
        <f t="shared" ref="BE13:BE20" si="17">IF($D13="是",O13-P13,0)</f>
        <v>11647.55</v>
      </c>
      <c r="BF13" s="27">
        <f t="shared" ref="BF13:BF20" si="18">IF($D13="是",Q13-R13,0)</f>
        <v>55077.55</v>
      </c>
      <c r="BG13" s="27">
        <f t="shared" ref="BG13:BG20" si="19">IF($D13="是",S13-T13,0)</f>
        <v>109970</v>
      </c>
      <c r="BH13" s="27">
        <f t="shared" ref="BH13:BH20" si="20">IF($D13="是",U13-V13,0)</f>
        <v>7729.71</v>
      </c>
      <c r="BI13" s="27">
        <f t="shared" ref="BI13:BI20" si="21">IF($D13="是",W13-X13,0)</f>
        <v>0</v>
      </c>
      <c r="BJ13" s="27">
        <f t="shared" ref="BJ13:BJ20" si="22">IF($D13="是",Y13-Z13,0)</f>
        <v>0</v>
      </c>
      <c r="BK13" s="27">
        <f t="shared" ref="BK13:BK20" si="23">IF($D13="是",AA13-AB13,0)</f>
        <v>0</v>
      </c>
      <c r="BL13" s="27">
        <f t="shared" ref="BL13:BL20" si="24">SUM(BM13:BT13)</f>
        <v>37733.270000000011</v>
      </c>
      <c r="BM13" s="27">
        <f t="shared" ref="BM13:BM20" si="25">IF($D13="是",AD13-AE13,0)</f>
        <v>6935.72</v>
      </c>
      <c r="BN13" s="27">
        <f t="shared" ref="BN13:BN20" si="26">IF($D13="是",AF13-AG13,0)</f>
        <v>0</v>
      </c>
      <c r="BO13" s="27">
        <f t="shared" ref="BO13:BO20" si="27">IF($D13="是",AH13-AI13,0)</f>
        <v>0</v>
      </c>
      <c r="BP13" s="27">
        <f t="shared" ref="BP13:BP20" si="28">IF($D13="是",AJ13-AK13,0)</f>
        <v>0</v>
      </c>
      <c r="BQ13" s="27">
        <f t="shared" ref="BQ13:BQ20" si="29">IF($D13="是",AL13-AM13,0)</f>
        <v>4566.88</v>
      </c>
      <c r="BR13" s="27">
        <f t="shared" ref="BR13:BR20" si="30">IF($D13="是",AN13-AO13,0)</f>
        <v>26230.670000000013</v>
      </c>
      <c r="BS13" s="27">
        <f t="shared" ref="BS13:BS20" si="31">IF($D13="是",AP13-AQ13,0)</f>
        <v>0</v>
      </c>
      <c r="BT13" s="36">
        <f t="shared" ref="BT13:BT20" si="32">IF($D13="是",AR13-AS13,0)</f>
        <v>0</v>
      </c>
    </row>
    <row r="14" spans="1:72" s="18" customFormat="1" ht="12.75">
      <c r="A14" s="2845"/>
      <c r="B14" s="2845"/>
      <c r="C14" s="2847"/>
      <c r="D14" s="2846"/>
      <c r="E14" s="27">
        <f t="shared" si="6"/>
        <v>0</v>
      </c>
      <c r="F14" s="81"/>
      <c r="G14" s="82">
        <f t="shared" si="7"/>
        <v>0</v>
      </c>
      <c r="H14" s="33">
        <f t="shared" si="8"/>
        <v>0</v>
      </c>
      <c r="I14" s="2849"/>
      <c r="J14" s="2849"/>
      <c r="K14" s="2849"/>
      <c r="L14" s="2849"/>
      <c r="M14" s="2849"/>
      <c r="N14" s="83"/>
      <c r="O14" s="83"/>
      <c r="P14" s="83"/>
      <c r="Q14" s="83"/>
      <c r="R14" s="83"/>
      <c r="S14" s="83"/>
      <c r="T14" s="83"/>
      <c r="U14" s="83"/>
      <c r="V14" s="83"/>
      <c r="W14" s="83"/>
      <c r="X14" s="83"/>
      <c r="Y14" s="83"/>
      <c r="Z14" s="83"/>
      <c r="AA14" s="83"/>
      <c r="AB14" s="83"/>
      <c r="AC14" s="27">
        <f t="shared" si="9"/>
        <v>0</v>
      </c>
      <c r="AD14" s="2853"/>
      <c r="AE14" s="2853"/>
      <c r="AF14" s="2853"/>
      <c r="AG14" s="2853"/>
      <c r="AH14" s="2853"/>
      <c r="AI14" s="2853"/>
      <c r="AJ14" s="2853"/>
      <c r="AK14" s="2853"/>
      <c r="AL14" s="2853"/>
      <c r="AM14" s="2853"/>
      <c r="AN14" s="2853"/>
      <c r="AO14" s="2853"/>
      <c r="AP14" s="2853"/>
      <c r="AQ14" s="2853"/>
      <c r="AR14" s="2853"/>
      <c r="AS14" s="2853"/>
      <c r="AT14" s="2854"/>
      <c r="AU14" s="2855"/>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45"/>
      <c r="B15" s="2845"/>
      <c r="C15" s="2847"/>
      <c r="D15" s="2846"/>
      <c r="E15" s="27">
        <f t="shared" si="6"/>
        <v>0</v>
      </c>
      <c r="F15" s="81"/>
      <c r="G15" s="82">
        <f t="shared" si="7"/>
        <v>0</v>
      </c>
      <c r="H15" s="33">
        <f t="shared" si="8"/>
        <v>0</v>
      </c>
      <c r="I15" s="2849"/>
      <c r="J15" s="2849"/>
      <c r="K15" s="2849"/>
      <c r="L15" s="2849"/>
      <c r="M15" s="2849"/>
      <c r="N15" s="83"/>
      <c r="O15" s="83"/>
      <c r="P15" s="83"/>
      <c r="Q15" s="83"/>
      <c r="R15" s="83"/>
      <c r="S15" s="83"/>
      <c r="T15" s="83"/>
      <c r="U15" s="83"/>
      <c r="V15" s="83"/>
      <c r="W15" s="83"/>
      <c r="X15" s="83"/>
      <c r="Y15" s="83"/>
      <c r="Z15" s="83"/>
      <c r="AA15" s="83"/>
      <c r="AB15" s="83"/>
      <c r="AC15" s="27">
        <f t="shared" si="9"/>
        <v>0</v>
      </c>
      <c r="AD15" s="2853"/>
      <c r="AE15" s="2853"/>
      <c r="AF15" s="2853"/>
      <c r="AG15" s="2853"/>
      <c r="AH15" s="2853"/>
      <c r="AI15" s="2853"/>
      <c r="AJ15" s="2853"/>
      <c r="AK15" s="2853"/>
      <c r="AL15" s="2853"/>
      <c r="AM15" s="2853"/>
      <c r="AN15" s="2853"/>
      <c r="AO15" s="2853"/>
      <c r="AP15" s="2853"/>
      <c r="AQ15" s="2853"/>
      <c r="AR15" s="2853"/>
      <c r="AS15" s="2853"/>
      <c r="AT15" s="2854"/>
      <c r="AU15" s="2855"/>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5"/>
      <c r="B16" s="2845"/>
      <c r="C16" s="2847"/>
      <c r="D16" s="2846"/>
      <c r="E16" s="27">
        <f t="shared" si="6"/>
        <v>0</v>
      </c>
      <c r="F16" s="81"/>
      <c r="G16" s="82">
        <f t="shared" si="7"/>
        <v>0</v>
      </c>
      <c r="H16" s="33">
        <f t="shared" si="8"/>
        <v>0</v>
      </c>
      <c r="I16" s="2849"/>
      <c r="J16" s="2849"/>
      <c r="K16" s="2849"/>
      <c r="L16" s="2849"/>
      <c r="M16" s="2849"/>
      <c r="N16" s="83"/>
      <c r="O16" s="83"/>
      <c r="P16" s="83"/>
      <c r="Q16" s="83"/>
      <c r="R16" s="83"/>
      <c r="S16" s="83"/>
      <c r="T16" s="83"/>
      <c r="U16" s="83"/>
      <c r="V16" s="83"/>
      <c r="W16" s="83"/>
      <c r="X16" s="83"/>
      <c r="Y16" s="83"/>
      <c r="Z16" s="83"/>
      <c r="AA16" s="83"/>
      <c r="AB16" s="83"/>
      <c r="AC16" s="27">
        <f t="shared" si="9"/>
        <v>0</v>
      </c>
      <c r="AD16" s="2853"/>
      <c r="AE16" s="2853"/>
      <c r="AF16" s="2853"/>
      <c r="AG16" s="2853"/>
      <c r="AH16" s="2853"/>
      <c r="AI16" s="2853"/>
      <c r="AJ16" s="2853"/>
      <c r="AK16" s="2853"/>
      <c r="AL16" s="2853"/>
      <c r="AM16" s="2853"/>
      <c r="AN16" s="2853"/>
      <c r="AO16" s="2853"/>
      <c r="AP16" s="2853"/>
      <c r="AQ16" s="2853"/>
      <c r="AR16" s="2853"/>
      <c r="AS16" s="2853"/>
      <c r="AT16" s="2854"/>
      <c r="AU16" s="2855"/>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5"/>
      <c r="B17" s="2845"/>
      <c r="C17" s="2847"/>
      <c r="D17" s="2846"/>
      <c r="E17" s="27">
        <f t="shared" si="6"/>
        <v>0</v>
      </c>
      <c r="F17" s="81"/>
      <c r="G17" s="82">
        <f t="shared" si="7"/>
        <v>0</v>
      </c>
      <c r="H17" s="33">
        <f t="shared" si="8"/>
        <v>0</v>
      </c>
      <c r="I17" s="2849"/>
      <c r="J17" s="2849"/>
      <c r="K17" s="2849"/>
      <c r="L17" s="2849"/>
      <c r="M17" s="2849"/>
      <c r="N17" s="83"/>
      <c r="O17" s="83"/>
      <c r="P17" s="83"/>
      <c r="Q17" s="83"/>
      <c r="R17" s="83"/>
      <c r="S17" s="83"/>
      <c r="T17" s="83"/>
      <c r="U17" s="83"/>
      <c r="V17" s="83"/>
      <c r="W17" s="83"/>
      <c r="X17" s="83"/>
      <c r="Y17" s="83"/>
      <c r="Z17" s="83"/>
      <c r="AA17" s="83"/>
      <c r="AB17" s="83"/>
      <c r="AC17" s="27">
        <f t="shared" si="9"/>
        <v>0</v>
      </c>
      <c r="AD17" s="2853"/>
      <c r="AE17" s="2853"/>
      <c r="AF17" s="2853"/>
      <c r="AG17" s="2853"/>
      <c r="AH17" s="2853"/>
      <c r="AI17" s="2853"/>
      <c r="AJ17" s="2853"/>
      <c r="AK17" s="2853"/>
      <c r="AL17" s="2853"/>
      <c r="AM17" s="2853"/>
      <c r="AN17" s="2853"/>
      <c r="AO17" s="2853"/>
      <c r="AP17" s="2853"/>
      <c r="AQ17" s="2853"/>
      <c r="AR17" s="2853"/>
      <c r="AS17" s="2853"/>
      <c r="AT17" s="2854"/>
      <c r="AU17" s="2855"/>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48"/>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56"/>
  <sheetViews>
    <sheetView topLeftCell="A28" workbookViewId="0">
      <selection activeCell="H32" sqref="H32"/>
    </sheetView>
  </sheetViews>
  <sheetFormatPr defaultColWidth="9" defaultRowHeight="13.5"/>
  <cols>
    <col min="1" max="3" width="9" style="1775"/>
    <col min="4" max="4" width="10.5" style="1775" customWidth="1"/>
    <col min="5" max="5" width="10.75" style="1775" customWidth="1"/>
    <col min="6" max="6" width="11.125" style="1775" customWidth="1"/>
    <col min="7" max="9" width="10.375" style="1775" customWidth="1"/>
    <col min="10" max="16384" width="9" style="1775"/>
  </cols>
  <sheetData>
    <row r="1" spans="1:5">
      <c r="A1" s="3181" t="s">
        <v>3000</v>
      </c>
    </row>
    <row r="2" spans="1:5">
      <c r="B2" s="3181" t="s">
        <v>3001</v>
      </c>
      <c r="C2" s="3181" t="s">
        <v>3002</v>
      </c>
      <c r="D2" s="3181" t="s">
        <v>3003</v>
      </c>
      <c r="E2" s="3181" t="s">
        <v>3004</v>
      </c>
    </row>
    <row r="3" spans="1:5">
      <c r="B3" s="1775">
        <v>1</v>
      </c>
      <c r="C3" s="1775">
        <v>2</v>
      </c>
      <c r="D3" s="3182">
        <v>1542.44</v>
      </c>
    </row>
    <row r="4" spans="1:5">
      <c r="B4" s="1775">
        <v>2</v>
      </c>
      <c r="C4" s="1775">
        <v>2</v>
      </c>
      <c r="D4" s="3182">
        <v>807</v>
      </c>
    </row>
    <row r="5" spans="1:5">
      <c r="B5" s="1775">
        <v>3</v>
      </c>
      <c r="C5" s="1775">
        <v>2</v>
      </c>
      <c r="D5" s="3182">
        <v>806.46</v>
      </c>
    </row>
    <row r="6" spans="1:5">
      <c r="B6" s="1775">
        <v>4</v>
      </c>
      <c r="C6" s="1775">
        <v>2</v>
      </c>
      <c r="D6" s="3182">
        <v>1046.78</v>
      </c>
    </row>
    <row r="7" spans="1:5">
      <c r="B7" s="1775">
        <v>5</v>
      </c>
      <c r="C7" s="1775">
        <v>2</v>
      </c>
      <c r="D7" s="3182">
        <v>806.46</v>
      </c>
    </row>
    <row r="8" spans="1:5">
      <c r="B8" s="1775">
        <v>6</v>
      </c>
      <c r="C8" s="1775">
        <v>2</v>
      </c>
      <c r="D8" s="3182">
        <v>1046.78</v>
      </c>
    </row>
    <row r="9" spans="1:5">
      <c r="B9" s="1775">
        <v>7</v>
      </c>
      <c r="C9" s="1775">
        <v>2</v>
      </c>
      <c r="D9" s="3182">
        <v>807</v>
      </c>
    </row>
    <row r="10" spans="1:5">
      <c r="B10" s="1775">
        <v>8</v>
      </c>
      <c r="C10" s="1775">
        <v>2</v>
      </c>
      <c r="D10" s="3182">
        <v>997.97</v>
      </c>
    </row>
    <row r="11" spans="1:5">
      <c r="B11" s="1775">
        <v>9</v>
      </c>
      <c r="C11" s="1775">
        <v>2</v>
      </c>
      <c r="D11" s="3182">
        <v>1038.6300000000001</v>
      </c>
    </row>
    <row r="12" spans="1:5">
      <c r="B12" s="1775">
        <v>10</v>
      </c>
      <c r="C12" s="1775">
        <v>2</v>
      </c>
      <c r="D12" s="3182">
        <v>1189.5</v>
      </c>
    </row>
    <row r="13" spans="1:5">
      <c r="B13" s="1775">
        <v>11</v>
      </c>
      <c r="C13" s="1775">
        <v>2</v>
      </c>
      <c r="D13" s="3182">
        <v>1041.32</v>
      </c>
    </row>
    <row r="14" spans="1:5">
      <c r="B14" s="1775">
        <v>12</v>
      </c>
      <c r="C14" s="1775">
        <v>4</v>
      </c>
      <c r="D14" s="3183">
        <v>2633.66</v>
      </c>
    </row>
    <row r="15" spans="1:5">
      <c r="B15" s="1775">
        <v>13</v>
      </c>
      <c r="C15" s="1775">
        <v>4</v>
      </c>
      <c r="D15" s="3183">
        <v>2641.56</v>
      </c>
    </row>
    <row r="16" spans="1:5">
      <c r="B16" s="1775">
        <v>14</v>
      </c>
      <c r="C16" s="1775">
        <v>4</v>
      </c>
      <c r="D16" s="3183">
        <v>1633.48</v>
      </c>
    </row>
    <row r="17" spans="2:4">
      <c r="B17" s="1775">
        <v>15</v>
      </c>
      <c r="C17" s="1775">
        <v>4</v>
      </c>
      <c r="D17" s="3183">
        <v>2400.4699999999998</v>
      </c>
    </row>
    <row r="18" spans="2:4">
      <c r="B18" s="1775">
        <v>16</v>
      </c>
      <c r="C18" s="1775">
        <v>4</v>
      </c>
      <c r="D18" s="3183">
        <v>2385.39</v>
      </c>
    </row>
    <row r="19" spans="2:4">
      <c r="B19" s="1775">
        <v>17</v>
      </c>
      <c r="C19" s="1775">
        <v>4</v>
      </c>
      <c r="D19" s="3183">
        <v>1655.86</v>
      </c>
    </row>
    <row r="20" spans="2:4">
      <c r="B20" s="1775">
        <v>18</v>
      </c>
      <c r="C20" s="1775">
        <v>4</v>
      </c>
      <c r="D20" s="3183">
        <v>1876.34</v>
      </c>
    </row>
    <row r="21" spans="2:4">
      <c r="B21" s="1775">
        <v>19</v>
      </c>
      <c r="C21" s="1775">
        <v>4</v>
      </c>
      <c r="D21" s="3183">
        <v>2400.2199999999998</v>
      </c>
    </row>
    <row r="22" spans="2:4">
      <c r="B22" s="1775">
        <v>20</v>
      </c>
      <c r="C22" s="1775">
        <v>4</v>
      </c>
      <c r="D22" s="3183">
        <v>2385.39</v>
      </c>
    </row>
    <row r="23" spans="2:4">
      <c r="B23" s="1775">
        <v>21</v>
      </c>
      <c r="C23" s="1775">
        <v>4</v>
      </c>
      <c r="D23" s="3183">
        <v>1655.86</v>
      </c>
    </row>
    <row r="24" spans="2:4">
      <c r="B24" s="1775">
        <v>22</v>
      </c>
      <c r="C24" s="1775">
        <v>4</v>
      </c>
      <c r="D24" s="3183">
        <v>1876.34</v>
      </c>
    </row>
    <row r="25" spans="2:4">
      <c r="B25" s="1775">
        <v>23</v>
      </c>
      <c r="C25" s="1775">
        <v>4</v>
      </c>
      <c r="D25" s="3183">
        <v>1631.14</v>
      </c>
    </row>
    <row r="26" spans="2:4">
      <c r="B26" s="1775">
        <v>24</v>
      </c>
      <c r="C26" s="1775">
        <v>4</v>
      </c>
      <c r="D26" s="3183">
        <v>872.69</v>
      </c>
    </row>
    <row r="27" spans="2:4">
      <c r="B27" s="1775">
        <v>25</v>
      </c>
      <c r="C27" s="1775">
        <v>4</v>
      </c>
      <c r="D27" s="3183">
        <v>874.41</v>
      </c>
    </row>
    <row r="28" spans="2:4">
      <c r="B28" s="1775">
        <v>26</v>
      </c>
      <c r="C28" s="1775">
        <v>4</v>
      </c>
      <c r="D28" s="3183">
        <v>1655.86</v>
      </c>
    </row>
    <row r="29" spans="2:4">
      <c r="B29" s="1775">
        <v>27</v>
      </c>
      <c r="C29" s="1775">
        <v>4</v>
      </c>
      <c r="D29" s="3183">
        <v>1655.86</v>
      </c>
    </row>
    <row r="30" spans="2:4">
      <c r="B30" s="1775">
        <v>28</v>
      </c>
      <c r="C30" s="1775">
        <v>4</v>
      </c>
      <c r="D30" s="3183">
        <v>2644.73</v>
      </c>
    </row>
    <row r="31" spans="2:4">
      <c r="B31" s="1775">
        <v>29</v>
      </c>
      <c r="C31" s="1775">
        <v>4</v>
      </c>
      <c r="D31" s="3183">
        <v>1631.14</v>
      </c>
    </row>
    <row r="32" spans="2:4">
      <c r="B32" s="1775">
        <v>30</v>
      </c>
      <c r="C32" s="1775">
        <v>4</v>
      </c>
      <c r="D32" s="3183">
        <v>1631.14</v>
      </c>
    </row>
    <row r="33" spans="1:4">
      <c r="B33" s="1775">
        <v>31</v>
      </c>
      <c r="C33" s="1775">
        <v>4</v>
      </c>
      <c r="D33" s="3183">
        <v>872.69</v>
      </c>
    </row>
    <row r="34" spans="1:4">
      <c r="B34" s="1775">
        <v>32</v>
      </c>
      <c r="C34" s="1775">
        <v>4</v>
      </c>
      <c r="D34" s="3183">
        <v>874.41</v>
      </c>
    </row>
    <row r="35" spans="1:4">
      <c r="B35" s="1775">
        <v>33</v>
      </c>
      <c r="C35" s="1775">
        <v>4</v>
      </c>
      <c r="D35" s="3183">
        <v>1655.86</v>
      </c>
    </row>
    <row r="36" spans="1:4">
      <c r="B36" s="1775">
        <v>34</v>
      </c>
      <c r="C36" s="1775">
        <v>4</v>
      </c>
      <c r="D36" s="3183">
        <v>1655.86</v>
      </c>
    </row>
    <row r="37" spans="1:4">
      <c r="A37" s="3181" t="s">
        <v>3015</v>
      </c>
      <c r="B37" s="1775">
        <v>35</v>
      </c>
      <c r="C37" s="1775">
        <v>2</v>
      </c>
      <c r="D37" s="3184">
        <v>2139.42</v>
      </c>
    </row>
    <row r="38" spans="1:4">
      <c r="B38" s="1775">
        <v>36</v>
      </c>
      <c r="C38" s="1775">
        <v>7</v>
      </c>
      <c r="D38" s="3185">
        <v>6504.05</v>
      </c>
    </row>
    <row r="39" spans="1:4">
      <c r="B39" s="1775">
        <v>37</v>
      </c>
      <c r="C39" s="1775">
        <v>9</v>
      </c>
      <c r="D39" s="3185">
        <v>8611.7800000000007</v>
      </c>
    </row>
    <row r="40" spans="1:4">
      <c r="B40" s="1775">
        <v>38</v>
      </c>
      <c r="C40" s="3181" t="s">
        <v>3007</v>
      </c>
      <c r="D40" s="3185">
        <v>8413.64</v>
      </c>
    </row>
    <row r="41" spans="1:4">
      <c r="B41" s="1775">
        <v>39</v>
      </c>
      <c r="C41" s="3181" t="s">
        <v>3005</v>
      </c>
      <c r="D41" s="3185">
        <v>9189.09</v>
      </c>
    </row>
    <row r="42" spans="1:4">
      <c r="B42" s="1775">
        <v>40</v>
      </c>
      <c r="C42" s="3181" t="s">
        <v>3005</v>
      </c>
      <c r="D42" s="3185">
        <v>9020.61</v>
      </c>
    </row>
    <row r="43" spans="1:4">
      <c r="B43" s="1775">
        <v>41</v>
      </c>
      <c r="C43" s="3181" t="s">
        <v>3005</v>
      </c>
      <c r="D43" s="3185">
        <v>10140.68</v>
      </c>
    </row>
    <row r="44" spans="1:4">
      <c r="B44" s="1775">
        <v>42</v>
      </c>
      <c r="C44" s="3181" t="s">
        <v>3005</v>
      </c>
      <c r="D44" s="3185">
        <v>9189.41</v>
      </c>
    </row>
    <row r="45" spans="1:4">
      <c r="B45" s="1775">
        <v>43</v>
      </c>
      <c r="C45" s="3181" t="s">
        <v>3005</v>
      </c>
      <c r="D45" s="3185">
        <v>8954.0499999999993</v>
      </c>
    </row>
    <row r="46" spans="1:4">
      <c r="B46" s="1775">
        <v>44</v>
      </c>
      <c r="C46" s="3181" t="s">
        <v>3005</v>
      </c>
      <c r="D46" s="3185">
        <v>9934.86</v>
      </c>
    </row>
    <row r="47" spans="1:4">
      <c r="B47" s="1775">
        <v>45</v>
      </c>
      <c r="C47" s="3181" t="s">
        <v>3005</v>
      </c>
      <c r="D47" s="3185">
        <v>9455.9599999999991</v>
      </c>
    </row>
    <row r="48" spans="1:4">
      <c r="B48" s="1775">
        <v>46</v>
      </c>
      <c r="C48" s="3181" t="s">
        <v>3005</v>
      </c>
      <c r="D48" s="3185">
        <v>3961.26</v>
      </c>
    </row>
    <row r="49" spans="1:10">
      <c r="B49" s="1775">
        <v>47</v>
      </c>
      <c r="C49" s="3181" t="s">
        <v>3005</v>
      </c>
      <c r="D49" s="3185">
        <v>3837.16</v>
      </c>
    </row>
    <row r="50" spans="1:10">
      <c r="B50" s="1775">
        <v>48</v>
      </c>
      <c r="C50" s="3181" t="s">
        <v>3005</v>
      </c>
      <c r="D50" s="3185">
        <v>9542.42</v>
      </c>
    </row>
    <row r="51" spans="1:10">
      <c r="B51" s="1775">
        <v>49</v>
      </c>
      <c r="C51" s="3181" t="s">
        <v>3005</v>
      </c>
      <c r="D51" s="3185">
        <v>9866.3799999999992</v>
      </c>
    </row>
    <row r="52" spans="1:10">
      <c r="A52" s="3181" t="s">
        <v>3016</v>
      </c>
      <c r="B52" s="1775">
        <v>50</v>
      </c>
      <c r="C52" s="3181">
        <v>1</v>
      </c>
      <c r="D52" s="3184">
        <v>84.62</v>
      </c>
    </row>
    <row r="53" spans="1:10">
      <c r="B53" s="3181" t="s">
        <v>3006</v>
      </c>
      <c r="E53" s="1775">
        <v>32689.65</v>
      </c>
    </row>
    <row r="54" spans="1:10">
      <c r="E54" s="1775">
        <v>41636.9</v>
      </c>
    </row>
    <row r="55" spans="1:10">
      <c r="D55" s="3181" t="s">
        <v>3008</v>
      </c>
      <c r="E55" s="3181" t="s">
        <v>3010</v>
      </c>
      <c r="F55" s="3181" t="s">
        <v>3012</v>
      </c>
      <c r="G55" s="3181" t="s">
        <v>3016</v>
      </c>
      <c r="H55" s="3181" t="s">
        <v>3015</v>
      </c>
      <c r="I55" s="3181" t="s">
        <v>3004</v>
      </c>
    </row>
    <row r="56" spans="1:10">
      <c r="D56" s="1775">
        <f>SUM(D38:D51)</f>
        <v>116621.35</v>
      </c>
      <c r="E56" s="1775">
        <f>SUM(D14:D36)</f>
        <v>41200.360000000008</v>
      </c>
      <c r="F56" s="1775">
        <f>SUM(D3:D13)+D37</f>
        <v>13269.76</v>
      </c>
      <c r="G56" s="1775">
        <f>D52</f>
        <v>84.62</v>
      </c>
      <c r="H56" s="1775">
        <f>D37</f>
        <v>2139.42</v>
      </c>
      <c r="I56" s="1775">
        <f>E53+E54</f>
        <v>74326.55</v>
      </c>
      <c r="J56" s="1775">
        <f>SUM(D56:I56)</f>
        <v>247642.06000000006</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4"/>
  <sheetViews>
    <sheetView topLeftCell="A7" zoomScale="90" zoomScaleNormal="90" zoomScaleSheetLayoutView="90" workbookViewId="0">
      <selection activeCell="F34" sqref="F34"/>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301" t="s">
        <v>203</v>
      </c>
      <c r="B2" s="3301"/>
      <c r="C2" s="3301"/>
      <c r="D2" s="1956" t="s">
        <v>204</v>
      </c>
      <c r="E2" s="106" t="s">
        <v>205</v>
      </c>
      <c r="F2" s="1965"/>
      <c r="G2" s="1192"/>
      <c r="H2" s="1193"/>
      <c r="I2" s="1194" t="s">
        <v>854</v>
      </c>
      <c r="J2" s="1965"/>
      <c r="K2" s="1965"/>
      <c r="L2" s="1965"/>
    </row>
    <row r="3" spans="1:16" ht="15.75" thickBot="1">
      <c r="A3" s="3302" t="s">
        <v>206</v>
      </c>
      <c r="B3" s="3302"/>
      <c r="C3" s="3302"/>
      <c r="D3" s="107">
        <f>'数据-基础表'!AY6</f>
        <v>177193.01</v>
      </c>
      <c r="E3" s="107">
        <f>'数据-基础表'!AZ5</f>
        <v>472085.52</v>
      </c>
      <c r="F3" s="1965"/>
      <c r="G3" s="279" t="s">
        <v>855</v>
      </c>
      <c r="H3" s="274" t="s">
        <v>856</v>
      </c>
      <c r="I3" s="1957">
        <f>ROUND('数据-基础表'!B3/'数据-基础表'!A3,2)</f>
        <v>2.66</v>
      </c>
      <c r="J3" s="1965"/>
      <c r="K3" s="1965"/>
      <c r="L3" s="1965"/>
    </row>
    <row r="4" spans="1:16" ht="15">
      <c r="A4" s="3303"/>
      <c r="B4" s="3304"/>
      <c r="C4" s="3305"/>
      <c r="D4" s="108" t="s">
        <v>204</v>
      </c>
      <c r="E4" s="109" t="s">
        <v>205</v>
      </c>
      <c r="F4" s="1965"/>
      <c r="G4" s="1195"/>
      <c r="H4" s="274" t="s">
        <v>857</v>
      </c>
      <c r="I4" s="1957">
        <f>ROUND(SUMIF('数据-基础表'!I9:AS9,"地上",'数据-基础表'!I5:AS5)/'数据-基础表'!A3,2)</f>
        <v>1.9</v>
      </c>
      <c r="J4" s="1965"/>
      <c r="K4" s="1965"/>
      <c r="L4" s="1965"/>
    </row>
    <row r="5" spans="1:16">
      <c r="A5" s="110" t="s">
        <v>207</v>
      </c>
      <c r="B5" s="3306" t="s">
        <v>230</v>
      </c>
      <c r="C5" s="3306"/>
      <c r="D5" s="111">
        <f>ROUND($D$3*E5/$E$3,2)</f>
        <v>96709.27</v>
      </c>
      <c r="E5" s="112">
        <f>SUMIF('数据-基础表'!$11:$11,"住宅",'数据-基础表'!$5:$5)</f>
        <v>257657.15</v>
      </c>
      <c r="F5" s="1965"/>
      <c r="G5" s="279" t="s">
        <v>858</v>
      </c>
      <c r="H5" s="274" t="s">
        <v>856</v>
      </c>
      <c r="I5" s="1957">
        <f>ROUND(E31/D31,2)</f>
        <v>2.66</v>
      </c>
      <c r="J5" s="1965"/>
      <c r="K5" s="1965"/>
      <c r="L5" s="1965"/>
    </row>
    <row r="6" spans="1:16" ht="15" thickBot="1">
      <c r="A6" s="113"/>
      <c r="B6" s="3306" t="s">
        <v>208</v>
      </c>
      <c r="C6" s="3306"/>
      <c r="D6" s="111">
        <f>ROUND($D$3*E6/$E$3,2)</f>
        <v>80483.740000000005</v>
      </c>
      <c r="E6" s="112">
        <f>E3-E5</f>
        <v>214428.37000000002</v>
      </c>
      <c r="F6" s="1965"/>
      <c r="G6" s="1195"/>
      <c r="H6" s="274" t="s">
        <v>857</v>
      </c>
      <c r="I6" s="1957">
        <f>ROUND(F31/D31,2)</f>
        <v>1.9</v>
      </c>
      <c r="J6" s="1965"/>
      <c r="K6" s="1965"/>
      <c r="L6" s="1965"/>
    </row>
    <row r="7" spans="1:16" ht="15">
      <c r="A7" s="3298"/>
      <c r="B7" s="3299"/>
      <c r="C7" s="3300"/>
      <c r="D7" s="108" t="s">
        <v>204</v>
      </c>
      <c r="E7" s="114" t="s">
        <v>231</v>
      </c>
      <c r="F7" s="1965"/>
      <c r="G7" s="1150" t="s">
        <v>1642</v>
      </c>
      <c r="H7" s="1151"/>
      <c r="I7" s="1827">
        <f>('数据-基础表'!I13+'数据-基础表'!K13+'数据-基础表'!M13+'数据-基础表'!O13+'数据-基础表'!Q13+'数据-基础表'!U13)/'数据-基础表'!A3</f>
        <v>1.8306718193906182</v>
      </c>
      <c r="J7" s="1965"/>
      <c r="K7" s="1965"/>
      <c r="L7" s="1965"/>
    </row>
    <row r="8" spans="1:16">
      <c r="A8" s="110" t="s">
        <v>209</v>
      </c>
      <c r="B8" s="115" t="s">
        <v>210</v>
      </c>
      <c r="C8" s="111" t="s">
        <v>211</v>
      </c>
      <c r="D8" s="111">
        <f t="shared" ref="D8:D15" si="0">ROUND($D$3*E8/$E$3,2)</f>
        <v>121753.93</v>
      </c>
      <c r="E8" s="116">
        <f>SUMIF('数据-基础表'!BB10:BK10,"地上",'数据-基础表'!BB5:BK5)</f>
        <v>324382.25</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2318</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2325</v>
      </c>
      <c r="D13" s="111">
        <f t="shared" si="0"/>
        <v>41276.239999999998</v>
      </c>
      <c r="E13" s="116">
        <f>SUMPRODUCT(('数据-基础表'!BB10:BK10="地下")*('数据-基础表'!BB11:BK11="车库")*('数据-基础表'!BB5:BK5))</f>
        <v>109970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163030.16999999998</v>
      </c>
      <c r="E16" s="120">
        <f>SUM(E8:E15)</f>
        <v>434352.25</v>
      </c>
      <c r="F16" s="1965"/>
      <c r="G16" s="1967"/>
      <c r="H16" s="966" t="s">
        <v>219</v>
      </c>
      <c r="I16" s="967"/>
      <c r="J16" s="1965"/>
      <c r="K16" s="3292" t="s">
        <v>2557</v>
      </c>
      <c r="L16" s="3293"/>
      <c r="M16" s="3293"/>
      <c r="N16" s="3293"/>
      <c r="O16" s="3293"/>
      <c r="P16" s="3294"/>
    </row>
    <row r="17" spans="1:19" ht="15">
      <c r="A17" s="121" t="s">
        <v>216</v>
      </c>
      <c r="B17" s="122" t="s">
        <v>217</v>
      </c>
      <c r="C17" s="2279" t="s">
        <v>2304</v>
      </c>
      <c r="D17" s="108" t="s">
        <v>204</v>
      </c>
      <c r="E17" s="124" t="s">
        <v>205</v>
      </c>
      <c r="F17" s="125"/>
      <c r="G17" s="1359"/>
      <c r="H17" s="968" t="s">
        <v>218</v>
      </c>
      <c r="I17" s="969" t="s">
        <v>2303</v>
      </c>
      <c r="J17" s="1965"/>
      <c r="K17" s="3295" t="s">
        <v>2558</v>
      </c>
      <c r="L17" s="3296"/>
      <c r="M17" s="3297"/>
      <c r="N17" s="3295" t="s">
        <v>2559</v>
      </c>
      <c r="O17" s="3296"/>
      <c r="P17" s="3297"/>
      <c r="R17" s="2280" t="s">
        <v>2302</v>
      </c>
      <c r="S17" s="143"/>
    </row>
    <row r="18" spans="1:19" ht="15">
      <c r="A18" s="117"/>
      <c r="B18" s="128"/>
      <c r="C18" s="129"/>
      <c r="D18" s="2602"/>
      <c r="E18" s="130" t="s">
        <v>220</v>
      </c>
      <c r="F18" s="131" t="s">
        <v>221</v>
      </c>
      <c r="G18" s="1360" t="s">
        <v>222</v>
      </c>
      <c r="H18" s="970" t="s">
        <v>223</v>
      </c>
      <c r="I18" s="971" t="s">
        <v>224</v>
      </c>
      <c r="J18" s="1965"/>
      <c r="K18" s="2565" t="s">
        <v>2560</v>
      </c>
      <c r="L18" s="2566" t="s">
        <v>2561</v>
      </c>
      <c r="M18" s="2567" t="s">
        <v>2562</v>
      </c>
      <c r="N18" s="2565" t="s">
        <v>2560</v>
      </c>
      <c r="O18" s="2566" t="s">
        <v>2561</v>
      </c>
      <c r="P18" s="2567" t="s">
        <v>2562</v>
      </c>
      <c r="R18" s="2281" t="s">
        <v>2300</v>
      </c>
      <c r="S18" s="2281" t="s">
        <v>2301</v>
      </c>
    </row>
    <row r="19" spans="1:19">
      <c r="A19" s="133"/>
      <c r="B19" s="115" t="s">
        <v>225</v>
      </c>
      <c r="C19" s="2856" t="s">
        <v>3018</v>
      </c>
      <c r="D19" s="111">
        <f t="shared" ref="D19:D26" si="1">ROUND($D$3*E19/$E$3,2)</f>
        <v>73363.13</v>
      </c>
      <c r="E19" s="134">
        <f t="shared" ref="E19:E26" si="2">SUM(F19:G19)</f>
        <v>195457.31999999998</v>
      </c>
      <c r="F19" s="135">
        <f>'数据-基础表'!I13</f>
        <v>195457.31999999998</v>
      </c>
      <c r="G19" s="1361"/>
      <c r="H19" s="972">
        <f>ROUND($D$3*I19/$E$3,2)</f>
        <v>5201.78</v>
      </c>
      <c r="I19" s="116">
        <f>IF($I$17="自定义",P19,M19)</f>
        <v>13858.81</v>
      </c>
      <c r="J19" s="1965"/>
      <c r="K19" s="2568">
        <f t="shared" ref="K19:K26" si="3">ROUND(E$28*E19/E$27,2)</f>
        <v>13858.81</v>
      </c>
      <c r="L19" s="274">
        <f t="shared" ref="L19:L26" si="4">ROUND(IF(COUNTIF(C19,"*住宅*")&gt;0,E$29*E19/E$32,0),2)</f>
        <v>0</v>
      </c>
      <c r="M19" s="2569">
        <f>K19+L19</f>
        <v>13858.81</v>
      </c>
      <c r="N19" s="2570"/>
      <c r="O19" s="2571"/>
      <c r="P19" s="2572">
        <f>N19+O19</f>
        <v>0</v>
      </c>
      <c r="R19" s="274">
        <f t="shared" ref="R19:S26" si="5">D19+H19</f>
        <v>78564.91</v>
      </c>
      <c r="S19" s="2282">
        <f t="shared" si="5"/>
        <v>209316.12999999998</v>
      </c>
    </row>
    <row r="20" spans="1:19">
      <c r="A20" s="138"/>
      <c r="B20" s="115" t="s">
        <v>226</v>
      </c>
      <c r="C20" s="2856" t="s">
        <v>3019</v>
      </c>
      <c r="D20" s="111">
        <f t="shared" si="1"/>
        <v>15464.18</v>
      </c>
      <c r="E20" s="134">
        <f t="shared" si="2"/>
        <v>41200.360000000008</v>
      </c>
      <c r="F20" s="135">
        <f>'数据-基础表'!K13</f>
        <v>41200.360000000008</v>
      </c>
      <c r="G20" s="1361"/>
      <c r="H20" s="972">
        <f t="shared" ref="H20:H26" si="6">ROUND($D$3*I20/$E$3,2)</f>
        <v>1096.48</v>
      </c>
      <c r="I20" s="116">
        <f t="shared" ref="I20:I26" si="7">IF($I$17="自定义",P20,M20)</f>
        <v>2921.29</v>
      </c>
      <c r="J20" s="1965"/>
      <c r="K20" s="2568">
        <f t="shared" si="3"/>
        <v>2921.29</v>
      </c>
      <c r="L20" s="274">
        <f t="shared" si="4"/>
        <v>0</v>
      </c>
      <c r="M20" s="2569">
        <f t="shared" ref="M20:M26" si="8">K20+L20</f>
        <v>2921.29</v>
      </c>
      <c r="N20" s="2570"/>
      <c r="O20" s="2571"/>
      <c r="P20" s="2572">
        <f t="shared" ref="P20:P26" si="9">N20+O20</f>
        <v>0</v>
      </c>
      <c r="R20" s="274">
        <f t="shared" si="5"/>
        <v>16560.66</v>
      </c>
      <c r="S20" s="2282">
        <f t="shared" si="5"/>
        <v>44121.650000000009</v>
      </c>
    </row>
    <row r="21" spans="1:19">
      <c r="A21" s="138"/>
      <c r="B21" s="115" t="s">
        <v>226</v>
      </c>
      <c r="C21" s="2856" t="s">
        <v>3020</v>
      </c>
      <c r="D21" s="111">
        <f t="shared" si="1"/>
        <v>4980.68</v>
      </c>
      <c r="E21" s="134">
        <f t="shared" si="2"/>
        <v>13269.76</v>
      </c>
      <c r="F21" s="135">
        <f>'数据-基础表'!M13</f>
        <v>13269.76</v>
      </c>
      <c r="G21" s="1361"/>
      <c r="H21" s="972">
        <f t="shared" si="6"/>
        <v>353.15</v>
      </c>
      <c r="I21" s="116">
        <f t="shared" si="7"/>
        <v>940.89</v>
      </c>
      <c r="J21" s="1965"/>
      <c r="K21" s="2568">
        <f t="shared" si="3"/>
        <v>940.89</v>
      </c>
      <c r="L21" s="274">
        <f t="shared" si="4"/>
        <v>0</v>
      </c>
      <c r="M21" s="2569">
        <f t="shared" si="8"/>
        <v>940.89</v>
      </c>
      <c r="N21" s="2570"/>
      <c r="O21" s="2571"/>
      <c r="P21" s="2572">
        <f t="shared" si="9"/>
        <v>0</v>
      </c>
      <c r="R21" s="274">
        <f t="shared" si="5"/>
        <v>5333.83</v>
      </c>
      <c r="S21" s="2282">
        <f t="shared" si="5"/>
        <v>14210.65</v>
      </c>
    </row>
    <row r="22" spans="1:19">
      <c r="A22" s="138"/>
      <c r="B22" s="115" t="s">
        <v>226</v>
      </c>
      <c r="C22" s="3186" t="s">
        <v>3021</v>
      </c>
      <c r="D22" s="111">
        <f t="shared" si="1"/>
        <v>4371.8</v>
      </c>
      <c r="E22" s="134">
        <f t="shared" si="2"/>
        <v>11647.55</v>
      </c>
      <c r="F22" s="139">
        <f>'数据-基础表'!O13</f>
        <v>11647.55</v>
      </c>
      <c r="G22" s="1362"/>
      <c r="H22" s="972">
        <f t="shared" si="6"/>
        <v>309.98</v>
      </c>
      <c r="I22" s="116">
        <f t="shared" si="7"/>
        <v>825.86</v>
      </c>
      <c r="J22" s="1965"/>
      <c r="K22" s="2568">
        <f t="shared" si="3"/>
        <v>825.86</v>
      </c>
      <c r="L22" s="274">
        <f t="shared" si="4"/>
        <v>0</v>
      </c>
      <c r="M22" s="2569">
        <f t="shared" si="8"/>
        <v>825.86</v>
      </c>
      <c r="N22" s="2570"/>
      <c r="O22" s="2571"/>
      <c r="P22" s="2572">
        <f t="shared" si="9"/>
        <v>0</v>
      </c>
      <c r="R22" s="274">
        <f t="shared" si="5"/>
        <v>4681.7800000000007</v>
      </c>
      <c r="S22" s="2282">
        <f t="shared" si="5"/>
        <v>12473.41</v>
      </c>
    </row>
    <row r="23" spans="1:19">
      <c r="A23" s="138"/>
      <c r="B23" s="115" t="s">
        <v>226</v>
      </c>
      <c r="C23" s="3186" t="s">
        <v>3022</v>
      </c>
      <c r="D23" s="111">
        <f>ROUND($D$3*E23/$E$3,2)</f>
        <v>20672.86</v>
      </c>
      <c r="E23" s="134">
        <f>SUM(F23:G23)</f>
        <v>55077.55</v>
      </c>
      <c r="F23" s="139">
        <f>'数据-基础表'!Q13</f>
        <v>55077.55</v>
      </c>
      <c r="G23" s="1362"/>
      <c r="H23" s="972">
        <f>ROUND($D$3*I23/$E$3,2)</f>
        <v>1465.8</v>
      </c>
      <c r="I23" s="116">
        <f t="shared" si="7"/>
        <v>3905.25</v>
      </c>
      <c r="J23" s="1965"/>
      <c r="K23" s="2568">
        <f t="shared" si="3"/>
        <v>3905.25</v>
      </c>
      <c r="L23" s="274">
        <f t="shared" si="4"/>
        <v>0</v>
      </c>
      <c r="M23" s="2569">
        <f t="shared" si="8"/>
        <v>3905.25</v>
      </c>
      <c r="N23" s="2570"/>
      <c r="O23" s="2571"/>
      <c r="P23" s="2572">
        <f t="shared" si="9"/>
        <v>0</v>
      </c>
      <c r="R23" s="274">
        <f t="shared" si="5"/>
        <v>22138.66</v>
      </c>
      <c r="S23" s="2282">
        <f t="shared" si="5"/>
        <v>58982.8</v>
      </c>
    </row>
    <row r="24" spans="1:19">
      <c r="A24" s="138"/>
      <c r="B24" s="115" t="s">
        <v>226</v>
      </c>
      <c r="C24" s="3186" t="s">
        <v>3023</v>
      </c>
      <c r="D24" s="111">
        <f>ROUND($D$3*E24/$E$3,2)</f>
        <v>41276.239999999998</v>
      </c>
      <c r="E24" s="134">
        <f>SUM(F24:G24)</f>
        <v>109970</v>
      </c>
      <c r="F24" s="139"/>
      <c r="G24" s="1362">
        <f>'数据-基础表'!S13</f>
        <v>109970</v>
      </c>
      <c r="H24" s="972">
        <f>ROUND($D$3*I24/$E$3,2)</f>
        <v>2926.67</v>
      </c>
      <c r="I24" s="116">
        <f t="shared" si="7"/>
        <v>7797.37</v>
      </c>
      <c r="J24" s="1965"/>
      <c r="K24" s="2568">
        <f t="shared" si="3"/>
        <v>7797.37</v>
      </c>
      <c r="L24" s="274">
        <f t="shared" si="4"/>
        <v>0</v>
      </c>
      <c r="M24" s="2569">
        <f t="shared" si="8"/>
        <v>7797.37</v>
      </c>
      <c r="N24" s="2570"/>
      <c r="O24" s="2571"/>
      <c r="P24" s="2572">
        <f t="shared" si="9"/>
        <v>0</v>
      </c>
      <c r="R24" s="274">
        <f t="shared" si="5"/>
        <v>44202.909999999996</v>
      </c>
      <c r="S24" s="2282">
        <f t="shared" si="5"/>
        <v>117767.37</v>
      </c>
    </row>
    <row r="25" spans="1:19">
      <c r="A25" s="138"/>
      <c r="B25" s="115" t="s">
        <v>226</v>
      </c>
      <c r="C25" s="3186" t="s">
        <v>3025</v>
      </c>
      <c r="D25" s="111">
        <f t="shared" si="1"/>
        <v>2901.28</v>
      </c>
      <c r="E25" s="134">
        <f t="shared" si="2"/>
        <v>7729.71</v>
      </c>
      <c r="F25" s="139">
        <f>'数据-基础表'!U13</f>
        <v>7729.71</v>
      </c>
      <c r="G25" s="1362"/>
      <c r="H25" s="110">
        <f t="shared" si="6"/>
        <v>205.71</v>
      </c>
      <c r="I25" s="116">
        <f t="shared" si="7"/>
        <v>548.07000000000005</v>
      </c>
      <c r="J25" s="1965"/>
      <c r="K25" s="2568">
        <f t="shared" si="3"/>
        <v>548.07000000000005</v>
      </c>
      <c r="L25" s="274">
        <f t="shared" si="4"/>
        <v>0</v>
      </c>
      <c r="M25" s="2569">
        <f t="shared" si="8"/>
        <v>548.07000000000005</v>
      </c>
      <c r="N25" s="2570"/>
      <c r="O25" s="2571"/>
      <c r="P25" s="2572">
        <f t="shared" si="9"/>
        <v>0</v>
      </c>
      <c r="R25" s="274">
        <f t="shared" si="5"/>
        <v>3106.9900000000002</v>
      </c>
      <c r="S25" s="2282">
        <f t="shared" si="5"/>
        <v>8277.7800000000007</v>
      </c>
    </row>
    <row r="26" spans="1:19">
      <c r="A26" s="138"/>
      <c r="B26" s="115" t="s">
        <v>226</v>
      </c>
      <c r="C26" s="141"/>
      <c r="D26" s="111">
        <f t="shared" si="1"/>
        <v>0</v>
      </c>
      <c r="E26" s="134">
        <f t="shared" si="2"/>
        <v>0</v>
      </c>
      <c r="F26" s="139"/>
      <c r="G26" s="1362"/>
      <c r="H26" s="110">
        <f t="shared" si="6"/>
        <v>0</v>
      </c>
      <c r="I26" s="116">
        <f t="shared" si="7"/>
        <v>0</v>
      </c>
      <c r="J26" s="1965"/>
      <c r="K26" s="2573">
        <f t="shared" si="3"/>
        <v>0</v>
      </c>
      <c r="L26" s="279">
        <f t="shared" si="4"/>
        <v>0</v>
      </c>
      <c r="M26" s="145">
        <f t="shared" si="8"/>
        <v>0</v>
      </c>
      <c r="N26" s="2574"/>
      <c r="O26" s="2575"/>
      <c r="P26" s="2576">
        <f t="shared" si="9"/>
        <v>0</v>
      </c>
      <c r="R26" s="274">
        <f t="shared" si="5"/>
        <v>0</v>
      </c>
      <c r="S26" s="2282">
        <f t="shared" si="5"/>
        <v>0</v>
      </c>
    </row>
    <row r="27" spans="1:19" ht="43.5" thickBot="1">
      <c r="A27" s="138"/>
      <c r="B27" s="111"/>
      <c r="C27" s="127" t="s">
        <v>215</v>
      </c>
      <c r="D27" s="134">
        <f>SUM(D19:D26)</f>
        <v>163030.16999999998</v>
      </c>
      <c r="E27" s="142">
        <f>IF(SUM(E19:E26)='数据-基础表'!BA5,SUM(E19:E26),IF(F27="地上面积有误","面积有误","地下面积有误"))</f>
        <v>434352.25</v>
      </c>
      <c r="F27" s="134">
        <f>IF(SUM(F19:F26)=E8,SUM(F19:F26),"地上面积有误")</f>
        <v>324382.25</v>
      </c>
      <c r="G27" s="112">
        <f>SUM(G19:G26)</f>
        <v>109970</v>
      </c>
      <c r="H27" s="973">
        <f>SUM(H19:H26)</f>
        <v>11559.569999999998</v>
      </c>
      <c r="I27" s="974">
        <f>SUM(I19:I26)</f>
        <v>30797.539999999997</v>
      </c>
      <c r="J27" s="1965"/>
      <c r="K27" s="2577">
        <f>SUM(K19:K26)</f>
        <v>30797.539999999997</v>
      </c>
      <c r="L27" s="2578">
        <f>SUM(L19:L26)</f>
        <v>0</v>
      </c>
      <c r="M27" s="2579">
        <f>SUM(M19:M26)</f>
        <v>30797.539999999997</v>
      </c>
      <c r="N27" s="2577">
        <f t="shared" ref="N27:O27" si="10">SUM(N19:N26)</f>
        <v>0</v>
      </c>
      <c r="O27" s="2578">
        <f t="shared" si="10"/>
        <v>0</v>
      </c>
      <c r="P27" s="2580">
        <f>SUM(P19:P26)</f>
        <v>0</v>
      </c>
      <c r="R27" s="2286" t="str">
        <f>IF(SUM(R19:R26)=$D$3,SUM(R19:R26),SUM(R19:R26)&amp;"误差"&amp;ROUND(SUM(R19:R26)-$D$3,2))</f>
        <v>174589.74误差-2603.27</v>
      </c>
      <c r="S27" s="274" t="str">
        <f>IF(SUM(S19:S26)=$E$3,SUM(S19:S26),SUM(S19:S26)&amp;"误差"&amp;ROUND(SUM(S19:S26)-E3,2))</f>
        <v>465149.79误差-6935.73</v>
      </c>
    </row>
    <row r="28" spans="1:19">
      <c r="A28" s="138"/>
      <c r="B28" s="115" t="s">
        <v>227</v>
      </c>
      <c r="C28" s="136" t="s">
        <v>228</v>
      </c>
      <c r="D28" s="111">
        <f>ROUND($D$3*E28/$E$3,2)</f>
        <v>11559.58</v>
      </c>
      <c r="E28" s="134">
        <f>SUM(F28:G28)</f>
        <v>30797.550000000014</v>
      </c>
      <c r="F28" s="143">
        <f>'数据-基础表'!BQ5+'数据-基础表'!BS5</f>
        <v>4566.88</v>
      </c>
      <c r="G28" s="144">
        <f>'数据-基础表'!BR5+'数据-基础表'!BT5</f>
        <v>26230.670000000013</v>
      </c>
      <c r="H28" s="1965"/>
      <c r="I28" s="1965"/>
      <c r="J28" s="1965"/>
      <c r="K28" s="1965"/>
      <c r="L28" s="1965"/>
    </row>
    <row r="29" spans="1:19">
      <c r="A29" s="138"/>
      <c r="B29" s="115" t="s">
        <v>227</v>
      </c>
      <c r="C29" s="2294" t="s">
        <v>2311</v>
      </c>
      <c r="D29" s="111">
        <f>ROUND($D$3*E29/$E$3,2)</f>
        <v>2603.2600000000002</v>
      </c>
      <c r="E29" s="134">
        <f>SUM(F29:G29)</f>
        <v>6935.72</v>
      </c>
      <c r="F29" s="143">
        <f>'数据-基础表'!BM5+'数据-基础表'!BO5</f>
        <v>6935.72</v>
      </c>
      <c r="G29" s="145">
        <f>'数据-基础表'!BN5+'数据-基础表'!BP5</f>
        <v>0</v>
      </c>
      <c r="H29" s="1965"/>
      <c r="I29" s="1965"/>
      <c r="J29" s="1965"/>
      <c r="K29" s="1965"/>
      <c r="L29" s="1965"/>
    </row>
    <row r="30" spans="1:19">
      <c r="A30" s="138"/>
      <c r="B30" s="111"/>
      <c r="C30" s="146" t="s">
        <v>215</v>
      </c>
      <c r="D30" s="134">
        <f>SUM(D28:D29)</f>
        <v>14162.84</v>
      </c>
      <c r="E30" s="134">
        <f>SUM(E28:E29)</f>
        <v>37733.270000000011</v>
      </c>
      <c r="F30" s="134">
        <f>SUM(F28:F29)</f>
        <v>11502.6</v>
      </c>
      <c r="G30" s="112">
        <f>SUM(G28:G29)</f>
        <v>26230.670000000013</v>
      </c>
      <c r="H30" s="1965"/>
      <c r="I30" s="1965"/>
      <c r="J30" s="1965"/>
      <c r="K30" s="1965"/>
      <c r="L30" s="1965"/>
    </row>
    <row r="31" spans="1:19" ht="32.25" customHeight="1" thickBot="1">
      <c r="A31" s="1363"/>
      <c r="B31" s="1364" t="s">
        <v>229</v>
      </c>
      <c r="C31" s="2311" t="s">
        <v>2313</v>
      </c>
      <c r="D31" s="1365">
        <f>D27+D30</f>
        <v>177193.00999999998</v>
      </c>
      <c r="E31" s="1365">
        <f>E27+E30</f>
        <v>472085.52</v>
      </c>
      <c r="F31" s="1366">
        <f>F27+F30</f>
        <v>335884.85</v>
      </c>
      <c r="G31" s="1367">
        <f>G27+G30</f>
        <v>136200.67000000001</v>
      </c>
      <c r="H31" s="1965"/>
      <c r="I31" s="1965"/>
      <c r="J31" s="1965"/>
      <c r="K31" s="1965"/>
      <c r="L31" s="1965"/>
    </row>
    <row r="32" spans="1:19">
      <c r="A32" s="1965"/>
      <c r="B32" s="2323" t="s">
        <v>2312</v>
      </c>
      <c r="C32" s="2607"/>
      <c r="D32" s="1195"/>
      <c r="E32" s="1195">
        <f>SUMIF(C19:C26,"*住宅*",E19:E26)</f>
        <v>0</v>
      </c>
      <c r="F32" s="1195"/>
      <c r="G32" s="1195"/>
    </row>
    <row r="33" spans="4:6">
      <c r="D33" s="1969"/>
    </row>
    <row r="34" spans="4:6">
      <c r="F34" s="1966">
        <f>11834.51-F22</f>
        <v>186.96000000000095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AA30" sqref="AA30"/>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9"/>
    <col min="42" max="42" width="0" style="1979" hidden="1" customWidth="1"/>
    <col min="43" max="83" width="13.75" style="1979"/>
    <col min="84" max="16384" width="13.75" style="1197"/>
  </cols>
  <sheetData>
    <row r="1" spans="1:83" ht="19.5" thickBot="1">
      <c r="A1" s="147"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75" thickBot="1">
      <c r="A2" s="148" t="s">
        <v>235</v>
      </c>
      <c r="B2" s="2319">
        <f>项目基本情况!D3</f>
        <v>44050</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5"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49" t="s">
        <v>861</v>
      </c>
      <c r="B4" s="151"/>
      <c r="C4" s="152"/>
      <c r="D4" s="1202"/>
      <c r="E4" s="1203" t="s">
        <v>862</v>
      </c>
      <c r="F4" s="152"/>
      <c r="G4" s="152"/>
      <c r="H4" s="152"/>
      <c r="I4" s="152"/>
      <c r="J4" s="153"/>
      <c r="K4" s="1204"/>
      <c r="L4" s="1205"/>
      <c r="M4" s="152"/>
      <c r="N4" s="1203" t="s">
        <v>863</v>
      </c>
      <c r="O4" s="152"/>
      <c r="P4" s="152"/>
      <c r="Q4" s="152"/>
      <c r="R4" s="152"/>
      <c r="S4" s="153"/>
      <c r="T4" s="975" t="str">
        <f>'数据-汇总表'!I17</f>
        <v>按面积比例</v>
      </c>
      <c r="U4" s="151" t="s">
        <v>864</v>
      </c>
      <c r="V4" s="152"/>
      <c r="W4" s="152"/>
      <c r="X4" s="152"/>
      <c r="Y4" s="153"/>
      <c r="Z4" s="123" t="s">
        <v>865</v>
      </c>
      <c r="AA4" s="123"/>
      <c r="AB4" s="123"/>
      <c r="AC4" s="123"/>
      <c r="AD4" s="123"/>
      <c r="AE4" s="121" t="s">
        <v>866</v>
      </c>
      <c r="AF4" s="123"/>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4">
      <c r="A5" s="2285" t="s">
        <v>2315</v>
      </c>
      <c r="B5" s="155" t="s">
        <v>236</v>
      </c>
      <c r="C5" s="156" t="s">
        <v>237</v>
      </c>
      <c r="D5" s="157" t="s">
        <v>238</v>
      </c>
      <c r="E5" s="158" t="s">
        <v>239</v>
      </c>
      <c r="F5" s="159" t="s">
        <v>240</v>
      </c>
      <c r="G5" s="158" t="s">
        <v>241</v>
      </c>
      <c r="H5" s="158" t="s">
        <v>859</v>
      </c>
      <c r="I5" s="158" t="s">
        <v>860</v>
      </c>
      <c r="J5" s="160" t="s">
        <v>242</v>
      </c>
      <c r="K5" s="161" t="s">
        <v>243</v>
      </c>
      <c r="L5" s="162" t="s">
        <v>244</v>
      </c>
      <c r="M5" s="163" t="s">
        <v>245</v>
      </c>
      <c r="N5" s="1213" t="s">
        <v>2818</v>
      </c>
      <c r="O5" s="162" t="s">
        <v>246</v>
      </c>
      <c r="P5" s="164" t="s">
        <v>247</v>
      </c>
      <c r="Q5" s="165" t="s">
        <v>248</v>
      </c>
      <c r="R5" s="166" t="s">
        <v>249</v>
      </c>
      <c r="S5" s="2581" t="s">
        <v>2563</v>
      </c>
      <c r="T5" s="167" t="s">
        <v>250</v>
      </c>
      <c r="U5" s="168" t="s">
        <v>251</v>
      </c>
      <c r="V5" s="158" t="s">
        <v>252</v>
      </c>
      <c r="W5" s="158" t="s">
        <v>253</v>
      </c>
      <c r="X5" s="1799"/>
      <c r="Y5" s="169" t="s">
        <v>254</v>
      </c>
      <c r="Z5" s="170" t="s">
        <v>255</v>
      </c>
      <c r="AA5" s="158" t="s">
        <v>252</v>
      </c>
      <c r="AB5" s="158" t="s">
        <v>253</v>
      </c>
      <c r="AC5" s="1800"/>
      <c r="AD5" s="171" t="s">
        <v>254</v>
      </c>
      <c r="AE5" s="1" t="s">
        <v>867</v>
      </c>
      <c r="AF5" s="158" t="s">
        <v>256</v>
      </c>
      <c r="AG5" s="169" t="s">
        <v>257</v>
      </c>
      <c r="AH5" s="1800" t="s">
        <v>2314</v>
      </c>
      <c r="AI5" s="170" t="s">
        <v>2283</v>
      </c>
      <c r="AJ5" s="170" t="s">
        <v>258</v>
      </c>
      <c r="AK5" s="158" t="s">
        <v>259</v>
      </c>
      <c r="AL5" s="158" t="s">
        <v>260</v>
      </c>
      <c r="AM5" s="171" t="s">
        <v>261</v>
      </c>
      <c r="AN5" s="2351" t="s">
        <v>2364</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25">
      <c r="A6" s="2283" t="str">
        <f>'数据-汇总表'!C19</f>
        <v>高层</v>
      </c>
      <c r="B6" s="2318" t="str">
        <f>IF(A6=0,"","经营性")</f>
        <v>经营性</v>
      </c>
      <c r="C6" s="172" t="s">
        <v>920</v>
      </c>
      <c r="D6" s="2289">
        <f>SUMIF(项目基本情况!D$15:I$15,C6,项目基本情况!D$18:I$18)</f>
        <v>70</v>
      </c>
      <c r="E6" s="2290">
        <f>IF(B6="","",SUMIF(项目基本情况!D$15:I$15,C6,项目基本情况!D$17:I$17))</f>
        <v>66565</v>
      </c>
      <c r="F6" s="173">
        <f>SUMIF(项目基本情况!D$15:I$15,C6,项目基本情况!D$19:I$19)</f>
        <v>61.68</v>
      </c>
      <c r="G6" s="174">
        <f>IF(ISERROR(ROUND(POWER(1+H6,D6-F6)*(POWER(1+H6,F6)-1)/(POWER(1+H6,D6)-1),3)),0,ROUND(POWER(1+H6,D6-F6)*(POWER(1+H6,F6)-1)/(POWER(1+H6,D6)-1),3))</f>
        <v>0.97899999999999998</v>
      </c>
      <c r="H6" s="2857">
        <v>4.4999999999999998E-2</v>
      </c>
      <c r="I6" s="2857">
        <v>0.05</v>
      </c>
      <c r="J6" s="175">
        <v>0.08</v>
      </c>
      <c r="K6" s="178">
        <f>SUMIF('数据-汇总表'!C$19:C$33,'数据-取费表'!A6,'数据-汇总表'!E$19:E$33)</f>
        <v>195457.31999999998</v>
      </c>
      <c r="L6" s="2858">
        <v>2500</v>
      </c>
      <c r="M6" s="176">
        <f t="shared" ref="M6:M14" si="0">ROUND(K6*L6/10000,0)</f>
        <v>48864</v>
      </c>
      <c r="N6" s="2859">
        <v>0</v>
      </c>
      <c r="O6" s="176">
        <f>IF($N$5="成新度","——",ROUND(M6*N6,0))</f>
        <v>0</v>
      </c>
      <c r="P6" s="177">
        <f>IF($N$5="成新度","——",M6-O6)</f>
        <v>48864</v>
      </c>
      <c r="Q6" s="2860">
        <v>0.15</v>
      </c>
      <c r="R6" s="178">
        <f>SUMIF('数据-汇总表'!C$19:C$33,A6,'数据-汇总表'!R$19:R$33)</f>
        <v>78564.91</v>
      </c>
      <c r="S6" s="132">
        <f>IF('数据-汇总表'!$I$17="按面积比例",SUMIF('数据-汇总表'!C$19:C$33,A6,'数据-汇总表'!K$19:K$33),SUMIF('数据-汇总表'!C$19:C$33,A6,'数据-汇总表'!N$19:N$33))</f>
        <v>13858.81</v>
      </c>
      <c r="T6" s="2215">
        <f>IF($T$4="按面积比例",IF(ISERROR(ROUND($M$14*S6/S$16,0)),"0",ROUND($M$14*S6/S$16,0)),"需自行计算录入")</f>
        <v>3465</v>
      </c>
      <c r="U6" s="179"/>
      <c r="V6" s="180"/>
      <c r="W6" s="180"/>
      <c r="X6" s="2302"/>
      <c r="Y6" s="181"/>
      <c r="Z6" s="182"/>
      <c r="AA6" s="175"/>
      <c r="AB6" s="175"/>
      <c r="AC6" s="2305"/>
      <c r="AD6" s="183"/>
      <c r="AE6" s="970">
        <f ca="1">IF(AN6="",0,SUMIF(INDIRECT("'"&amp;AN6&amp;"'"&amp;"!E:E"),$AE$5,INDIRECT("'"&amp;AN6&amp;"'"&amp;"!F:F")))</f>
        <v>0</v>
      </c>
      <c r="AF6" s="140"/>
      <c r="AG6" s="1207">
        <f>IF(AF6="",0,AE6-AF6)</f>
        <v>0</v>
      </c>
      <c r="AH6" s="140"/>
      <c r="AI6" s="186"/>
      <c r="AJ6" s="187"/>
      <c r="AK6" s="188"/>
      <c r="AL6" s="189"/>
      <c r="AM6" s="2871"/>
      <c r="AN6" s="2352"/>
      <c r="AO6" s="1981"/>
      <c r="AP6" s="1198">
        <f>ROUND(1-1/(1+H6)^F6,3)</f>
        <v>0.93400000000000005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25">
      <c r="A7" s="2283" t="str">
        <f>'数据-汇总表'!C20</f>
        <v>叠墅</v>
      </c>
      <c r="B7" s="2318" t="str">
        <f t="shared" ref="B7:B13" si="1">IF(A7=0,"","经营性")</f>
        <v>经营性</v>
      </c>
      <c r="C7" s="172" t="s">
        <v>920</v>
      </c>
      <c r="D7" s="2289">
        <f>SUMIF(项目基本情况!D$15:I$15,C7,项目基本情况!D$18:I$18)</f>
        <v>70</v>
      </c>
      <c r="E7" s="2290">
        <f>IF(B7="","",SUMIF(项目基本情况!D$15:I$15,C7,项目基本情况!D$17:I$17))</f>
        <v>66565</v>
      </c>
      <c r="F7" s="173">
        <f>SUMIF(项目基本情况!D$15:I$15,C7,项目基本情况!D$19:I$19)</f>
        <v>61.68</v>
      </c>
      <c r="G7" s="174">
        <f t="shared" ref="G7:G11" si="2">IF(ISERROR(ROUND(POWER(1+H7,D7-F7)*(POWER(1+H7,F7)-1)/(POWER(1+H7,D7)-1),3)),0,ROUND(POWER(1+H7,D7-F7)*(POWER(1+H7,F7)-1)/(POWER(1+H7,D7)-1),3))</f>
        <v>0.97899999999999998</v>
      </c>
      <c r="H7" s="2857">
        <f>H6</f>
        <v>4.4999999999999998E-2</v>
      </c>
      <c r="I7" s="2857">
        <f>I6</f>
        <v>0.05</v>
      </c>
      <c r="J7" s="175">
        <f>J6</f>
        <v>0.08</v>
      </c>
      <c r="K7" s="178">
        <f>SUMIF('数据-汇总表'!C$19:C$33,'数据-取费表'!A7,'数据-汇总表'!E$19:E$33)</f>
        <v>41200.360000000008</v>
      </c>
      <c r="L7" s="2858">
        <f>L6</f>
        <v>2500</v>
      </c>
      <c r="M7" s="176">
        <f t="shared" si="0"/>
        <v>10300</v>
      </c>
      <c r="N7" s="2859">
        <f>N6</f>
        <v>0</v>
      </c>
      <c r="O7" s="176">
        <f t="shared" ref="O7:O14" si="3">IF($N$5="成新度","——",ROUND(M7*N7,0))</f>
        <v>0</v>
      </c>
      <c r="P7" s="177">
        <f t="shared" ref="P7:P14" si="4">IF($N$5="成新度","——",M7-O7)</f>
        <v>10300</v>
      </c>
      <c r="Q7" s="2860">
        <f>Q6</f>
        <v>0.15</v>
      </c>
      <c r="R7" s="178">
        <f>SUMIF('数据-汇总表'!C$19:C$33,A7,'数据-汇总表'!R$19:R$33)</f>
        <v>16560.66</v>
      </c>
      <c r="S7" s="132">
        <f>IF('数据-汇总表'!$I$17="按面积比例",SUMIF('数据-汇总表'!C$19:C$33,A7,'数据-汇总表'!K$19:K$33),SUMIF('数据-汇总表'!C$19:C$33,A7,'数据-汇总表'!N$19:N$33))</f>
        <v>2921.29</v>
      </c>
      <c r="T7" s="2215">
        <f t="shared" ref="T7:T13" si="5">IF($T$4="按面积比例",IF(ISERROR(ROUND($M$14*S7/S$16,0)),"0",ROUND($M$14*S7/S$16,0)),"需自行计算录入")</f>
        <v>730</v>
      </c>
      <c r="U7" s="179"/>
      <c r="V7" s="180"/>
      <c r="W7" s="180"/>
      <c r="X7" s="2302"/>
      <c r="Y7" s="181"/>
      <c r="Z7" s="182"/>
      <c r="AA7" s="175"/>
      <c r="AB7" s="175"/>
      <c r="AC7" s="2305"/>
      <c r="AD7" s="183"/>
      <c r="AE7" s="970">
        <f t="shared" ref="AE7:AE13" ca="1" si="6">IF(AN7="",0,SUMIF(INDIRECT("'"&amp;AN7&amp;"'"&amp;"!E:E"),$AE$5,INDIRECT("'"&amp;AN7&amp;"'"&amp;"!F:F")))</f>
        <v>0</v>
      </c>
      <c r="AF7" s="140"/>
      <c r="AG7" s="1207">
        <f t="shared" ref="AG7:AG13" si="7">IF(AF7="",0,AE7-AF7)</f>
        <v>0</v>
      </c>
      <c r="AH7" s="140"/>
      <c r="AI7" s="186"/>
      <c r="AJ7" s="187"/>
      <c r="AK7" s="188"/>
      <c r="AL7" s="189"/>
      <c r="AM7" s="2350"/>
      <c r="AN7" s="2352"/>
      <c r="AO7" s="1981"/>
      <c r="AP7" s="1198">
        <f t="shared" ref="AP7:AP13" si="8">ROUND(1-1/(1+H7)^F7,3)</f>
        <v>0.93400000000000005</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25">
      <c r="A8" s="2283" t="str">
        <f>'数据-汇总表'!C21</f>
        <v>合院</v>
      </c>
      <c r="B8" s="2318" t="str">
        <f t="shared" si="1"/>
        <v>经营性</v>
      </c>
      <c r="C8" s="172" t="s">
        <v>920</v>
      </c>
      <c r="D8" s="2289">
        <f>SUMIF(项目基本情况!D$15:I$15,C8,项目基本情况!D$18:I$18)</f>
        <v>70</v>
      </c>
      <c r="E8" s="2290">
        <f>IF(B8="","",SUMIF(项目基本情况!D$15:I$15,C8,项目基本情况!D$17:I$17))</f>
        <v>66565</v>
      </c>
      <c r="F8" s="173">
        <f>SUMIF(项目基本情况!D$15:I$15,C8,项目基本情况!D$19:I$19)</f>
        <v>61.68</v>
      </c>
      <c r="G8" s="174">
        <f t="shared" si="2"/>
        <v>0.97899999999999998</v>
      </c>
      <c r="H8" s="2857">
        <f>H6</f>
        <v>4.4999999999999998E-2</v>
      </c>
      <c r="I8" s="2857">
        <f>I6</f>
        <v>0.05</v>
      </c>
      <c r="J8" s="175">
        <f>J6</f>
        <v>0.08</v>
      </c>
      <c r="K8" s="178">
        <f>SUMIF('数据-汇总表'!C$19:C$33,'数据-取费表'!A8,'数据-汇总表'!E$19:E$33)</f>
        <v>13269.76</v>
      </c>
      <c r="L8" s="2858">
        <f>L6</f>
        <v>2500</v>
      </c>
      <c r="M8" s="176">
        <f>ROUND(K8*L8/10000,0)</f>
        <v>3317</v>
      </c>
      <c r="N8" s="2859">
        <f>N6</f>
        <v>0</v>
      </c>
      <c r="O8" s="176">
        <f t="shared" si="3"/>
        <v>0</v>
      </c>
      <c r="P8" s="177">
        <f t="shared" si="4"/>
        <v>3317</v>
      </c>
      <c r="Q8" s="2860">
        <f>Q6</f>
        <v>0.15</v>
      </c>
      <c r="R8" s="178">
        <f>SUMIF('数据-汇总表'!C$19:C$33,A8,'数据-汇总表'!R$19:R$33)</f>
        <v>5333.83</v>
      </c>
      <c r="S8" s="132">
        <f>IF('数据-汇总表'!$I$17="按面积比例",SUMIF('数据-汇总表'!C$19:C$33,A8,'数据-汇总表'!K$19:K$33),SUMIF('数据-汇总表'!C$19:C$33,A8,'数据-汇总表'!N$19:N$33))</f>
        <v>940.89</v>
      </c>
      <c r="T8" s="2215">
        <f t="shared" si="5"/>
        <v>235</v>
      </c>
      <c r="U8" s="179"/>
      <c r="V8" s="180"/>
      <c r="W8" s="180"/>
      <c r="X8" s="2302"/>
      <c r="Y8" s="181"/>
      <c r="Z8" s="182"/>
      <c r="AA8" s="175"/>
      <c r="AB8" s="175"/>
      <c r="AC8" s="2305"/>
      <c r="AD8" s="183"/>
      <c r="AE8" s="970">
        <f t="shared" ca="1" si="6"/>
        <v>0</v>
      </c>
      <c r="AF8" s="140"/>
      <c r="AG8" s="1207">
        <f t="shared" si="7"/>
        <v>0</v>
      </c>
      <c r="AH8" s="140"/>
      <c r="AI8" s="186"/>
      <c r="AJ8" s="187"/>
      <c r="AK8" s="188"/>
      <c r="AL8" s="189"/>
      <c r="AM8" s="2350"/>
      <c r="AN8" s="2352"/>
      <c r="AO8" s="1981"/>
      <c r="AP8" s="1198">
        <f t="shared" si="8"/>
        <v>0.93400000000000005</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25">
      <c r="A9" s="2283" t="str">
        <f>'数据-汇总表'!C22</f>
        <v>商业</v>
      </c>
      <c r="B9" s="2318" t="str">
        <f t="shared" si="1"/>
        <v>经营性</v>
      </c>
      <c r="C9" s="172" t="s">
        <v>2996</v>
      </c>
      <c r="D9" s="2289">
        <f>SUMIF(项目基本情况!D$15:I$15,C9,项目基本情况!D$18:I$18)</f>
        <v>40</v>
      </c>
      <c r="E9" s="2290">
        <f>IF(B9="","",SUMIF(项目基本情况!D$15:I$15,C9,项目基本情况!D$17:I$17))</f>
        <v>55608</v>
      </c>
      <c r="F9" s="173">
        <f>SUMIF(项目基本情况!D$15:I$15,C9,项目基本情况!D$19:I$19)</f>
        <v>31.66</v>
      </c>
      <c r="G9" s="174">
        <f t="shared" si="2"/>
        <v>0.91700000000000004</v>
      </c>
      <c r="H9" s="175">
        <v>0.05</v>
      </c>
      <c r="I9" s="175">
        <v>5.5E-2</v>
      </c>
      <c r="J9" s="175">
        <v>0.08</v>
      </c>
      <c r="K9" s="178">
        <f>SUMIF('数据-汇总表'!C$19:C$33,'数据-取费表'!A9,'数据-汇总表'!E$19:E$33)</f>
        <v>11647.55</v>
      </c>
      <c r="L9" s="192">
        <v>3000</v>
      </c>
      <c r="M9" s="176">
        <f t="shared" si="0"/>
        <v>3494</v>
      </c>
      <c r="N9" s="193">
        <f>N6</f>
        <v>0</v>
      </c>
      <c r="O9" s="176">
        <f t="shared" si="3"/>
        <v>0</v>
      </c>
      <c r="P9" s="177">
        <f t="shared" si="4"/>
        <v>3494</v>
      </c>
      <c r="Q9" s="191">
        <v>0.2</v>
      </c>
      <c r="R9" s="178">
        <f>SUMIF('数据-汇总表'!C$19:C$33,A9,'数据-汇总表'!R$19:R$33)</f>
        <v>4681.7800000000007</v>
      </c>
      <c r="S9" s="132">
        <f>IF('数据-汇总表'!$I$17="按面积比例",SUMIF('数据-汇总表'!C$19:C$33,A9,'数据-汇总表'!K$19:K$33),SUMIF('数据-汇总表'!C$19:C$33,A9,'数据-汇总表'!N$19:N$33))</f>
        <v>825.86</v>
      </c>
      <c r="T9" s="2215">
        <f t="shared" si="5"/>
        <v>206</v>
      </c>
      <c r="U9" s="179">
        <v>3</v>
      </c>
      <c r="V9" s="180">
        <v>0.03</v>
      </c>
      <c r="W9" s="3531">
        <v>0.1</v>
      </c>
      <c r="X9" s="2302"/>
      <c r="Y9" s="181">
        <v>1</v>
      </c>
      <c r="Z9" s="182"/>
      <c r="AA9" s="175"/>
      <c r="AB9" s="175"/>
      <c r="AC9" s="2305"/>
      <c r="AD9" s="183"/>
      <c r="AE9" s="970">
        <f t="shared" ca="1" si="6"/>
        <v>31.66</v>
      </c>
      <c r="AF9" s="140"/>
      <c r="AG9" s="1207">
        <f t="shared" si="7"/>
        <v>0</v>
      </c>
      <c r="AH9" s="140"/>
      <c r="AI9" s="186">
        <v>365</v>
      </c>
      <c r="AJ9" s="187"/>
      <c r="AK9" s="188">
        <v>1.4999999999999999E-2</v>
      </c>
      <c r="AL9" s="189">
        <v>1.5E-3</v>
      </c>
      <c r="AM9" s="2350">
        <v>1.4999999999999999E-2</v>
      </c>
      <c r="AN9" s="2352" t="s">
        <v>3301</v>
      </c>
      <c r="AO9" s="1981"/>
      <c r="AP9" s="1198">
        <f t="shared" si="8"/>
        <v>0.78700000000000003</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25">
      <c r="A10" s="2283" t="str">
        <f>'数据-汇总表'!C23</f>
        <v>办公</v>
      </c>
      <c r="B10" s="2318" t="str">
        <f t="shared" si="1"/>
        <v>经营性</v>
      </c>
      <c r="C10" s="172" t="s">
        <v>1674</v>
      </c>
      <c r="D10" s="2289">
        <f>SUMIF(项目基本情况!D$15:I$15,C10,项目基本情况!D$18:I$18)</f>
        <v>50</v>
      </c>
      <c r="E10" s="2290">
        <f>IF(B10="","",SUMIF(项目基本情况!D$15:I$15,C10,项目基本情况!D$17:I$17))</f>
        <v>59260</v>
      </c>
      <c r="F10" s="173">
        <f>SUMIF(项目基本情况!D$15:I$15,C10,项目基本情况!D$19:I$19)</f>
        <v>41.67</v>
      </c>
      <c r="G10" s="174">
        <f t="shared" si="2"/>
        <v>0.95199999999999996</v>
      </c>
      <c r="H10" s="175">
        <f>H9</f>
        <v>0.05</v>
      </c>
      <c r="I10" s="175">
        <f>I9</f>
        <v>5.5E-2</v>
      </c>
      <c r="J10" s="175">
        <f>J9</f>
        <v>0.08</v>
      </c>
      <c r="K10" s="178">
        <f>SUMIF('数据-汇总表'!C$19:C$33,'数据-取费表'!A10,'数据-汇总表'!E$19:E$33)</f>
        <v>55077.55</v>
      </c>
      <c r="L10" s="192">
        <v>3000</v>
      </c>
      <c r="M10" s="176">
        <f t="shared" si="0"/>
        <v>16523</v>
      </c>
      <c r="N10" s="193">
        <f>N6</f>
        <v>0</v>
      </c>
      <c r="O10" s="176">
        <f t="shared" si="3"/>
        <v>0</v>
      </c>
      <c r="P10" s="177">
        <f t="shared" si="4"/>
        <v>16523</v>
      </c>
      <c r="Q10" s="191">
        <v>0.2</v>
      </c>
      <c r="R10" s="178">
        <f>SUMIF('数据-汇总表'!C$19:C$33,A10,'数据-汇总表'!R$19:R$33)</f>
        <v>22138.66</v>
      </c>
      <c r="S10" s="132">
        <f>IF('数据-汇总表'!$I$17="按面积比例",SUMIF('数据-汇总表'!C$19:C$33,A10,'数据-汇总表'!K$19:K$33),SUMIF('数据-汇总表'!C$19:C$33,A10,'数据-汇总表'!N$19:N$33))</f>
        <v>3905.25</v>
      </c>
      <c r="T10" s="2215">
        <f t="shared" si="5"/>
        <v>976</v>
      </c>
      <c r="U10" s="179">
        <v>1.5</v>
      </c>
      <c r="V10" s="180">
        <v>0.03</v>
      </c>
      <c r="W10" s="3531">
        <v>0.1</v>
      </c>
      <c r="X10" s="2302"/>
      <c r="Y10" s="181">
        <v>1</v>
      </c>
      <c r="Z10" s="182"/>
      <c r="AA10" s="175"/>
      <c r="AB10" s="175"/>
      <c r="AC10" s="2305"/>
      <c r="AD10" s="183"/>
      <c r="AE10" s="970">
        <f t="shared" ca="1" si="6"/>
        <v>41.67</v>
      </c>
      <c r="AF10" s="140"/>
      <c r="AG10" s="1207">
        <f t="shared" si="7"/>
        <v>0</v>
      </c>
      <c r="AH10" s="140"/>
      <c r="AI10" s="186">
        <v>365</v>
      </c>
      <c r="AJ10" s="187"/>
      <c r="AK10" s="188">
        <v>1.4999999999999999E-2</v>
      </c>
      <c r="AL10" s="189">
        <v>1.5E-3</v>
      </c>
      <c r="AM10" s="2350">
        <v>1.4999999999999999E-2</v>
      </c>
      <c r="AN10" s="2352" t="s">
        <v>3302</v>
      </c>
      <c r="AO10" s="1981"/>
      <c r="AP10" s="1198">
        <f t="shared" si="8"/>
        <v>0.86899999999999999</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25">
      <c r="A11" s="2283" t="str">
        <f>'数据-汇总表'!C24</f>
        <v>车库</v>
      </c>
      <c r="B11" s="2318" t="str">
        <f t="shared" si="1"/>
        <v>经营性</v>
      </c>
      <c r="C11" s="172" t="s">
        <v>2997</v>
      </c>
      <c r="D11" s="2289">
        <f>SUMIF(项目基本情况!D$15:I$15,C11,项目基本情况!D$18:I$18)</f>
        <v>50</v>
      </c>
      <c r="E11" s="2290">
        <f>IF(B11="","",SUMIF(项目基本情况!D$15:I$15,C11,项目基本情况!D$17:I$17))</f>
        <v>59260</v>
      </c>
      <c r="F11" s="173">
        <f>SUMIF(项目基本情况!D$15:I$15,C11,项目基本情况!D$19:I$19)</f>
        <v>41.67</v>
      </c>
      <c r="G11" s="174">
        <f t="shared" si="2"/>
        <v>0.93700000000000006</v>
      </c>
      <c r="H11" s="175">
        <v>0.04</v>
      </c>
      <c r="I11" s="175">
        <v>4.4999999999999998E-2</v>
      </c>
      <c r="J11" s="175">
        <v>0.08</v>
      </c>
      <c r="K11" s="178">
        <f>SUMIF('数据-汇总表'!C$19:C$33,'数据-取费表'!A11,'数据-汇总表'!E$19:E$33)</f>
        <v>109970</v>
      </c>
      <c r="L11" s="192">
        <v>2500</v>
      </c>
      <c r="M11" s="176">
        <f t="shared" si="0"/>
        <v>27493</v>
      </c>
      <c r="N11" s="193">
        <f>N6</f>
        <v>0</v>
      </c>
      <c r="O11" s="176">
        <f t="shared" si="3"/>
        <v>0</v>
      </c>
      <c r="P11" s="177">
        <f t="shared" si="4"/>
        <v>27493</v>
      </c>
      <c r="Q11" s="191">
        <v>0.03</v>
      </c>
      <c r="R11" s="178">
        <f>SUMIF('数据-汇总表'!C$19:C$33,A11,'数据-汇总表'!R$19:R$33)</f>
        <v>44202.909999999996</v>
      </c>
      <c r="S11" s="132">
        <f>IF('数据-汇总表'!$I$17="按面积比例",SUMIF('数据-汇总表'!C$19:C$33,A11,'数据-汇总表'!K$19:K$33),SUMIF('数据-汇总表'!C$19:C$33,A11,'数据-汇总表'!N$19:N$33))</f>
        <v>7797.37</v>
      </c>
      <c r="T11" s="2215">
        <f t="shared" si="5"/>
        <v>1949</v>
      </c>
      <c r="U11" s="184">
        <v>400</v>
      </c>
      <c r="V11" s="175">
        <v>0.02</v>
      </c>
      <c r="W11" s="3532">
        <v>0.1</v>
      </c>
      <c r="X11" s="2305"/>
      <c r="Y11" s="181">
        <v>1</v>
      </c>
      <c r="Z11" s="194"/>
      <c r="AA11" s="175"/>
      <c r="AB11" s="175"/>
      <c r="AC11" s="2305"/>
      <c r="AD11" s="183"/>
      <c r="AE11" s="970">
        <f t="shared" ca="1" si="6"/>
        <v>41.67</v>
      </c>
      <c r="AF11" s="140"/>
      <c r="AG11" s="1207">
        <f t="shared" si="7"/>
        <v>0</v>
      </c>
      <c r="AH11" s="140">
        <v>3159</v>
      </c>
      <c r="AI11" s="186">
        <v>12</v>
      </c>
      <c r="AJ11" s="187"/>
      <c r="AK11" s="195">
        <v>1.4999999999999999E-2</v>
      </c>
      <c r="AL11" s="196">
        <v>1.5E-3</v>
      </c>
      <c r="AM11" s="1798">
        <v>0.01</v>
      </c>
      <c r="AN11" s="2352" t="s">
        <v>3316</v>
      </c>
      <c r="AO11" s="1981"/>
      <c r="AP11" s="1198">
        <f t="shared" si="8"/>
        <v>0.80500000000000005</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25">
      <c r="A12" s="2283" t="str">
        <f>'数据-汇总表'!C25</f>
        <v>保障房</v>
      </c>
      <c r="B12" s="2318" t="str">
        <f t="shared" si="1"/>
        <v>经营性</v>
      </c>
      <c r="C12" s="172" t="s">
        <v>920</v>
      </c>
      <c r="D12" s="2289">
        <f>SUMIF(项目基本情况!D$15:I$15,C12,项目基本情况!D$18:I$18)</f>
        <v>70</v>
      </c>
      <c r="E12" s="2290">
        <f>IF(B12="","",SUMIF(项目基本情况!D$15:I$15,C12,项目基本情况!D$17:I$17))</f>
        <v>66565</v>
      </c>
      <c r="F12" s="173">
        <f>SUMIF(项目基本情况!D$15:I$15,C12,项目基本情况!D$19:I$19)</f>
        <v>61.68</v>
      </c>
      <c r="G12" s="174">
        <f>IF(ISERROR(ROUND(POWER(1+H12,D12-F12)*(POWER(1+H12,F12)-1)/(POWER(1+H12,D12)-1),3)),0,ROUND(POWER(1+H12,D12-F12)*(POWER(1+H12,F12)-1)/(POWER(1+H12,D12)-1),3))</f>
        <v>0.97899999999999998</v>
      </c>
      <c r="H12" s="175">
        <f>H6</f>
        <v>4.4999999999999998E-2</v>
      </c>
      <c r="I12" s="175">
        <f>I6</f>
        <v>0.05</v>
      </c>
      <c r="J12" s="175">
        <f>J6</f>
        <v>0.08</v>
      </c>
      <c r="K12" s="178">
        <f>SUMIF('数据-汇总表'!C$19:C$33,'数据-取费表'!A12,'数据-汇总表'!E$19:E$33)</f>
        <v>7729.71</v>
      </c>
      <c r="L12" s="192">
        <v>2200</v>
      </c>
      <c r="M12" s="176">
        <f>ROUND(K12*L12/10000,0)</f>
        <v>1701</v>
      </c>
      <c r="N12" s="193">
        <f>N6</f>
        <v>0</v>
      </c>
      <c r="O12" s="176">
        <f t="shared" si="3"/>
        <v>0</v>
      </c>
      <c r="P12" s="177">
        <f t="shared" si="4"/>
        <v>1701</v>
      </c>
      <c r="Q12" s="191">
        <v>0</v>
      </c>
      <c r="R12" s="178">
        <f>SUMIF('数据-汇总表'!C$19:C$33,A12,'数据-汇总表'!R$19:R$33)</f>
        <v>3106.9900000000002</v>
      </c>
      <c r="S12" s="132">
        <f>IF('数据-汇总表'!$I$17="按面积比例",SUMIF('数据-汇总表'!C$19:C$33,A12,'数据-汇总表'!K$19:K$33),SUMIF('数据-汇总表'!C$19:C$33,A12,'数据-汇总表'!N$19:N$33))</f>
        <v>548.07000000000005</v>
      </c>
      <c r="T12" s="2215">
        <f t="shared" si="5"/>
        <v>137</v>
      </c>
      <c r="U12" s="184"/>
      <c r="V12" s="175"/>
      <c r="W12" s="175"/>
      <c r="X12" s="2305"/>
      <c r="Y12" s="181"/>
      <c r="Z12" s="194"/>
      <c r="AA12" s="175"/>
      <c r="AB12" s="175"/>
      <c r="AC12" s="2305"/>
      <c r="AD12" s="183"/>
      <c r="AE12" s="970">
        <f t="shared" ca="1" si="6"/>
        <v>0</v>
      </c>
      <c r="AF12" s="140"/>
      <c r="AG12" s="1207">
        <f t="shared" si="7"/>
        <v>0</v>
      </c>
      <c r="AH12" s="140"/>
      <c r="AI12" s="186"/>
      <c r="AJ12" s="187"/>
      <c r="AK12" s="195"/>
      <c r="AL12" s="196"/>
      <c r="AM12" s="1798"/>
      <c r="AN12" s="2352"/>
      <c r="AO12" s="1981"/>
      <c r="AP12" s="1198">
        <f t="shared" si="8"/>
        <v>0.93400000000000005</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25">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15">
        <f t="shared" si="5"/>
        <v>0</v>
      </c>
      <c r="U13" s="179"/>
      <c r="V13" s="180"/>
      <c r="W13" s="180"/>
      <c r="X13" s="2302"/>
      <c r="Y13" s="181"/>
      <c r="Z13" s="182"/>
      <c r="AA13" s="175"/>
      <c r="AB13" s="175"/>
      <c r="AC13" s="2305"/>
      <c r="AD13" s="183"/>
      <c r="AE13" s="970">
        <f t="shared" ca="1" si="6"/>
        <v>0</v>
      </c>
      <c r="AF13" s="140"/>
      <c r="AG13" s="1207">
        <f t="shared" si="7"/>
        <v>0</v>
      </c>
      <c r="AH13" s="140"/>
      <c r="AI13" s="186"/>
      <c r="AJ13" s="187"/>
      <c r="AK13" s="188"/>
      <c r="AL13" s="189"/>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4.25">
      <c r="A14" s="2284" t="s">
        <v>2305</v>
      </c>
      <c r="B14" s="2287" t="s">
        <v>1676</v>
      </c>
      <c r="C14" s="2288" t="s">
        <v>2305</v>
      </c>
      <c r="D14" s="2289"/>
      <c r="E14" s="2290"/>
      <c r="F14" s="173"/>
      <c r="G14" s="174"/>
      <c r="H14" s="2291"/>
      <c r="I14" s="2291"/>
      <c r="J14" s="2291"/>
      <c r="K14" s="178">
        <f>SUMIF('数据-汇总表'!C$19:C$33,'数据-取费表'!A14,'数据-汇总表'!E$19:E$33)</f>
        <v>30797.550000000014</v>
      </c>
      <c r="L14" s="192">
        <v>2500</v>
      </c>
      <c r="M14" s="176">
        <f t="shared" si="0"/>
        <v>7699</v>
      </c>
      <c r="N14" s="193">
        <f>N6</f>
        <v>0</v>
      </c>
      <c r="O14" s="176">
        <f t="shared" si="3"/>
        <v>0</v>
      </c>
      <c r="P14" s="177">
        <f t="shared" si="4"/>
        <v>7699</v>
      </c>
      <c r="Q14" s="2299"/>
      <c r="R14" s="178"/>
      <c r="S14" s="132"/>
      <c r="T14" s="2298"/>
      <c r="U14" s="972"/>
      <c r="V14" s="2301"/>
      <c r="W14" s="2301"/>
      <c r="X14" s="2302"/>
      <c r="Y14" s="2303"/>
      <c r="Z14" s="136"/>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7">
      <c r="A15" s="2293" t="s">
        <v>2307</v>
      </c>
      <c r="B15" s="2287" t="s">
        <v>1676</v>
      </c>
      <c r="C15" s="2288" t="s">
        <v>2306</v>
      </c>
      <c r="D15" s="2289"/>
      <c r="E15" s="2290"/>
      <c r="F15" s="173"/>
      <c r="G15" s="174"/>
      <c r="H15" s="2291"/>
      <c r="I15" s="2291"/>
      <c r="J15" s="2291"/>
      <c r="K15" s="178">
        <f>SUMIF('数据-汇总表'!C$19:C$33,'数据-取费表'!A15,'数据-汇总表'!E$19:E$33)</f>
        <v>6935.72</v>
      </c>
      <c r="L15" s="2297"/>
      <c r="M15" s="176"/>
      <c r="N15" s="2300"/>
      <c r="O15" s="176"/>
      <c r="P15" s="177"/>
      <c r="Q15" s="2299"/>
      <c r="R15" s="178"/>
      <c r="S15" s="132"/>
      <c r="T15" s="2298"/>
      <c r="U15" s="972"/>
      <c r="V15" s="2301"/>
      <c r="W15" s="2301"/>
      <c r="X15" s="2302"/>
      <c r="Y15" s="2303"/>
      <c r="Z15" s="136"/>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75" thickBot="1">
      <c r="A16" s="197" t="s">
        <v>262</v>
      </c>
      <c r="B16" s="198"/>
      <c r="C16" s="199"/>
      <c r="D16" s="200"/>
      <c r="E16" s="198"/>
      <c r="F16" s="198"/>
      <c r="G16" s="201">
        <f>ROUND(SUMPRODUCT(G6:G13,K6:K13)/SUMPRODUCT((G6:G13&gt;0)*(K6:K13)),3)</f>
        <v>0.96299999999999997</v>
      </c>
      <c r="H16" s="202">
        <f>ROUND(SUMPRODUCT(H6:H13,K6:K13)/SUMPRODUCT((H6:H13&gt;0)*(K6:K13)),3)</f>
        <v>4.4999999999999998E-2</v>
      </c>
      <c r="I16" s="203"/>
      <c r="J16" s="203"/>
      <c r="K16" s="204">
        <f>SUM(K6:K15)</f>
        <v>472085.51999999996</v>
      </c>
      <c r="L16" s="205">
        <f>ROUND(M16*10000/SUM(K6:K14),0)</f>
        <v>2567</v>
      </c>
      <c r="M16" s="205">
        <f>SUM(M6:M14)</f>
        <v>119391</v>
      </c>
      <c r="N16" s="206">
        <f>ROUND(SUMPRODUCT(M6:M14,N6:N14)/M16,3)</f>
        <v>0</v>
      </c>
      <c r="O16" s="205">
        <f>SUM(O6:O14)</f>
        <v>0</v>
      </c>
      <c r="P16" s="205">
        <f>SUM(P6:P14)</f>
        <v>119391</v>
      </c>
      <c r="Q16" s="207">
        <f>ROUND(SUMPRODUCT(Q6:Q13,K6:K13)/SUMPRODUCT((Q6:Q13&gt;0)*(K6:K13)),2)</f>
        <v>0.13</v>
      </c>
      <c r="R16" s="2292">
        <f>SUM(R6:R13)</f>
        <v>174589.74</v>
      </c>
      <c r="S16" s="208">
        <f>SUM(S6:S13)</f>
        <v>30797.539999999997</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8">
        <f>ROUND(SUMPRODUCT(AP6:AP13,K6:K13)/SUMPRODUCT((AP6:AP13&gt;0)*(K6:K13)),3)</f>
        <v>0.88900000000000001</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263</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v>0</v>
      </c>
      <c r="C19" s="2324" t="s">
        <v>2327</v>
      </c>
      <c r="D19" s="1974"/>
      <c r="E19" s="1973"/>
      <c r="F19" s="1973"/>
      <c r="G19" s="1973"/>
      <c r="H19" s="1973"/>
      <c r="I19" s="1973"/>
      <c r="J19" s="1973"/>
      <c r="K19" s="1972"/>
      <c r="L19" s="1972"/>
      <c r="M19" s="1970"/>
      <c r="N19" s="1970"/>
      <c r="O19" s="1970"/>
      <c r="P19" s="1970"/>
      <c r="Q19" s="1970"/>
      <c r="R19" s="1970"/>
      <c r="S19" s="1970"/>
      <c r="T19" s="1970"/>
      <c r="U19" s="1970" t="s">
        <v>3303</v>
      </c>
      <c r="V19" s="1970">
        <v>1</v>
      </c>
      <c r="W19" s="1970">
        <v>3.5</v>
      </c>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219">
        <v>3</v>
      </c>
      <c r="C20" s="2324" t="s">
        <v>2326</v>
      </c>
      <c r="D20" s="1974"/>
      <c r="E20" s="1973"/>
      <c r="F20" s="1973"/>
      <c r="G20" s="1973"/>
      <c r="H20" s="1973"/>
      <c r="I20" s="1973"/>
      <c r="J20" s="1973"/>
      <c r="K20" s="1972"/>
      <c r="L20" s="1972"/>
      <c r="M20" s="1970"/>
      <c r="N20" s="1970"/>
      <c r="O20" s="1970"/>
      <c r="P20" s="1970"/>
      <c r="Q20" s="1970"/>
      <c r="R20" s="1970"/>
      <c r="S20" s="1970"/>
      <c r="T20" s="1970"/>
      <c r="U20" s="1970" t="s">
        <v>3304</v>
      </c>
      <c r="V20" s="1970">
        <v>0.7</v>
      </c>
      <c r="W20" s="1970">
        <f>W19*V20</f>
        <v>2.4499999999999997</v>
      </c>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f>ROUND((W19+W20)/2,2)</f>
        <v>2.98</v>
      </c>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3</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3</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7.75">
      <c r="A27" s="225" t="s">
        <v>2329</v>
      </c>
      <c r="B27" s="226">
        <v>105</v>
      </c>
      <c r="C27" s="2327" t="s">
        <v>2333</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7.75">
      <c r="A28" s="227" t="s">
        <v>2330</v>
      </c>
      <c r="B28" s="228">
        <v>105</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8.5" thickBot="1">
      <c r="A29" s="230" t="s">
        <v>2328</v>
      </c>
      <c r="B29" s="231"/>
      <c r="C29" s="1535" t="s">
        <v>2331</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7">
      <c r="A30" s="234" t="s">
        <v>273</v>
      </c>
      <c r="B30" s="976">
        <v>180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7">
      <c r="A31" s="227" t="s">
        <v>274</v>
      </c>
      <c r="B31" s="229">
        <f>B30-B32</f>
        <v>180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7.75" thickBot="1">
      <c r="A32" s="236" t="s">
        <v>275</v>
      </c>
      <c r="B32" s="3530">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25">
      <c r="A33" s="225" t="s">
        <v>278</v>
      </c>
      <c r="B33" s="1371">
        <v>0.03</v>
      </c>
      <c r="C33" s="2325" t="s">
        <v>2884</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2">
        <v>0.05</v>
      </c>
      <c r="C34" s="2325" t="s">
        <v>2885</v>
      </c>
      <c r="D34" s="1974" t="s">
        <v>868</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180</v>
      </c>
      <c r="C35" s="2325" t="s">
        <v>2886</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2887</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235">
        <v>0.02</v>
      </c>
      <c r="C37" s="2325" t="s">
        <v>2888</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2">
        <v>0.02</v>
      </c>
      <c r="C38" s="2325" t="s">
        <v>2888</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2447</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2448</v>
      </c>
      <c r="B40" s="2441">
        <f ca="1">存贷款利率!E2</f>
        <v>4.7500000000000001E-2</v>
      </c>
      <c r="C40" s="2325" t="s">
        <v>2332</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7">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7" t="s">
        <v>283</v>
      </c>
      <c r="B42" s="239">
        <v>0.05</v>
      </c>
      <c r="C42" s="2925">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7" t="s">
        <v>284</v>
      </c>
      <c r="B43" s="240">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7.0000000000000007E-2</v>
      </c>
      <c r="C44" s="2325" t="s">
        <v>2889</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2890</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2891</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2899" t="s">
        <v>2892</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245">
        <v>0.03</v>
      </c>
      <c r="C48" s="2900" t="s">
        <v>2893</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2900" t="s">
        <v>2894</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6" t="s">
        <v>293</v>
      </c>
      <c r="B52" s="249">
        <f>SUMIF(A54:A63,B53,B54:B63)</f>
        <v>8</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50" t="s">
        <v>922</v>
      </c>
      <c r="C53" s="2901" t="s">
        <v>2895</v>
      </c>
      <c r="D53" s="2902" t="s">
        <v>2896</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2904" t="s">
        <v>2897</v>
      </c>
      <c r="B54" s="185"/>
      <c r="C54" s="1975">
        <v>30</v>
      </c>
      <c r="D54" s="290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2904" t="s">
        <v>2898</v>
      </c>
      <c r="B55" s="185"/>
      <c r="C55" s="1975">
        <v>24</v>
      </c>
      <c r="D55" s="290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2904" t="s">
        <v>2899</v>
      </c>
      <c r="B56" s="185"/>
      <c r="C56" s="1975">
        <v>18</v>
      </c>
      <c r="D56" s="290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2904" t="s">
        <v>2900</v>
      </c>
      <c r="B57" s="185">
        <v>8</v>
      </c>
      <c r="C57" s="1975">
        <v>12</v>
      </c>
      <c r="D57" s="290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2904" t="s">
        <v>2901</v>
      </c>
      <c r="B58" s="185"/>
      <c r="C58" s="1975">
        <v>3</v>
      </c>
      <c r="D58" s="290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2904" t="s">
        <v>2902</v>
      </c>
      <c r="B59" s="185"/>
      <c r="C59" s="1975">
        <v>1.5</v>
      </c>
      <c r="D59" s="290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2904" t="s">
        <v>2903</v>
      </c>
      <c r="B60" s="185"/>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2904" t="s">
        <v>2904</v>
      </c>
      <c r="B61" s="185"/>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2904" t="s">
        <v>2905</v>
      </c>
      <c r="B62" s="185"/>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2905" t="s">
        <v>2906</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07" t="s">
        <v>1660</v>
      </c>
      <c r="B1" s="3308"/>
      <c r="C1" s="3308"/>
      <c r="D1" s="3308"/>
      <c r="E1" s="3308"/>
      <c r="F1" s="3308"/>
      <c r="G1" s="3308"/>
      <c r="H1" s="1983"/>
      <c r="I1" s="1984"/>
      <c r="J1" s="1985"/>
      <c r="K1" s="1983"/>
      <c r="L1" s="1984"/>
      <c r="M1" s="1985"/>
      <c r="N1" s="1983"/>
      <c r="O1" s="1984"/>
      <c r="P1" s="1985"/>
      <c r="Q1" s="1986"/>
      <c r="R1" s="1987"/>
    </row>
    <row r="2" spans="1:18" ht="14.25" thickBot="1">
      <c r="A2" s="1215"/>
      <c r="B2" s="1216"/>
      <c r="C2" s="1217" t="s">
        <v>1661</v>
      </c>
      <c r="D2" s="1218"/>
      <c r="E2" s="1219"/>
      <c r="F2" s="1220"/>
      <c r="G2" s="1217" t="s">
        <v>1662</v>
      </c>
      <c r="H2" s="1989"/>
      <c r="I2" s="1989"/>
      <c r="J2" s="1989"/>
      <c r="K2" s="1989"/>
      <c r="L2" s="1989"/>
      <c r="M2" s="1989"/>
      <c r="N2" s="1989"/>
      <c r="O2" s="1989"/>
      <c r="P2" s="1989"/>
      <c r="Q2" s="1989"/>
      <c r="R2" s="1989"/>
    </row>
    <row r="3" spans="1:18" ht="54">
      <c r="A3" s="1221" t="s">
        <v>1663</v>
      </c>
      <c r="B3" s="1222" t="s">
        <v>1650</v>
      </c>
      <c r="C3" s="2906" t="s">
        <v>2913</v>
      </c>
      <c r="D3" s="1990"/>
      <c r="E3" s="1223" t="s">
        <v>1663</v>
      </c>
      <c r="F3" s="1224" t="s">
        <v>1651</v>
      </c>
      <c r="G3" s="2910" t="s">
        <v>2912</v>
      </c>
      <c r="H3" s="1989"/>
      <c r="I3" s="1989"/>
      <c r="J3" s="1989"/>
      <c r="K3" s="1989"/>
      <c r="L3" s="1989"/>
      <c r="M3" s="1989"/>
      <c r="N3" s="1989"/>
      <c r="O3" s="1989"/>
      <c r="P3" s="1989"/>
      <c r="Q3" s="1989"/>
      <c r="R3" s="1989"/>
    </row>
    <row r="4" spans="1:18" ht="41.25">
      <c r="A4" s="1223"/>
      <c r="B4" s="1225" t="s">
        <v>1664</v>
      </c>
      <c r="C4" s="2907" t="s">
        <v>2914</v>
      </c>
      <c r="D4" s="1990"/>
      <c r="E4" s="1226"/>
      <c r="F4" s="1227" t="s">
        <v>1665</v>
      </c>
      <c r="G4" s="2908" t="s">
        <v>2909</v>
      </c>
      <c r="H4" s="1989"/>
      <c r="I4" s="1989"/>
      <c r="J4" s="1989"/>
      <c r="K4" s="1989"/>
      <c r="L4" s="1989"/>
      <c r="M4" s="1989"/>
      <c r="N4" s="1989"/>
      <c r="O4" s="1989"/>
      <c r="P4" s="1989"/>
      <c r="Q4" s="1989"/>
      <c r="R4" s="1989"/>
    </row>
    <row r="5" spans="1:18" ht="41.25">
      <c r="A5" s="1223"/>
      <c r="B5" s="1225" t="s">
        <v>1666</v>
      </c>
      <c r="C5" s="2907" t="s">
        <v>2915</v>
      </c>
      <c r="D5" s="1990"/>
      <c r="E5" s="1226"/>
      <c r="F5" s="1225" t="s">
        <v>2537</v>
      </c>
      <c r="G5" s="2908" t="s">
        <v>2910</v>
      </c>
      <c r="H5" s="1989"/>
      <c r="I5" s="1989"/>
      <c r="J5" s="1989"/>
      <c r="K5" s="1989"/>
      <c r="L5" s="1989"/>
      <c r="M5" s="1989"/>
      <c r="N5" s="1989"/>
      <c r="O5" s="1989"/>
      <c r="P5" s="1989"/>
      <c r="Q5" s="1989"/>
      <c r="R5" s="1989"/>
    </row>
    <row r="6" spans="1:18" ht="54">
      <c r="A6" s="1223"/>
      <c r="B6" s="1225" t="s">
        <v>1652</v>
      </c>
      <c r="C6" s="2908" t="s">
        <v>2909</v>
      </c>
      <c r="D6" s="1990"/>
      <c r="E6" s="1226"/>
      <c r="F6" s="1225" t="s">
        <v>2538</v>
      </c>
      <c r="G6" s="2908" t="s">
        <v>2907</v>
      </c>
      <c r="H6" s="1989"/>
      <c r="I6" s="1989"/>
      <c r="J6" s="1989"/>
      <c r="K6" s="1989"/>
      <c r="L6" s="1989"/>
      <c r="M6" s="1989"/>
      <c r="N6" s="1989"/>
      <c r="O6" s="1989"/>
      <c r="P6" s="1989"/>
      <c r="Q6" s="1989"/>
      <c r="R6" s="1989"/>
    </row>
    <row r="7" spans="1:18" ht="41.25" thickBot="1">
      <c r="A7" s="1223"/>
      <c r="B7" s="1225" t="s">
        <v>2537</v>
      </c>
      <c r="C7" s="2908" t="s">
        <v>2910</v>
      </c>
      <c r="D7" s="1991"/>
      <c r="E7" s="1228"/>
      <c r="F7" s="1229" t="s">
        <v>1667</v>
      </c>
      <c r="G7" s="2911" t="s">
        <v>2911</v>
      </c>
      <c r="H7" s="1989"/>
      <c r="I7" s="1989"/>
      <c r="J7" s="1989"/>
      <c r="K7" s="1989"/>
      <c r="L7" s="1989"/>
      <c r="M7" s="1989"/>
      <c r="N7" s="1989"/>
      <c r="O7" s="1989"/>
      <c r="P7" s="1989"/>
      <c r="Q7" s="1989"/>
      <c r="R7" s="1989"/>
    </row>
    <row r="8" spans="1:18" ht="27">
      <c r="A8" s="1223"/>
      <c r="B8" s="1225" t="s">
        <v>2538</v>
      </c>
      <c r="C8" s="2908" t="s">
        <v>2907</v>
      </c>
      <c r="D8" s="1991"/>
      <c r="E8" s="1991"/>
      <c r="F8" s="1536"/>
      <c r="G8" s="1536"/>
      <c r="H8" s="1989"/>
      <c r="I8" s="1989"/>
      <c r="J8" s="1989"/>
      <c r="K8" s="1989"/>
      <c r="L8" s="1989"/>
      <c r="M8" s="1989"/>
      <c r="N8" s="1989"/>
      <c r="O8" s="1989"/>
      <c r="P8" s="1989"/>
      <c r="Q8" s="1989"/>
      <c r="R8" s="1989"/>
    </row>
    <row r="9" spans="1:18" ht="40.5">
      <c r="A9" s="1223"/>
      <c r="B9" s="1225" t="s">
        <v>1653</v>
      </c>
      <c r="C9" s="2907" t="s">
        <v>2908</v>
      </c>
      <c r="D9" s="1990"/>
      <c r="E9" s="1991"/>
      <c r="F9" s="1536"/>
      <c r="G9" s="1536"/>
      <c r="H9" s="1989"/>
      <c r="I9" s="1989"/>
      <c r="J9" s="1989"/>
      <c r="K9" s="1989"/>
      <c r="L9" s="1989"/>
      <c r="M9" s="1989"/>
      <c r="N9" s="1989"/>
      <c r="O9" s="1989"/>
      <c r="P9" s="1989"/>
      <c r="Q9" s="1989"/>
      <c r="R9" s="1989"/>
    </row>
    <row r="10" spans="1:18" s="1997" customFormat="1" ht="15" thickBot="1">
      <c r="A10" s="1230"/>
      <c r="B10" s="1231" t="s">
        <v>1668</v>
      </c>
      <c r="C10" s="2909"/>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1669</v>
      </c>
      <c r="B13" s="2538"/>
      <c r="C13" s="2538"/>
      <c r="D13" s="1218"/>
      <c r="E13" s="2538"/>
      <c r="F13" s="2538"/>
      <c r="G13" s="2538"/>
    </row>
    <row r="14" spans="1:18" ht="14.25" thickBot="1">
      <c r="A14" s="1232"/>
      <c r="B14" s="1233"/>
      <c r="C14" s="1234" t="s">
        <v>1661</v>
      </c>
      <c r="D14" s="1990"/>
      <c r="E14" s="1235"/>
      <c r="F14" s="1235"/>
      <c r="G14" s="1217" t="s">
        <v>1662</v>
      </c>
    </row>
    <row r="15" spans="1:18" ht="54">
      <c r="A15" s="2548" t="s">
        <v>1654</v>
      </c>
      <c r="B15" s="1236" t="s">
        <v>1650</v>
      </c>
      <c r="C15" s="1237" t="str">
        <f>C3</f>
        <v>估价对象周边居住用地比例、居住小区规模和社区发展完善程度，综合评价居住社区成熟度一般</v>
      </c>
      <c r="D15" s="1990"/>
      <c r="E15" s="2545" t="s">
        <v>1655</v>
      </c>
      <c r="F15" s="1236" t="s">
        <v>1670</v>
      </c>
      <c r="G15" s="1238" t="str">
        <f>G3</f>
        <v>估价对象位于XX开发区，园区建设成熟度XX，产业集聚程度XX</v>
      </c>
    </row>
    <row r="16" spans="1:18" ht="40.5">
      <c r="A16" s="2549"/>
      <c r="B16" s="1239" t="s">
        <v>1664</v>
      </c>
      <c r="C16" s="1240" t="str">
        <f>C4</f>
        <v>估价对象位于XX商圈，周边商业氛围成熟，人流量大，商业繁华度好</v>
      </c>
      <c r="D16" s="1990"/>
      <c r="E16" s="2546"/>
      <c r="F16" s="1241" t="s">
        <v>1665</v>
      </c>
      <c r="G16" s="1003" t="str">
        <f>G4</f>
        <v>估价对象周边道路状况、公共交通通达情况、停车便捷程度，综合评价交通便捷度较好</v>
      </c>
    </row>
    <row r="17" spans="1:7" ht="40.5">
      <c r="A17" s="2549"/>
      <c r="B17" s="1239" t="s">
        <v>1666</v>
      </c>
      <c r="C17" s="1240" t="str">
        <f>C5</f>
        <v>估价对象位于XX商圈，周边办公楼项目较多，入驻率高，办公集聚程度较好</v>
      </c>
      <c r="D17" s="1991"/>
      <c r="E17" s="2546"/>
      <c r="F17" s="1241" t="s">
        <v>1671</v>
      </c>
      <c r="G17" s="2631"/>
    </row>
    <row r="18" spans="1:7" ht="54">
      <c r="A18" s="2549"/>
      <c r="B18" s="1241" t="s">
        <v>1652</v>
      </c>
      <c r="C18" s="1003" t="str">
        <f>C6</f>
        <v>估价对象周边道路状况、公共交通通达情况、停车便捷程度，综合评价交通便捷度较好</v>
      </c>
      <c r="D18" s="1991"/>
      <c r="E18" s="2546"/>
      <c r="F18" s="1241" t="s">
        <v>1667</v>
      </c>
      <c r="G18" s="1003" t="str">
        <f>G7</f>
        <v>该园区内是否有污染型企业，绿化情况，卫生条件，整体环境状况判断</v>
      </c>
    </row>
    <row r="19" spans="1:7" ht="27">
      <c r="A19" s="2549"/>
      <c r="B19" s="1241" t="s">
        <v>1656</v>
      </c>
      <c r="C19" s="2631"/>
      <c r="D19" s="1990"/>
      <c r="E19" s="2546"/>
      <c r="F19" s="1225" t="s">
        <v>2537</v>
      </c>
      <c r="G19" s="1003" t="str">
        <f>G5</f>
        <v>估价对象所在区域公共配套设施齐备情况</v>
      </c>
    </row>
    <row r="20" spans="1:7" ht="40.5">
      <c r="A20" s="2549"/>
      <c r="B20" s="1241" t="s">
        <v>1657</v>
      </c>
      <c r="C20" s="1240" t="str">
        <f>C9</f>
        <v>区域自然环境：；人文环境；综合评价环境状况一般</v>
      </c>
      <c r="D20" s="1991"/>
      <c r="E20" s="2546"/>
      <c r="F20" s="1225" t="s">
        <v>2538</v>
      </c>
      <c r="G20" s="1003" t="str">
        <f>G6</f>
        <v>估价对象所在区域基础设施水平</v>
      </c>
    </row>
    <row r="21" spans="1:7" ht="27">
      <c r="A21" s="2549"/>
      <c r="B21" s="1225" t="s">
        <v>2537</v>
      </c>
      <c r="C21" s="1003" t="str">
        <f>C7</f>
        <v>估价对象所在区域公共配套设施齐备情况</v>
      </c>
      <c r="D21" s="1990"/>
      <c r="E21" s="2546"/>
      <c r="F21" s="1241" t="s">
        <v>1658</v>
      </c>
      <c r="G21" s="2912"/>
    </row>
    <row r="22" spans="1:7" ht="27">
      <c r="A22" s="2549"/>
      <c r="B22" s="1225" t="s">
        <v>2538</v>
      </c>
      <c r="C22" s="1003" t="str">
        <f>C8</f>
        <v>估价对象所在区域基础设施水平</v>
      </c>
      <c r="D22" s="1990"/>
      <c r="E22" s="2546"/>
      <c r="F22" s="1241" t="s">
        <v>1668</v>
      </c>
      <c r="G22" s="2631"/>
    </row>
    <row r="23" spans="1:7" ht="15" thickBot="1">
      <c r="A23" s="2549"/>
      <c r="B23" s="1241" t="s">
        <v>1658</v>
      </c>
      <c r="C23" s="2912"/>
      <c r="E23" s="2547"/>
      <c r="F23" s="1242" t="s">
        <v>1672</v>
      </c>
      <c r="G23" s="2913"/>
    </row>
    <row r="24" spans="1:7" ht="14.25" thickBot="1">
      <c r="A24" s="2550"/>
      <c r="B24" s="1242" t="s">
        <v>1659</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workbookViewId="0">
      <selection activeCell="G14" activeCellId="2" sqref="A14:A23 B14:D14 G14:I14"/>
    </sheetView>
  </sheetViews>
  <sheetFormatPr defaultColWidth="14.625" defaultRowHeight="13.5"/>
  <cols>
    <col min="1" max="1" width="24.375" style="3030" customWidth="1"/>
    <col min="2" max="16384" width="14.625" style="3030"/>
  </cols>
  <sheetData>
    <row r="1" spans="1:9" ht="16.5">
      <c r="A1" s="3031" t="s">
        <v>2834</v>
      </c>
      <c r="B1" s="3031">
        <f>SUM(B14:B23)</f>
        <v>472085.52</v>
      </c>
      <c r="C1" s="3029"/>
      <c r="D1" s="3029"/>
      <c r="E1" s="3029"/>
      <c r="F1" s="3029"/>
    </row>
    <row r="2" spans="1:9" ht="16.5">
      <c r="A2" s="3031" t="s">
        <v>2835</v>
      </c>
      <c r="B2" s="3031">
        <f>SUM(C14:C23)</f>
        <v>177193.01</v>
      </c>
      <c r="C2" s="3029"/>
      <c r="D2" s="3029"/>
      <c r="E2" s="3029"/>
      <c r="F2" s="3029"/>
    </row>
    <row r="3" spans="1:9" ht="16.5">
      <c r="A3" s="3031" t="s">
        <v>2836</v>
      </c>
      <c r="B3" s="3032">
        <f>项目基本情况!D3</f>
        <v>44050</v>
      </c>
      <c r="C3" s="3029"/>
      <c r="D3" s="3029"/>
      <c r="E3" s="3029"/>
      <c r="F3" s="3029"/>
    </row>
    <row r="4" spans="1:9" ht="33">
      <c r="A4" s="3031" t="s">
        <v>2837</v>
      </c>
      <c r="B4" s="3031" t="s">
        <v>2838</v>
      </c>
      <c r="C4" s="3031" t="s">
        <v>2839</v>
      </c>
      <c r="D4" s="3031" t="s">
        <v>2840</v>
      </c>
      <c r="E4" s="3029"/>
      <c r="F4" s="3029"/>
    </row>
    <row r="5" spans="1:9" ht="16.5">
      <c r="A5" s="3031" t="s">
        <v>2841</v>
      </c>
      <c r="B5" s="3031">
        <f ca="1">SUM(D14:D23)</f>
        <v>194742</v>
      </c>
      <c r="C5" s="3031">
        <f ca="1">ROUND(B5*10000/$B$1,0)</f>
        <v>4125</v>
      </c>
      <c r="D5" s="3031">
        <f ca="1">ROUND(B5*10000/$B$2,0)</f>
        <v>10990</v>
      </c>
      <c r="E5" s="3029"/>
      <c r="F5" s="3029"/>
    </row>
    <row r="6" spans="1:9" ht="16.5">
      <c r="A6" s="3031" t="s">
        <v>2842</v>
      </c>
      <c r="B6" s="3031">
        <f ca="1">SUM(G14:G23)</f>
        <v>194742</v>
      </c>
      <c r="C6" s="3031">
        <f t="shared" ref="C6:C8" ca="1" si="0">ROUND(B6*10000/$B$1,0)</f>
        <v>4125</v>
      </c>
      <c r="D6" s="3031">
        <f t="shared" ref="D6:D8" ca="1" si="1">ROUND(B6*10000/$B$2,0)</f>
        <v>10990</v>
      </c>
      <c r="E6" s="3029"/>
      <c r="F6" s="3029"/>
    </row>
    <row r="7" spans="1:9" ht="16.5">
      <c r="A7" s="3031" t="s">
        <v>2843</v>
      </c>
      <c r="B7" s="3031">
        <f>SUM(H14:H23)</f>
        <v>0</v>
      </c>
      <c r="C7" s="3031">
        <f t="shared" si="0"/>
        <v>0</v>
      </c>
      <c r="D7" s="3031">
        <f t="shared" si="1"/>
        <v>0</v>
      </c>
      <c r="E7" s="3029"/>
      <c r="F7" s="3029"/>
    </row>
    <row r="8" spans="1:9" ht="16.5">
      <c r="A8" s="3031" t="s">
        <v>2844</v>
      </c>
      <c r="B8" s="3031">
        <f>SUM(I14:I23)</f>
        <v>0</v>
      </c>
      <c r="C8" s="3031">
        <f t="shared" si="0"/>
        <v>0</v>
      </c>
      <c r="D8" s="3031">
        <f t="shared" si="1"/>
        <v>0</v>
      </c>
      <c r="E8" s="3029"/>
      <c r="F8" s="3029"/>
    </row>
    <row r="9" spans="1:9" ht="16.5">
      <c r="A9" s="3031" t="s">
        <v>2845</v>
      </c>
      <c r="B9" s="2876"/>
      <c r="C9" s="3029"/>
      <c r="D9" s="3029"/>
      <c r="E9" s="3029"/>
      <c r="F9" s="3029"/>
    </row>
    <row r="10" spans="1:9" ht="16.5">
      <c r="A10" s="3031" t="s">
        <v>2846</v>
      </c>
      <c r="B10" s="2876"/>
      <c r="C10" s="3029"/>
      <c r="D10" s="3029"/>
      <c r="E10" s="3029"/>
      <c r="F10" s="3029"/>
    </row>
    <row r="11" spans="1:9" ht="16.5">
      <c r="A11" s="3031" t="s">
        <v>2863</v>
      </c>
      <c r="B11" s="2876"/>
      <c r="C11" s="3029"/>
      <c r="D11" s="3029"/>
      <c r="E11" s="3029"/>
      <c r="F11" s="3029"/>
    </row>
    <row r="12" spans="1:9" ht="16.5">
      <c r="A12" s="3029"/>
      <c r="B12" s="3029"/>
      <c r="C12" s="3029"/>
      <c r="D12" s="3029"/>
      <c r="E12" s="3029"/>
      <c r="F12" s="3029"/>
    </row>
    <row r="13" spans="1:9" ht="33">
      <c r="A13" s="3033" t="s">
        <v>2862</v>
      </c>
      <c r="B13" s="3034" t="s">
        <v>2834</v>
      </c>
      <c r="C13" s="3034" t="s">
        <v>2835</v>
      </c>
      <c r="D13" s="3034" t="s">
        <v>2847</v>
      </c>
      <c r="E13" s="3031" t="s">
        <v>2861</v>
      </c>
      <c r="F13" s="3031" t="s">
        <v>2840</v>
      </c>
      <c r="G13" s="3034" t="s">
        <v>2848</v>
      </c>
      <c r="H13" s="3034" t="s">
        <v>2849</v>
      </c>
      <c r="I13" s="3034" t="s">
        <v>2850</v>
      </c>
    </row>
    <row r="14" spans="1:9" ht="16.5">
      <c r="A14" s="3035" t="s">
        <v>2860</v>
      </c>
      <c r="B14" s="3036">
        <f>结果表!L38</f>
        <v>472085.52</v>
      </c>
      <c r="C14" s="3036">
        <f>结果表!K38</f>
        <v>177193.01</v>
      </c>
      <c r="D14" s="3036">
        <f ca="1">结果表!C42</f>
        <v>194742</v>
      </c>
      <c r="E14" s="3034">
        <f ca="1">ROUND(D14*10000/B14,0)</f>
        <v>4125</v>
      </c>
      <c r="F14" s="3034">
        <f ca="1">ROUND(D14*10000/C14,0)</f>
        <v>10990</v>
      </c>
      <c r="G14" s="3036">
        <f ca="1">结果表!C44</f>
        <v>194742</v>
      </c>
      <c r="H14" s="3036" t="str">
        <f>结果表!C45</f>
        <v>——</v>
      </c>
      <c r="I14" s="3036" t="str">
        <f>结果表!C46</f>
        <v>——</v>
      </c>
    </row>
    <row r="15" spans="1:9" ht="16.5">
      <c r="A15" s="3035" t="s">
        <v>2851</v>
      </c>
      <c r="B15" s="2878"/>
      <c r="C15" s="2878"/>
      <c r="D15" s="2878"/>
      <c r="E15" s="3034" t="e">
        <f t="shared" ref="E15:E23" si="2">ROUND(D15*10000/B15,0)</f>
        <v>#DIV/0!</v>
      </c>
      <c r="F15" s="3034" t="e">
        <f t="shared" ref="F15:F23" si="3">ROUND(D15*10000/C15,0)</f>
        <v>#DIV/0!</v>
      </c>
      <c r="G15" s="2877"/>
      <c r="H15" s="2877"/>
      <c r="I15" s="2878"/>
    </row>
    <row r="16" spans="1:9" ht="16.5">
      <c r="A16" s="3035" t="s">
        <v>2852</v>
      </c>
      <c r="B16" s="2878"/>
      <c r="C16" s="2878"/>
      <c r="D16" s="2878"/>
      <c r="E16" s="3034" t="e">
        <f t="shared" si="2"/>
        <v>#DIV/0!</v>
      </c>
      <c r="F16" s="3034" t="e">
        <f t="shared" si="3"/>
        <v>#DIV/0!</v>
      </c>
      <c r="G16" s="2877"/>
      <c r="H16" s="2877"/>
      <c r="I16" s="2878"/>
    </row>
    <row r="17" spans="1:9" ht="16.5">
      <c r="A17" s="3035" t="s">
        <v>2853</v>
      </c>
      <c r="B17" s="2878"/>
      <c r="C17" s="2878"/>
      <c r="D17" s="2878"/>
      <c r="E17" s="3034" t="e">
        <f t="shared" si="2"/>
        <v>#DIV/0!</v>
      </c>
      <c r="F17" s="3034" t="e">
        <f t="shared" si="3"/>
        <v>#DIV/0!</v>
      </c>
      <c r="G17" s="2877"/>
      <c r="H17" s="2877"/>
      <c r="I17" s="2878"/>
    </row>
    <row r="18" spans="1:9" ht="16.5">
      <c r="A18" s="3035" t="s">
        <v>2854</v>
      </c>
      <c r="B18" s="2878"/>
      <c r="C18" s="2878"/>
      <c r="D18" s="2878"/>
      <c r="E18" s="3034" t="e">
        <f t="shared" si="2"/>
        <v>#DIV/0!</v>
      </c>
      <c r="F18" s="3034" t="e">
        <f t="shared" si="3"/>
        <v>#DIV/0!</v>
      </c>
      <c r="G18" s="2878"/>
      <c r="H18" s="2878"/>
      <c r="I18" s="2878"/>
    </row>
    <row r="19" spans="1:9" ht="16.5">
      <c r="A19" s="3035" t="s">
        <v>2855</v>
      </c>
      <c r="B19" s="2878"/>
      <c r="C19" s="2878"/>
      <c r="D19" s="2878"/>
      <c r="E19" s="3034" t="e">
        <f t="shared" si="2"/>
        <v>#DIV/0!</v>
      </c>
      <c r="F19" s="3034" t="e">
        <f t="shared" si="3"/>
        <v>#DIV/0!</v>
      </c>
      <c r="G19" s="2878"/>
      <c r="H19" s="2878"/>
      <c r="I19" s="2878"/>
    </row>
    <row r="20" spans="1:9" ht="16.5">
      <c r="A20" s="3035" t="s">
        <v>2856</v>
      </c>
      <c r="B20" s="2878"/>
      <c r="C20" s="2878"/>
      <c r="D20" s="2878"/>
      <c r="E20" s="3034" t="e">
        <f t="shared" si="2"/>
        <v>#DIV/0!</v>
      </c>
      <c r="F20" s="3034" t="e">
        <f t="shared" si="3"/>
        <v>#DIV/0!</v>
      </c>
      <c r="G20" s="2878"/>
      <c r="H20" s="2878"/>
      <c r="I20" s="2878"/>
    </row>
    <row r="21" spans="1:9" ht="16.5">
      <c r="A21" s="3035" t="s">
        <v>2857</v>
      </c>
      <c r="B21" s="2878"/>
      <c r="C21" s="2878"/>
      <c r="D21" s="2878"/>
      <c r="E21" s="3034" t="e">
        <f t="shared" si="2"/>
        <v>#DIV/0!</v>
      </c>
      <c r="F21" s="3034" t="e">
        <f t="shared" si="3"/>
        <v>#DIV/0!</v>
      </c>
      <c r="G21" s="2878"/>
      <c r="H21" s="2878"/>
      <c r="I21" s="2878"/>
    </row>
    <row r="22" spans="1:9" ht="16.5">
      <c r="A22" s="3035" t="s">
        <v>2858</v>
      </c>
      <c r="B22" s="2878"/>
      <c r="C22" s="2878"/>
      <c r="D22" s="2878"/>
      <c r="E22" s="3034" t="e">
        <f t="shared" si="2"/>
        <v>#DIV/0!</v>
      </c>
      <c r="F22" s="3034" t="e">
        <f t="shared" si="3"/>
        <v>#DIV/0!</v>
      </c>
      <c r="G22" s="2878"/>
      <c r="H22" s="2878"/>
      <c r="I22" s="2878"/>
    </row>
    <row r="23" spans="1:9" ht="16.5">
      <c r="A23" s="3035" t="s">
        <v>2859</v>
      </c>
      <c r="B23" s="2878"/>
      <c r="C23" s="2878"/>
      <c r="D23" s="2878"/>
      <c r="E23" s="3031" t="e">
        <f t="shared" si="2"/>
        <v>#DIV/0!</v>
      </c>
      <c r="F23" s="3031" t="e">
        <f t="shared" si="3"/>
        <v>#DIV/0!</v>
      </c>
      <c r="G23" s="2878"/>
      <c r="H23" s="2878"/>
      <c r="I23" s="287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7" t="s">
        <v>2047</v>
      </c>
      <c r="B1" s="1758"/>
      <c r="C1" s="1786" t="s">
        <v>2048</v>
      </c>
      <c r="D1" s="1787"/>
      <c r="E1" s="1786" t="s">
        <v>2049</v>
      </c>
      <c r="F1" s="1788"/>
      <c r="G1" s="310"/>
      <c r="H1" s="310"/>
      <c r="I1" s="310"/>
      <c r="J1" s="2010"/>
      <c r="K1" s="2010"/>
      <c r="L1" s="2010"/>
      <c r="M1" s="2010"/>
      <c r="N1" s="2010"/>
      <c r="O1" s="2010"/>
      <c r="P1" s="2010"/>
      <c r="Q1" s="2010"/>
      <c r="R1" s="2010"/>
      <c r="S1" s="2010"/>
      <c r="T1" s="2010"/>
      <c r="U1" s="2010"/>
      <c r="V1" s="2010"/>
    </row>
    <row r="2" spans="1:22" ht="21.75" customHeight="1" thickBot="1">
      <c r="A2" s="3353" t="str">
        <f>项目基本情况!K2</f>
        <v>出让国有建设用地使用权</v>
      </c>
      <c r="B2" s="3354"/>
      <c r="C2" s="3355"/>
      <c r="D2" s="3355"/>
      <c r="E2" s="3355"/>
      <c r="F2" s="3355"/>
      <c r="G2" s="3354"/>
      <c r="H2" s="3354"/>
      <c r="I2" s="3356"/>
      <c r="J2" s="2011"/>
      <c r="K2" s="2010"/>
      <c r="L2" s="2010"/>
      <c r="M2" s="2010"/>
      <c r="N2" s="2010"/>
      <c r="O2" s="2010"/>
      <c r="P2" s="2010"/>
      <c r="Q2" s="2010"/>
      <c r="R2" s="2010"/>
      <c r="S2" s="2010"/>
      <c r="T2" s="2010"/>
      <c r="U2" s="2010"/>
      <c r="V2" s="2010"/>
    </row>
    <row r="3" spans="1:22" ht="14.25">
      <c r="A3" s="3364" t="s">
        <v>298</v>
      </c>
      <c r="B3" s="3365"/>
      <c r="C3" s="3365"/>
      <c r="D3" s="3365"/>
      <c r="E3" s="3365"/>
      <c r="F3" s="3365"/>
      <c r="G3" s="3365"/>
      <c r="H3" s="3365"/>
      <c r="I3" s="3365"/>
      <c r="J3" s="2011"/>
      <c r="K3" s="2010"/>
      <c r="L3" s="2010"/>
      <c r="M3" s="2010"/>
      <c r="N3" s="2010"/>
      <c r="O3" s="2010"/>
      <c r="P3" s="2010"/>
      <c r="Q3" s="2010"/>
      <c r="R3" s="2010"/>
      <c r="S3" s="2010"/>
      <c r="T3" s="2010"/>
      <c r="U3" s="2010"/>
      <c r="V3" s="2010"/>
    </row>
    <row r="4" spans="1:22" ht="14.25">
      <c r="A4" s="257" t="s">
        <v>299</v>
      </c>
      <c r="B4" s="258" t="s">
        <v>300</v>
      </c>
      <c r="C4" s="259" t="s">
        <v>3029</v>
      </c>
      <c r="D4" s="259" t="s">
        <v>3030</v>
      </c>
      <c r="E4" s="3328" t="s">
        <v>301</v>
      </c>
      <c r="F4" s="3370"/>
      <c r="G4" s="3370"/>
      <c r="H4" s="3370"/>
      <c r="I4" s="3329"/>
      <c r="J4" s="2011"/>
      <c r="K4" s="2010"/>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57" t="s">
        <v>302</v>
      </c>
      <c r="B5" s="3358">
        <v>25</v>
      </c>
      <c r="C5" s="3366"/>
      <c r="D5" s="3369"/>
      <c r="E5" s="260" t="s">
        <v>303</v>
      </c>
      <c r="F5" s="261"/>
      <c r="G5" s="261"/>
      <c r="H5" s="261"/>
      <c r="I5" s="262"/>
      <c r="J5" s="2011"/>
      <c r="K5" s="2010"/>
      <c r="L5" s="2010"/>
      <c r="M5" s="2010"/>
      <c r="N5" s="2010"/>
      <c r="O5" s="2010"/>
      <c r="P5" s="2010"/>
      <c r="Q5" s="2010"/>
      <c r="R5" s="2010"/>
      <c r="S5" s="2010"/>
      <c r="T5" s="2010"/>
      <c r="U5" s="2010"/>
      <c r="V5" s="2010"/>
    </row>
    <row r="6" spans="1:22" ht="14.25">
      <c r="A6" s="3357"/>
      <c r="B6" s="3358"/>
      <c r="C6" s="3367"/>
      <c r="D6" s="3369"/>
      <c r="E6" s="260" t="s">
        <v>304</v>
      </c>
      <c r="F6" s="261"/>
      <c r="G6" s="261"/>
      <c r="H6" s="261"/>
      <c r="I6" s="262"/>
      <c r="J6" s="2011"/>
      <c r="K6" s="2010"/>
      <c r="L6" s="2010"/>
      <c r="M6" s="2010"/>
      <c r="N6" s="2010"/>
      <c r="O6" s="2010"/>
      <c r="P6" s="2010"/>
      <c r="Q6" s="2010"/>
      <c r="R6" s="2010"/>
      <c r="S6" s="2010"/>
      <c r="T6" s="2010"/>
      <c r="U6" s="2010"/>
      <c r="V6" s="2010"/>
    </row>
    <row r="7" spans="1:22" ht="14.25">
      <c r="A7" s="3357"/>
      <c r="B7" s="3358"/>
      <c r="C7" s="3368"/>
      <c r="D7" s="3369"/>
      <c r="E7" s="260" t="s">
        <v>305</v>
      </c>
      <c r="F7" s="261"/>
      <c r="G7" s="261"/>
      <c r="H7" s="261"/>
      <c r="I7" s="262"/>
      <c r="J7" s="2011"/>
      <c r="K7" s="2010"/>
      <c r="L7" s="2010"/>
      <c r="M7" s="2010"/>
      <c r="N7" s="2010"/>
      <c r="O7" s="2010"/>
      <c r="P7" s="2010"/>
      <c r="Q7" s="2010"/>
      <c r="R7" s="2010"/>
      <c r="S7" s="2010"/>
      <c r="T7" s="2010"/>
      <c r="U7" s="2010"/>
      <c r="V7" s="2010"/>
    </row>
    <row r="8" spans="1:22" ht="14.25">
      <c r="A8" s="3357" t="s">
        <v>306</v>
      </c>
      <c r="B8" s="3358">
        <v>15</v>
      </c>
      <c r="C8" s="3366"/>
      <c r="D8" s="3369"/>
      <c r="E8" s="260" t="s">
        <v>307</v>
      </c>
      <c r="F8" s="261"/>
      <c r="G8" s="261"/>
      <c r="H8" s="261"/>
      <c r="I8" s="262"/>
      <c r="J8" s="2011"/>
      <c r="K8" s="2010"/>
      <c r="L8" s="2010"/>
      <c r="M8" s="2010"/>
      <c r="N8" s="2010"/>
      <c r="O8" s="2010"/>
      <c r="P8" s="2010"/>
      <c r="Q8" s="2010"/>
      <c r="R8" s="2010"/>
      <c r="S8" s="2010"/>
      <c r="T8" s="2010"/>
      <c r="U8" s="2010"/>
      <c r="V8" s="2010"/>
    </row>
    <row r="9" spans="1:22" ht="14.25">
      <c r="A9" s="3357"/>
      <c r="B9" s="3358"/>
      <c r="C9" s="3368"/>
      <c r="D9" s="3369"/>
      <c r="E9" s="260" t="s">
        <v>308</v>
      </c>
      <c r="F9" s="261"/>
      <c r="G9" s="261"/>
      <c r="H9" s="261"/>
      <c r="I9" s="262"/>
      <c r="J9" s="2011"/>
      <c r="K9" s="2010"/>
      <c r="L9" s="2010"/>
      <c r="M9" s="2010"/>
      <c r="N9" s="2010"/>
      <c r="O9" s="2010"/>
      <c r="P9" s="2010"/>
      <c r="Q9" s="2010"/>
      <c r="R9" s="2010"/>
      <c r="S9" s="2010"/>
      <c r="T9" s="2010"/>
      <c r="U9" s="2010"/>
      <c r="V9" s="2010"/>
    </row>
    <row r="10" spans="1:22" ht="14.25">
      <c r="A10" s="3357" t="s">
        <v>309</v>
      </c>
      <c r="B10" s="3358">
        <v>15</v>
      </c>
      <c r="C10" s="3366"/>
      <c r="D10" s="3369"/>
      <c r="E10" s="260" t="s">
        <v>310</v>
      </c>
      <c r="F10" s="261"/>
      <c r="G10" s="261"/>
      <c r="H10" s="261"/>
      <c r="I10" s="262"/>
      <c r="J10" s="2011"/>
      <c r="K10" s="2010"/>
      <c r="L10" s="2010"/>
      <c r="M10" s="2010"/>
      <c r="N10" s="2010"/>
      <c r="O10" s="2010"/>
      <c r="P10" s="2010"/>
      <c r="Q10" s="2010"/>
      <c r="R10" s="2010"/>
      <c r="S10" s="2010"/>
      <c r="T10" s="2010"/>
      <c r="U10" s="2010"/>
      <c r="V10" s="2010"/>
    </row>
    <row r="11" spans="1:22" ht="14.25">
      <c r="A11" s="3357"/>
      <c r="B11" s="3358"/>
      <c r="C11" s="3368"/>
      <c r="D11" s="3369"/>
      <c r="E11" s="260" t="s">
        <v>311</v>
      </c>
      <c r="F11" s="261"/>
      <c r="G11" s="261"/>
      <c r="H11" s="261"/>
      <c r="I11" s="262"/>
      <c r="J11" s="2011"/>
      <c r="K11" s="2010"/>
      <c r="L11" s="2010"/>
      <c r="M11" s="2010"/>
      <c r="N11" s="2010"/>
      <c r="O11" s="2010"/>
      <c r="P11" s="2010"/>
      <c r="Q11" s="2010"/>
      <c r="R11" s="2010"/>
      <c r="S11" s="2010"/>
      <c r="T11" s="2010"/>
      <c r="U11" s="2010"/>
      <c r="V11" s="2010"/>
    </row>
    <row r="12" spans="1:22" ht="14.25">
      <c r="A12" s="3357" t="s">
        <v>312</v>
      </c>
      <c r="B12" s="3358">
        <v>15</v>
      </c>
      <c r="C12" s="3366"/>
      <c r="D12" s="3369"/>
      <c r="E12" s="260" t="s">
        <v>313</v>
      </c>
      <c r="F12" s="261"/>
      <c r="G12" s="261"/>
      <c r="H12" s="261"/>
      <c r="I12" s="262"/>
      <c r="J12" s="2011"/>
      <c r="K12" s="2010"/>
      <c r="L12" s="2010"/>
      <c r="M12" s="2010"/>
      <c r="N12" s="2010"/>
      <c r="O12" s="2010"/>
      <c r="P12" s="2010"/>
      <c r="Q12" s="2010"/>
      <c r="R12" s="2010"/>
      <c r="S12" s="2010"/>
      <c r="T12" s="2010"/>
      <c r="U12" s="2010"/>
      <c r="V12" s="2010"/>
    </row>
    <row r="13" spans="1:22" ht="14.25">
      <c r="A13" s="3357"/>
      <c r="B13" s="3358"/>
      <c r="C13" s="3368"/>
      <c r="D13" s="3369"/>
      <c r="E13" s="260" t="s">
        <v>314</v>
      </c>
      <c r="F13" s="261"/>
      <c r="G13" s="261"/>
      <c r="H13" s="261"/>
      <c r="I13" s="262"/>
      <c r="J13" s="2011"/>
      <c r="K13" s="2010"/>
      <c r="L13" s="2010"/>
      <c r="M13" s="2010"/>
      <c r="N13" s="2010"/>
      <c r="O13" s="2010"/>
      <c r="P13" s="2010"/>
      <c r="Q13" s="2010"/>
      <c r="R13" s="2010"/>
      <c r="S13" s="2010"/>
      <c r="T13" s="2010"/>
      <c r="U13" s="2010"/>
      <c r="V13" s="2010"/>
    </row>
    <row r="14" spans="1:22" ht="14.25">
      <c r="A14" s="3357" t="s">
        <v>315</v>
      </c>
      <c r="B14" s="3358">
        <v>30</v>
      </c>
      <c r="C14" s="3366">
        <v>5</v>
      </c>
      <c r="D14" s="3369">
        <v>5</v>
      </c>
      <c r="E14" s="260" t="s">
        <v>316</v>
      </c>
      <c r="F14" s="261"/>
      <c r="G14" s="261"/>
      <c r="H14" s="261"/>
      <c r="I14" s="262"/>
      <c r="J14" s="2011"/>
      <c r="K14" s="2010"/>
      <c r="L14" s="2010"/>
      <c r="M14" s="2010"/>
      <c r="N14" s="2010"/>
      <c r="O14" s="2010"/>
      <c r="P14" s="2010"/>
      <c r="Q14" s="2010"/>
      <c r="R14" s="2010"/>
      <c r="S14" s="2010"/>
      <c r="T14" s="2010"/>
      <c r="U14" s="2010"/>
      <c r="V14" s="2010"/>
    </row>
    <row r="15" spans="1:22" ht="14.25">
      <c r="A15" s="3357"/>
      <c r="B15" s="3358"/>
      <c r="C15" s="3367"/>
      <c r="D15" s="3369"/>
      <c r="E15" s="260" t="s">
        <v>317</v>
      </c>
      <c r="F15" s="261"/>
      <c r="G15" s="261"/>
      <c r="H15" s="261"/>
      <c r="I15" s="262"/>
      <c r="J15" s="2011"/>
      <c r="K15" s="2010"/>
      <c r="L15" s="2010"/>
      <c r="M15" s="2010"/>
      <c r="N15" s="2010"/>
      <c r="O15" s="2010"/>
      <c r="P15" s="2010"/>
      <c r="Q15" s="2010"/>
      <c r="R15" s="2010"/>
      <c r="S15" s="2010"/>
      <c r="T15" s="2010"/>
      <c r="U15" s="2010"/>
      <c r="V15" s="2010"/>
    </row>
    <row r="16" spans="1:22" ht="14.25">
      <c r="A16" s="3357"/>
      <c r="B16" s="3358"/>
      <c r="C16" s="3368"/>
      <c r="D16" s="3369"/>
      <c r="E16" s="260" t="s">
        <v>318</v>
      </c>
      <c r="F16" s="261"/>
      <c r="G16" s="261"/>
      <c r="H16" s="261"/>
      <c r="I16" s="262"/>
      <c r="J16" s="2011"/>
      <c r="K16" s="2010"/>
      <c r="L16" s="2010"/>
      <c r="M16" s="2010"/>
      <c r="N16" s="2010"/>
      <c r="O16" s="2010"/>
      <c r="P16" s="2010"/>
      <c r="Q16" s="2010"/>
      <c r="R16" s="2010"/>
      <c r="S16" s="2010"/>
      <c r="T16" s="2010"/>
      <c r="U16" s="2010"/>
      <c r="V16" s="2010"/>
    </row>
    <row r="17" spans="1:26" ht="15">
      <c r="A17" s="263" t="s">
        <v>319</v>
      </c>
      <c r="B17" s="143"/>
      <c r="C17" s="264">
        <f>SUM(C5:C16)</f>
        <v>5</v>
      </c>
      <c r="D17" s="264">
        <f>SUM(D5:D16)</f>
        <v>5</v>
      </c>
      <c r="E17" s="310"/>
      <c r="F17" s="310"/>
      <c r="G17" s="310"/>
      <c r="H17" s="310"/>
      <c r="I17" s="310"/>
      <c r="J17" s="2011"/>
      <c r="K17" s="2010"/>
      <c r="L17" s="2010"/>
      <c r="M17" s="2010"/>
      <c r="N17" s="2010"/>
      <c r="O17" s="2010"/>
      <c r="P17" s="2010"/>
      <c r="Q17" s="2010"/>
      <c r="R17" s="2010"/>
      <c r="S17" s="2010"/>
      <c r="T17" s="2010"/>
      <c r="U17" s="2010"/>
      <c r="V17" s="2010"/>
    </row>
    <row r="18" spans="1:26" ht="15.75" thickBot="1">
      <c r="A18" s="265" t="s">
        <v>320</v>
      </c>
      <c r="B18" s="105"/>
      <c r="C18" s="266">
        <f>ROUND(C17/SUM(C17:D17),2)</f>
        <v>0.5</v>
      </c>
      <c r="D18" s="266">
        <f>1-C18</f>
        <v>0.5</v>
      </c>
      <c r="E18" s="310"/>
      <c r="F18" s="310"/>
      <c r="G18" s="310"/>
      <c r="H18" s="310"/>
      <c r="I18" s="310"/>
      <c r="J18" s="2010"/>
      <c r="K18" s="2010"/>
      <c r="L18" s="2010"/>
      <c r="M18" s="2010"/>
      <c r="N18" s="2010"/>
      <c r="O18" s="2010"/>
      <c r="P18" s="2010"/>
      <c r="Q18" s="2010"/>
      <c r="R18" s="2010"/>
      <c r="S18" s="2010"/>
      <c r="T18" s="2010"/>
      <c r="U18" s="2010"/>
      <c r="V18" s="2010"/>
    </row>
    <row r="19" spans="1:26" ht="15">
      <c r="A19" s="267" t="s">
        <v>321</v>
      </c>
      <c r="B19" s="268" t="s">
        <v>322</v>
      </c>
      <c r="C19" s="269">
        <f ca="1">SUMIF(INDIRECT("'"&amp;C4&amp;"'"&amp;"!A:A"),结果表!B19,INDIRECT("'"&amp;C4&amp;"'"&amp;"!B:B"))</f>
        <v>181492</v>
      </c>
      <c r="D19" s="270">
        <f ca="1">SUMIF(INDIRECT("'"&amp;D4&amp;"'"&amp;"!A:A"),结果表!B19,INDIRECT("'"&amp;D4&amp;"'"&amp;"!B:B"))</f>
        <v>207991</v>
      </c>
      <c r="E19" s="267" t="s">
        <v>323</v>
      </c>
      <c r="F19" s="268" t="s">
        <v>322</v>
      </c>
      <c r="G19" s="271">
        <f ca="1">ROUND(C19*$C$18+D19*$D$18,0)</f>
        <v>194742</v>
      </c>
      <c r="H19" s="272" t="s">
        <v>324</v>
      </c>
      <c r="I19" s="310"/>
      <c r="J19" s="2010"/>
      <c r="K19" s="2010"/>
      <c r="L19" s="2010"/>
      <c r="M19" s="2010"/>
      <c r="N19" s="2010"/>
      <c r="O19" s="2010"/>
      <c r="P19" s="2010"/>
      <c r="Q19" s="2010"/>
      <c r="R19" s="2010"/>
      <c r="S19" s="2010"/>
      <c r="T19" s="2010"/>
      <c r="U19" s="2010"/>
      <c r="V19" s="2010"/>
    </row>
    <row r="20" spans="1:26" ht="15">
      <c r="A20" s="273"/>
      <c r="B20" s="274" t="s">
        <v>325</v>
      </c>
      <c r="C20" s="275">
        <f ca="1">SUMIF(INDIRECT("'"&amp;C4&amp;"'"&amp;"!A:A"),结果表!B20,INDIRECT("'"&amp;C4&amp;"'"&amp;"!B:B"))</f>
        <v>3844</v>
      </c>
      <c r="D20" s="276">
        <f ca="1">SUMIF(INDIRECT("'"&amp;D4&amp;"'"&amp;"!A:A"),结果表!B20,INDIRECT("'"&amp;D4&amp;"'"&amp;"!B:B"))</f>
        <v>4406</v>
      </c>
      <c r="E20" s="273"/>
      <c r="F20" s="274" t="s">
        <v>325</v>
      </c>
      <c r="G20" s="277">
        <f ca="1">ROUND(C20*$C$18+D20*$D$18,0)</f>
        <v>4125</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10243</v>
      </c>
      <c r="D21" s="150">
        <f ca="1">SUMIF(INDIRECT("'"&amp;D4&amp;"'"&amp;"!A:A"),结果表!B21,INDIRECT("'"&amp;D4&amp;"'"&amp;"!B:B"))</f>
        <v>11738</v>
      </c>
      <c r="E21" s="273"/>
      <c r="F21" s="279" t="s">
        <v>327</v>
      </c>
      <c r="G21" s="281">
        <f ca="1">ROUND(C21*$C$18+D21*$D$18,0)</f>
        <v>10991</v>
      </c>
      <c r="H21" s="1245" t="s">
        <v>326</v>
      </c>
      <c r="I21" s="310"/>
      <c r="J21" s="2010"/>
      <c r="K21" s="2010"/>
      <c r="L21" s="2010"/>
      <c r="M21" s="2010"/>
      <c r="N21" s="2010"/>
      <c r="O21" s="2010"/>
      <c r="P21" s="2010"/>
      <c r="Q21" s="2010"/>
      <c r="R21" s="2010"/>
      <c r="S21" s="2010"/>
      <c r="T21" s="2010"/>
      <c r="U21" s="2010"/>
      <c r="V21" s="2010"/>
    </row>
    <row r="22" spans="1:26" ht="15.75" thickBot="1">
      <c r="A22" s="126" t="s">
        <v>328</v>
      </c>
      <c r="B22" s="1246"/>
      <c r="C22" s="1247"/>
      <c r="D22" s="282">
        <f ca="1">IF(C19&lt;D19,D19/C19-1,C19/D19-1)</f>
        <v>0.1460064355453683</v>
      </c>
      <c r="E22" s="283"/>
      <c r="F22" s="284"/>
      <c r="G22" s="285">
        <f ca="1">ROUND(G19/('数据-汇总表'!D3/666.67),0)</f>
        <v>733</v>
      </c>
      <c r="H22" s="286" t="s">
        <v>329</v>
      </c>
      <c r="I22" s="310"/>
      <c r="J22" s="2010"/>
      <c r="K22" s="2010"/>
      <c r="L22" s="2010"/>
      <c r="M22" s="2010"/>
      <c r="N22" s="2010"/>
      <c r="O22" s="2010"/>
      <c r="P22" s="2010"/>
      <c r="Q22" s="2010"/>
      <c r="R22" s="2010"/>
      <c r="S22" s="2010"/>
      <c r="T22" s="2010"/>
      <c r="U22" s="2010"/>
      <c r="V22" s="2010"/>
    </row>
    <row r="23" spans="1:26" ht="13.5"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330"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8">
      <c r="A25" s="3374"/>
      <c r="B25" s="1315" t="s">
        <v>331</v>
      </c>
      <c r="C25" s="289">
        <f>IF(B30=0,0,C30)</f>
        <v>0</v>
      </c>
      <c r="D25" s="290"/>
      <c r="E25" s="310"/>
      <c r="F25" s="310"/>
      <c r="G25" s="310"/>
      <c r="H25" s="310"/>
      <c r="I25" s="310"/>
      <c r="J25" s="2010"/>
      <c r="K25" s="1249" t="str">
        <f ca="1">项目基本情况!B16&amp;"国有建设用地使用权价格："&amp;O38&amp;"万元"</f>
        <v>出让国有建设用地使用权价格：194742万元</v>
      </c>
      <c r="L25" s="1250"/>
      <c r="M25" s="1250"/>
      <c r="N25" s="1250"/>
      <c r="O25" s="1251"/>
      <c r="P25" s="2010"/>
      <c r="Q25" s="2010"/>
      <c r="R25" s="2010"/>
      <c r="S25" s="2010"/>
      <c r="T25" s="2010"/>
      <c r="U25" s="2010"/>
      <c r="V25" s="2010"/>
    </row>
    <row r="26" spans="1:26" s="1248" customFormat="1" ht="18">
      <c r="A26" s="292" t="s">
        <v>332</v>
      </c>
      <c r="B26" s="293" t="s">
        <v>333</v>
      </c>
      <c r="C26" s="293" t="s">
        <v>334</v>
      </c>
      <c r="D26" s="294" t="s">
        <v>335</v>
      </c>
      <c r="E26" s="310"/>
      <c r="F26" s="310"/>
      <c r="G26" s="310"/>
      <c r="H26" s="310"/>
      <c r="I26" s="310"/>
      <c r="J26" s="2010"/>
      <c r="K26" s="1252" t="str">
        <f ca="1">"大写金额：人民币"&amp;NUMBERSTRING(INT(O38*10000),2)&amp;"元整"</f>
        <v>大写金额：人民币壹拾玖亿肆仟柒佰肆拾贰万元整</v>
      </c>
      <c r="L26" s="1246"/>
      <c r="M26" s="1246"/>
      <c r="N26" s="1246"/>
      <c r="O26" s="1245"/>
      <c r="P26" s="2010"/>
      <c r="Q26" s="2010"/>
      <c r="R26" s="2010"/>
      <c r="S26" s="2010"/>
      <c r="T26" s="2010"/>
      <c r="U26" s="2010"/>
      <c r="V26" s="2010"/>
      <c r="W26" s="291"/>
      <c r="X26" s="291"/>
      <c r="Y26" s="291"/>
      <c r="Z26" s="291"/>
    </row>
    <row r="27" spans="1:26" ht="18">
      <c r="A27" s="292"/>
      <c r="B27" s="293"/>
      <c r="C27" s="293"/>
      <c r="D27" s="294"/>
      <c r="E27" s="310"/>
      <c r="F27" s="310"/>
      <c r="G27" s="310"/>
      <c r="H27" s="310"/>
      <c r="I27" s="310"/>
      <c r="J27" s="2010"/>
      <c r="K27" s="1252" t="str">
        <f ca="1">"单位面积地价："&amp;M38&amp;"元/平方米"</f>
        <v>单位面积地价：10990元/平方米</v>
      </c>
      <c r="L27" s="1246"/>
      <c r="M27" s="1246"/>
      <c r="N27" s="1246"/>
      <c r="O27" s="1245"/>
      <c r="P27" s="2010"/>
      <c r="Q27" s="2010"/>
      <c r="R27" s="2010"/>
      <c r="S27" s="2010"/>
      <c r="T27" s="2010"/>
      <c r="U27" s="2010"/>
      <c r="V27" s="2010"/>
    </row>
    <row r="28" spans="1:26" ht="18.75" customHeight="1">
      <c r="A28" s="292"/>
      <c r="B28" s="293"/>
      <c r="C28" s="293"/>
      <c r="D28" s="294"/>
      <c r="E28" s="310"/>
      <c r="F28" s="310"/>
      <c r="G28" s="310"/>
      <c r="H28" s="310"/>
      <c r="I28" s="310"/>
      <c r="J28" s="2010"/>
      <c r="K28" s="1252" t="str">
        <f ca="1">"楼面地价："&amp;N38&amp;"元/平方米"</f>
        <v>楼面地价：4125元/平方米</v>
      </c>
      <c r="L28" s="1246"/>
      <c r="M28" s="1246"/>
      <c r="N28" s="1246"/>
      <c r="O28" s="1245"/>
      <c r="P28" s="2010"/>
      <c r="V28" s="2010"/>
    </row>
    <row r="29" spans="1:26" ht="18">
      <c r="A29" s="292"/>
      <c r="B29" s="293"/>
      <c r="C29" s="293"/>
      <c r="D29" s="294"/>
      <c r="E29" s="310"/>
      <c r="F29" s="310"/>
      <c r="G29" s="310"/>
      <c r="H29" s="310"/>
      <c r="I29" s="310"/>
      <c r="J29" s="2010"/>
      <c r="K29" s="1252" t="str">
        <f ca="1">IF(OR(项目基本情况!E8="抵押价格",项目基本情况!E8="已注销及未注销"),"抵押价格："&amp;O39&amp;"万元","——")</f>
        <v>抵押价格：194742万元</v>
      </c>
      <c r="L29" s="1246"/>
      <c r="M29" s="1246"/>
      <c r="N29" s="1246"/>
      <c r="O29" s="1245"/>
      <c r="P29" s="2010"/>
      <c r="V29" s="2010"/>
    </row>
    <row r="30" spans="1:26" ht="18.75" thickBot="1">
      <c r="A30" s="2945" t="s">
        <v>336</v>
      </c>
      <c r="B30" s="308"/>
      <c r="C30" s="308"/>
      <c r="D30" s="309"/>
      <c r="E30" s="2946" t="s">
        <v>2957</v>
      </c>
      <c r="F30" s="310"/>
      <c r="G30" s="310"/>
      <c r="H30" s="310"/>
      <c r="I30" s="310"/>
      <c r="J30" s="2010"/>
      <c r="K30" s="1252" t="str">
        <f ca="1">IF(K29="——","——","大写金额：人民币"&amp;NUMBERSTRING(INT(O39*10000),2)&amp;"元整")</f>
        <v>大写金额：人民币壹拾玖亿肆仟柒佰肆拾贰万元整</v>
      </c>
      <c r="L30" s="1246"/>
      <c r="M30" s="1246"/>
      <c r="N30" s="1246"/>
      <c r="O30" s="1245"/>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v>
      </c>
      <c r="L31" s="2425"/>
      <c r="M31" s="2425"/>
      <c r="N31" s="2425"/>
      <c r="O31" s="2426"/>
      <c r="P31" s="2010"/>
      <c r="V31" s="2010"/>
    </row>
    <row r="32" spans="1:26" ht="18.75" thickBot="1">
      <c r="A32" s="267" t="s">
        <v>337</v>
      </c>
      <c r="B32" s="1374" t="s">
        <v>1682</v>
      </c>
      <c r="C32" s="1375">
        <f ca="1">G19-C24</f>
        <v>194742</v>
      </c>
      <c r="D32" s="1376" t="s">
        <v>1683</v>
      </c>
      <c r="E32" s="310"/>
      <c r="F32" s="310"/>
      <c r="G32" s="310"/>
      <c r="H32" s="310"/>
      <c r="I32" s="310"/>
      <c r="J32" s="2010"/>
      <c r="K32" s="2424" t="str">
        <f>IF(K31="——","——","大写金额：人民币"&amp;NUMBERSTRING(INT(O40*10000),2)&amp;"元整")</f>
        <v>——</v>
      </c>
      <c r="L32" s="2427"/>
      <c r="M32" s="2427"/>
      <c r="N32" s="2427"/>
      <c r="O32" s="2428"/>
      <c r="P32" s="2010"/>
      <c r="V32" s="2010"/>
    </row>
    <row r="33" spans="1:26" ht="18.75" thickBot="1">
      <c r="A33" s="297" t="s">
        <v>340</v>
      </c>
      <c r="B33" s="1377" t="s">
        <v>1684</v>
      </c>
      <c r="C33" s="263">
        <f ca="1">ROUND(C32*10000/'数据-汇总表'!E3,0)</f>
        <v>4125</v>
      </c>
      <c r="D33" s="1378" t="s">
        <v>1685</v>
      </c>
      <c r="E33" s="3330" t="s">
        <v>338</v>
      </c>
      <c r="F33" s="295" t="s">
        <v>339</v>
      </c>
      <c r="G33" s="296"/>
      <c r="H33" s="978"/>
      <c r="I33" s="1253"/>
      <c r="J33" s="2010"/>
      <c r="K33" s="1252" t="str">
        <f>IF(项目基本情况!E9="——","——","抵押净值："&amp;C46&amp;"万元")</f>
        <v>抵押净值：——万元</v>
      </c>
      <c r="L33" s="1246"/>
      <c r="M33" s="1246"/>
      <c r="N33" s="1246"/>
      <c r="O33" s="1245"/>
      <c r="P33" s="2010"/>
      <c r="V33" s="2010"/>
    </row>
    <row r="34" spans="1:26" s="1248" customFormat="1" ht="18.75" thickBot="1">
      <c r="A34" s="299"/>
      <c r="B34" s="1379" t="s">
        <v>1686</v>
      </c>
      <c r="C34" s="263">
        <f ca="1">ROUND(C32*10000/'数据-汇总表'!D3,0)</f>
        <v>10990</v>
      </c>
      <c r="D34" s="1380" t="s">
        <v>1685</v>
      </c>
      <c r="E34" s="3331"/>
      <c r="F34" s="127" t="s">
        <v>341</v>
      </c>
      <c r="G34" s="298"/>
      <c r="H34" s="105"/>
      <c r="I34" s="310"/>
      <c r="J34" s="2010"/>
      <c r="K34" s="1255" t="e">
        <f>IF(K33="——","——","大写金额：人民币"&amp;NUMBERSTRING(INT(O41*10000),2)&amp;"元整")</f>
        <v>#VALUE!</v>
      </c>
      <c r="L34" s="1256"/>
      <c r="M34" s="1256"/>
      <c r="N34" s="1256"/>
      <c r="O34" s="1257"/>
      <c r="P34" s="2010"/>
      <c r="Q34" s="291"/>
      <c r="R34" s="291"/>
      <c r="S34" s="291"/>
      <c r="T34" s="291"/>
      <c r="U34" s="291"/>
      <c r="V34" s="2010"/>
      <c r="W34" s="291"/>
      <c r="X34" s="291"/>
      <c r="Y34" s="291"/>
      <c r="Z34" s="291"/>
    </row>
    <row r="35" spans="1:26" ht="15.75" thickBot="1">
      <c r="A35" s="283"/>
      <c r="B35" s="1381"/>
      <c r="C35" s="1382">
        <f ca="1">ROUND(C32/('数据-汇总表'!D3/666.67),0)</f>
        <v>733</v>
      </c>
      <c r="D35" s="1383" t="s">
        <v>1687</v>
      </c>
      <c r="E35" s="3332"/>
      <c r="F35" s="300" t="s">
        <v>342</v>
      </c>
      <c r="G35" s="980"/>
      <c r="H35" s="979" t="s">
        <v>343</v>
      </c>
      <c r="I35" s="310"/>
      <c r="J35" s="2010"/>
      <c r="K35" s="3336" t="s">
        <v>350</v>
      </c>
      <c r="L35" s="3336" t="s">
        <v>351</v>
      </c>
      <c r="M35" s="1258" t="s">
        <v>352</v>
      </c>
      <c r="N35" s="3336" t="s">
        <v>353</v>
      </c>
      <c r="O35" s="3336" t="s">
        <v>354</v>
      </c>
      <c r="P35" s="2010"/>
      <c r="V35" s="2010"/>
    </row>
    <row r="36" spans="1:26" ht="16.5" customHeight="1">
      <c r="A36" s="302" t="s">
        <v>344</v>
      </c>
      <c r="B36" s="303" t="s">
        <v>333</v>
      </c>
      <c r="C36" s="304" t="s">
        <v>345</v>
      </c>
      <c r="D36" s="304" t="s">
        <v>346</v>
      </c>
      <c r="E36" s="305" t="s">
        <v>347</v>
      </c>
      <c r="F36" s="310"/>
      <c r="G36" s="310"/>
      <c r="H36" s="310"/>
      <c r="I36" s="310"/>
      <c r="J36" s="2012"/>
      <c r="K36" s="3337"/>
      <c r="L36" s="3337"/>
      <c r="M36" s="1260" t="s">
        <v>355</v>
      </c>
      <c r="N36" s="3337"/>
      <c r="O36" s="3337"/>
      <c r="P36" s="2010"/>
      <c r="V36" s="2010"/>
    </row>
    <row r="37" spans="1:26" ht="16.5" customHeight="1" thickBot="1">
      <c r="A37" s="1254" t="s">
        <v>348</v>
      </c>
      <c r="B37" s="306"/>
      <c r="C37" s="293"/>
      <c r="D37" s="293"/>
      <c r="E37" s="294"/>
      <c r="F37" s="310"/>
      <c r="G37" s="310"/>
      <c r="H37" s="310"/>
      <c r="I37" s="310"/>
      <c r="J37" s="2012"/>
      <c r="K37" s="3338"/>
      <c r="L37" s="3338"/>
      <c r="M37" s="1261"/>
      <c r="N37" s="3338"/>
      <c r="O37" s="3338"/>
      <c r="P37" s="2010"/>
      <c r="V37" s="2010"/>
    </row>
    <row r="38" spans="1:26" ht="16.5" customHeight="1" thickBot="1">
      <c r="A38" s="1254" t="s">
        <v>349</v>
      </c>
      <c r="B38" s="306"/>
      <c r="C38" s="293"/>
      <c r="D38" s="293"/>
      <c r="E38" s="294"/>
      <c r="F38" s="310"/>
      <c r="G38" s="310"/>
      <c r="H38" s="310"/>
      <c r="I38" s="310"/>
      <c r="J38" s="2012"/>
      <c r="K38" s="1262">
        <f>'数据-汇总表'!D3</f>
        <v>177193.01</v>
      </c>
      <c r="L38" s="1263">
        <f>'数据-汇总表'!E3</f>
        <v>472085.52</v>
      </c>
      <c r="M38" s="1263">
        <f ca="1">C34</f>
        <v>10990</v>
      </c>
      <c r="N38" s="1263">
        <f ca="1">C33</f>
        <v>4125</v>
      </c>
      <c r="O38" s="1264">
        <f ca="1">C32</f>
        <v>194742</v>
      </c>
      <c r="P38" s="2010"/>
      <c r="V38" s="2010"/>
    </row>
    <row r="39" spans="1:26" ht="16.5" customHeight="1" thickBot="1">
      <c r="A39" s="1259"/>
      <c r="B39" s="307"/>
      <c r="C39" s="308"/>
      <c r="D39" s="308"/>
      <c r="E39" s="309"/>
      <c r="F39" s="310"/>
      <c r="G39" s="310"/>
      <c r="H39" s="310"/>
      <c r="I39" s="310"/>
      <c r="J39" s="2012"/>
      <c r="K39" s="3349" t="str">
        <f>MID(A44,3,LEN(A44)-2)</f>
        <v>抵押价格</v>
      </c>
      <c r="L39" s="3350"/>
      <c r="M39" s="3350"/>
      <c r="N39" s="3351"/>
      <c r="O39" s="1385">
        <f ca="1">C44</f>
        <v>194742</v>
      </c>
      <c r="P39" s="2010"/>
      <c r="V39" s="2010"/>
    </row>
    <row r="40" spans="1:26" ht="19.5" thickBot="1">
      <c r="A40" s="104" t="s">
        <v>870</v>
      </c>
      <c r="B40" s="310"/>
      <c r="C40" s="310"/>
      <c r="D40" s="310"/>
      <c r="E40" s="310"/>
      <c r="F40" s="310"/>
      <c r="G40" s="310"/>
      <c r="H40" s="310"/>
      <c r="I40" s="310"/>
      <c r="J40" s="2012"/>
      <c r="K40" s="3349" t="str">
        <f t="shared" ref="K40:K41" si="0">MID(A45,3,LEN(A45)-2)</f>
        <v/>
      </c>
      <c r="L40" s="3350"/>
      <c r="M40" s="3350"/>
      <c r="N40" s="3351"/>
      <c r="O40" s="1385" t="str">
        <f>C45</f>
        <v>——</v>
      </c>
      <c r="P40" s="2010"/>
      <c r="V40" s="2010"/>
    </row>
    <row r="41" spans="1:26" ht="16.5" thickBot="1">
      <c r="A41" s="311" t="s">
        <v>356</v>
      </c>
      <c r="B41" s="312"/>
      <c r="C41" s="313" t="s">
        <v>357</v>
      </c>
      <c r="D41" s="314" t="s">
        <v>358</v>
      </c>
      <c r="E41" s="314" t="s">
        <v>359</v>
      </c>
      <c r="F41" s="315" t="s">
        <v>360</v>
      </c>
      <c r="G41" s="310"/>
      <c r="H41" s="310"/>
      <c r="I41" s="310"/>
      <c r="J41" s="2012"/>
      <c r="K41" s="3349" t="str">
        <f t="shared" si="0"/>
        <v/>
      </c>
      <c r="L41" s="3350"/>
      <c r="M41" s="3350"/>
      <c r="N41" s="3351"/>
      <c r="O41" s="1385" t="str">
        <f>C46</f>
        <v>——</v>
      </c>
      <c r="P41" s="2010"/>
      <c r="V41" s="2010"/>
    </row>
    <row r="42" spans="1:26" ht="29.25">
      <c r="A42" s="3375" t="s">
        <v>2059</v>
      </c>
      <c r="B42" s="3376"/>
      <c r="C42" s="263">
        <f ca="1">C32</f>
        <v>194742</v>
      </c>
      <c r="D42" s="316">
        <f ca="1">C33</f>
        <v>4125</v>
      </c>
      <c r="E42" s="316">
        <f ca="1">C34</f>
        <v>10990</v>
      </c>
      <c r="F42" s="317">
        <f ca="1">C35</f>
        <v>733</v>
      </c>
      <c r="G42" s="310"/>
      <c r="H42" s="310"/>
      <c r="I42" s="318"/>
      <c r="J42" s="2012"/>
      <c r="K42" s="1265" t="s">
        <v>361</v>
      </c>
      <c r="L42" s="2029" t="s">
        <v>362</v>
      </c>
      <c r="M42" s="1266" t="s">
        <v>363</v>
      </c>
      <c r="N42" s="2030" t="s">
        <v>364</v>
      </c>
      <c r="O42" s="2031" t="s">
        <v>365</v>
      </c>
      <c r="P42" s="2010"/>
      <c r="V42" s="2010"/>
    </row>
    <row r="43" spans="1:26" ht="30">
      <c r="A43" s="3385" t="s">
        <v>2720</v>
      </c>
      <c r="B43" s="3386"/>
      <c r="C43" s="263">
        <f>IF(H33="正常操作",G33+G34+G35,G34+G35)</f>
        <v>0</v>
      </c>
      <c r="D43" s="316" t="s">
        <v>43</v>
      </c>
      <c r="E43" s="316" t="s">
        <v>44</v>
      </c>
      <c r="F43" s="317" t="s">
        <v>44</v>
      </c>
      <c r="G43" s="2702" t="s">
        <v>949</v>
      </c>
      <c r="H43" s="310"/>
      <c r="I43" s="318"/>
      <c r="J43" s="2012"/>
      <c r="K43" s="1267" t="str">
        <f>C4</f>
        <v>比较法-住宅、综合</v>
      </c>
      <c r="L43" s="1268">
        <f ca="1">IF(L42="估价结果/万元",C19,C20)</f>
        <v>181492</v>
      </c>
      <c r="M43" s="1269">
        <f>C18</f>
        <v>0.5</v>
      </c>
      <c r="N43" s="1270">
        <f ca="1">IF(N42="测算结果/万元",G19,G20)</f>
        <v>194742</v>
      </c>
      <c r="O43" s="1271">
        <f ca="1">IF(O42="最终结果/万元",C32,C33)</f>
        <v>194742</v>
      </c>
      <c r="P43" s="2010"/>
      <c r="V43" s="2010"/>
    </row>
    <row r="44" spans="1:26" ht="30.75" thickBot="1">
      <c r="A44" s="3375" t="str">
        <f>IF(OR(项目基本情况!E8="抵押价格",项目基本情况!E8="已注销及未注销"),"3.抵押价格","——")</f>
        <v>3.抵押价格</v>
      </c>
      <c r="B44" s="3376"/>
      <c r="C44" s="263">
        <f ca="1">IF(A44="——","——",C42-C43)</f>
        <v>194742</v>
      </c>
      <c r="D44" s="316">
        <f ca="1">ROUND(C44*10000/'数据-汇总表'!E3,0)</f>
        <v>4125</v>
      </c>
      <c r="E44" s="316">
        <f ca="1">ROUND(C44*10000/'数据-汇总表'!D3,0)</f>
        <v>10990</v>
      </c>
      <c r="F44" s="317">
        <f ca="1">ROUND(C44/('数据-汇总表'!D3/666.67),0)</f>
        <v>733</v>
      </c>
      <c r="G44" s="310"/>
      <c r="H44" s="310"/>
      <c r="I44" s="318"/>
      <c r="J44" s="2012"/>
      <c r="K44" s="1272" t="str">
        <f>D4</f>
        <v>剩余法-待开发</v>
      </c>
      <c r="L44" s="1273">
        <f ca="1">IF(L42="估价结果/万元",D19,D20)</f>
        <v>207991</v>
      </c>
      <c r="M44" s="1274">
        <f>D18</f>
        <v>0.5</v>
      </c>
      <c r="N44" s="1275"/>
      <c r="O44" s="1276"/>
      <c r="P44" s="2010"/>
      <c r="V44" s="2010"/>
    </row>
    <row r="45" spans="1:26" ht="15">
      <c r="A45" s="3380" t="str">
        <f>IF(项目基本情况!E8="已注销及未注销","4.抵押担保权已注销时的抵押价格",IF(项目基本情况!E8="已注销","3.抵押担保权已注销时的抵押价格","——"))</f>
        <v>——</v>
      </c>
      <c r="B45" s="3381"/>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5.75" thickBot="1">
      <c r="A46" s="3377" t="str">
        <f>IF(项目基本情况!E9="抵押净值",IF(A45="——","4.抵押净值","5.抵押净值"),"——")</f>
        <v>——</v>
      </c>
      <c r="B46" s="3378"/>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75">
      <c r="A47" s="320" t="s">
        <v>366</v>
      </c>
      <c r="B47" s="1277"/>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2.75">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2.75">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2.75">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2.75">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2.75">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2.75">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2.75">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2.75">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2.75">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2.75">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2.75">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2.75">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2.75">
      <c r="A61" s="256"/>
      <c r="B61" s="338"/>
      <c r="C61" s="339"/>
      <c r="D61" s="215"/>
      <c r="E61" s="215"/>
      <c r="F61" s="252"/>
      <c r="G61" s="256"/>
      <c r="H61" s="256"/>
      <c r="I61" s="256"/>
      <c r="J61" s="2013"/>
      <c r="K61" s="2010"/>
      <c r="L61" s="2010"/>
      <c r="M61" s="2010"/>
      <c r="N61" s="2010"/>
      <c r="O61" s="2010"/>
      <c r="P61" s="2010"/>
      <c r="Q61" s="2010"/>
      <c r="R61" s="2010"/>
      <c r="S61" s="2010"/>
      <c r="T61" s="2010"/>
      <c r="U61" s="2010"/>
      <c r="V61" s="2010"/>
    </row>
    <row r="62" spans="1:22" ht="18.75">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341" t="s">
        <v>374</v>
      </c>
      <c r="B63" s="3342"/>
      <c r="C63" s="3343"/>
      <c r="D63" s="340">
        <f ca="1">ROUND(C42*F63,0)</f>
        <v>116845</v>
      </c>
      <c r="E63" s="301" t="s">
        <v>375</v>
      </c>
      <c r="F63" s="341">
        <v>0.6</v>
      </c>
      <c r="G63" s="342" t="s">
        <v>376</v>
      </c>
      <c r="H63" s="310"/>
      <c r="I63" s="310"/>
      <c r="J63" s="2010"/>
      <c r="K63" s="2010"/>
      <c r="L63" s="2010"/>
      <c r="M63" s="2010"/>
      <c r="N63" s="2010"/>
      <c r="O63" s="2010"/>
      <c r="P63" s="310"/>
      <c r="Q63" s="2010"/>
      <c r="R63" s="2010"/>
      <c r="S63" s="2010"/>
      <c r="T63" s="2010"/>
      <c r="U63" s="2010"/>
      <c r="V63" s="2010"/>
    </row>
    <row r="64" spans="1:22" ht="14.25" customHeight="1">
      <c r="A64" s="3382" t="s">
        <v>378</v>
      </c>
      <c r="B64" s="3383"/>
      <c r="C64" s="3383"/>
      <c r="D64" s="3383"/>
      <c r="E64" s="3383"/>
      <c r="F64" s="3383"/>
      <c r="G64" s="3384"/>
      <c r="H64" s="1282"/>
      <c r="I64" s="947"/>
      <c r="J64" s="1972"/>
      <c r="K64" s="1544" t="s">
        <v>377</v>
      </c>
      <c r="L64" s="11"/>
      <c r="M64" s="11"/>
      <c r="N64" s="11"/>
      <c r="O64" s="11"/>
      <c r="P64" s="310"/>
      <c r="Q64" s="2010"/>
      <c r="R64" s="2010"/>
      <c r="S64" s="2010"/>
      <c r="T64" s="2010"/>
      <c r="U64" s="2010"/>
      <c r="V64" s="2010"/>
    </row>
    <row r="65" spans="1:22" ht="12" customHeight="1">
      <c r="A65" s="343" t="s">
        <v>380</v>
      </c>
      <c r="B65" s="344"/>
      <c r="C65" s="345"/>
      <c r="D65" s="346" t="s">
        <v>381</v>
      </c>
      <c r="E65" s="53" t="s">
        <v>382</v>
      </c>
      <c r="F65" s="347" t="s">
        <v>383</v>
      </c>
      <c r="G65" s="348" t="s">
        <v>384</v>
      </c>
      <c r="H65" s="1282"/>
      <c r="I65" s="947"/>
      <c r="J65" s="1972"/>
      <c r="K65" s="1283"/>
      <c r="L65" s="1284"/>
      <c r="M65" s="1284"/>
      <c r="N65" s="1316" t="s">
        <v>379</v>
      </c>
      <c r="O65" s="1317"/>
      <c r="P65" s="1318"/>
      <c r="Q65" s="2010"/>
      <c r="R65" s="2010"/>
      <c r="S65" s="2010"/>
      <c r="T65" s="2010"/>
      <c r="U65" s="2010"/>
      <c r="V65" s="2010"/>
    </row>
    <row r="66" spans="1:22" ht="25.5">
      <c r="A66" s="3379" t="s">
        <v>386</v>
      </c>
      <c r="B66" s="3348"/>
      <c r="C66" s="3348"/>
      <c r="D66" s="260">
        <f ca="1">IF(H66="情况1",0,IF(H66="情况2",D70,IF(H66="情况3",D71,IF(H66="情况4",D72))))</f>
        <v>6232</v>
      </c>
      <c r="E66" s="991" t="str">
        <f>IF(H66="情况4","(销售额-原购置价)×税（费）率","销售额×税（费）率")</f>
        <v>销售额×税（费）率</v>
      </c>
      <c r="F66" s="349">
        <f>IF(H66="情况1","免征",'数据-取费表'!B41)</f>
        <v>5.6000000000000001E-2</v>
      </c>
      <c r="G66" s="350" t="s">
        <v>387</v>
      </c>
      <c r="H66" s="190" t="s">
        <v>388</v>
      </c>
      <c r="I66" s="1282"/>
      <c r="J66" s="2016"/>
      <c r="K66" s="1285">
        <v>1</v>
      </c>
      <c r="L66" s="3309" t="s">
        <v>385</v>
      </c>
      <c r="M66" s="3310"/>
      <c r="N66" s="2419"/>
      <c r="O66" s="2420"/>
      <c r="P66" s="2421"/>
      <c r="Q66" s="2010"/>
      <c r="R66" s="2010"/>
      <c r="S66" s="2010"/>
      <c r="T66" s="2010"/>
      <c r="U66" s="2010"/>
      <c r="V66" s="2010"/>
    </row>
    <row r="67" spans="1:22" ht="25.5" customHeight="1">
      <c r="A67" s="351" t="s">
        <v>390</v>
      </c>
      <c r="B67" s="3360" t="s">
        <v>391</v>
      </c>
      <c r="C67" s="3360"/>
      <c r="D67" s="352">
        <v>0</v>
      </c>
      <c r="E67" s="41" t="s">
        <v>392</v>
      </c>
      <c r="F67" s="62" t="s">
        <v>21</v>
      </c>
      <c r="G67" s="3344"/>
      <c r="H67" s="310"/>
      <c r="I67" s="1286"/>
      <c r="J67" s="2017"/>
      <c r="K67" s="1958">
        <v>2</v>
      </c>
      <c r="L67" s="3314" t="s">
        <v>389</v>
      </c>
      <c r="M67" s="3314"/>
      <c r="N67" s="1319">
        <f>'数据-取费表'!B2</f>
        <v>44050</v>
      </c>
      <c r="O67" s="1319"/>
      <c r="P67" s="1319"/>
      <c r="Q67" s="2010"/>
      <c r="R67" s="2010"/>
      <c r="S67" s="2010"/>
      <c r="T67" s="2010"/>
      <c r="U67" s="2010"/>
      <c r="V67" s="2010"/>
    </row>
    <row r="68" spans="1:22" ht="25.5" customHeight="1">
      <c r="A68" s="353"/>
      <c r="B68" s="3360" t="s">
        <v>394</v>
      </c>
      <c r="C68" s="3360"/>
      <c r="D68" s="354"/>
      <c r="E68" s="77"/>
      <c r="F68" s="355"/>
      <c r="G68" s="3345"/>
      <c r="H68" s="310"/>
      <c r="I68" s="1286"/>
      <c r="J68" s="2017"/>
      <c r="K68" s="1958">
        <v>3</v>
      </c>
      <c r="L68" s="3314" t="s">
        <v>393</v>
      </c>
      <c r="M68" s="3314"/>
      <c r="N68" s="1287">
        <f ca="1">C42</f>
        <v>194742</v>
      </c>
      <c r="O68" s="1287"/>
      <c r="P68" s="1287"/>
      <c r="Q68" s="2010"/>
      <c r="R68" s="2010"/>
      <c r="S68" s="2010"/>
      <c r="T68" s="2010"/>
      <c r="U68" s="2010"/>
      <c r="V68" s="2010"/>
    </row>
    <row r="69" spans="1:22" ht="12" customHeight="1">
      <c r="A69" s="356"/>
      <c r="B69" s="3360" t="s">
        <v>395</v>
      </c>
      <c r="C69" s="3360"/>
      <c r="D69" s="357"/>
      <c r="E69" s="73"/>
      <c r="F69" s="355"/>
      <c r="G69" s="3346"/>
      <c r="H69" s="310"/>
      <c r="I69" s="1286"/>
      <c r="J69" s="2017"/>
      <c r="K69" s="1288">
        <v>4</v>
      </c>
      <c r="L69" s="3315" t="s">
        <v>2873</v>
      </c>
      <c r="M69" s="3316"/>
      <c r="N69" s="1289">
        <f ca="1">C44</f>
        <v>194742</v>
      </c>
      <c r="O69" s="1289"/>
      <c r="P69" s="1289"/>
      <c r="Q69" s="2010"/>
      <c r="R69" s="2010"/>
      <c r="S69" s="2010"/>
      <c r="T69" s="2010"/>
      <c r="U69" s="2010"/>
      <c r="V69" s="2010"/>
    </row>
    <row r="70" spans="1:22" ht="24" customHeight="1">
      <c r="A70" s="358" t="s">
        <v>396</v>
      </c>
      <c r="B70" s="3360" t="s">
        <v>397</v>
      </c>
      <c r="C70" s="3360"/>
      <c r="D70" s="357">
        <f ca="1">ROUND(D63*'数据-取费表'!B41/(1+'数据-取费表'!C42),0)</f>
        <v>6232</v>
      </c>
      <c r="E70" s="17" t="s">
        <v>398</v>
      </c>
      <c r="F70" s="359">
        <f>'数据-取费表'!B41</f>
        <v>5.6000000000000001E-2</v>
      </c>
      <c r="G70" s="360"/>
      <c r="H70" s="310"/>
      <c r="I70" s="1286"/>
      <c r="J70" s="2017"/>
      <c r="K70" s="2887"/>
      <c r="L70" s="2888"/>
      <c r="M70" s="2888"/>
      <c r="N70" s="2889" t="s">
        <v>2878</v>
      </c>
      <c r="O70" s="2888"/>
      <c r="P70" s="2890"/>
      <c r="Q70" s="2010"/>
      <c r="R70" s="2010"/>
      <c r="S70" s="2010"/>
      <c r="T70" s="2010"/>
      <c r="U70" s="2010"/>
      <c r="V70" s="2010"/>
    </row>
    <row r="71" spans="1:22" ht="12" customHeight="1">
      <c r="A71" s="358" t="s">
        <v>404</v>
      </c>
      <c r="B71" s="3359" t="s">
        <v>405</v>
      </c>
      <c r="C71" s="3373"/>
      <c r="D71" s="357">
        <f ca="1">ROUND(D63*'数据-取费表'!B41/(1+'数据-取费表'!C42),0)</f>
        <v>6232</v>
      </c>
      <c r="E71" s="17" t="s">
        <v>398</v>
      </c>
      <c r="F71" s="359">
        <f>'数据-取费表'!B41</f>
        <v>5.6000000000000001E-2</v>
      </c>
      <c r="G71" s="360"/>
      <c r="H71" s="310"/>
      <c r="I71" s="1286"/>
      <c r="J71" s="2017"/>
      <c r="K71" s="2886" t="s">
        <v>399</v>
      </c>
      <c r="L71" s="3317" t="s">
        <v>400</v>
      </c>
      <c r="M71" s="3317"/>
      <c r="N71" s="2886" t="s">
        <v>401</v>
      </c>
      <c r="O71" s="2886" t="s">
        <v>402</v>
      </c>
      <c r="P71" s="2886" t="s">
        <v>403</v>
      </c>
      <c r="Q71" s="2010"/>
      <c r="R71" s="2010"/>
      <c r="S71" s="2010"/>
      <c r="T71" s="2010"/>
      <c r="U71" s="2010"/>
      <c r="V71" s="2010"/>
    </row>
    <row r="72" spans="1:22" ht="12" customHeight="1">
      <c r="A72" s="358" t="s">
        <v>407</v>
      </c>
      <c r="B72" s="3359" t="s">
        <v>408</v>
      </c>
      <c r="C72" s="3373"/>
      <c r="D72" s="357">
        <f ca="1">C86</f>
        <v>6120</v>
      </c>
      <c r="E72" s="73" t="s">
        <v>409</v>
      </c>
      <c r="F72" s="359">
        <f>'数据-取费表'!B41</f>
        <v>5.6000000000000001E-2</v>
      </c>
      <c r="G72" s="360"/>
      <c r="H72" s="1292"/>
      <c r="I72" s="1286"/>
      <c r="J72" s="2017"/>
      <c r="K72" s="1958">
        <v>1</v>
      </c>
      <c r="L72" s="3313" t="s">
        <v>406</v>
      </c>
      <c r="M72" s="3313"/>
      <c r="N72" s="1290">
        <f ca="1">D66</f>
        <v>6232</v>
      </c>
      <c r="O72" s="1841" t="str">
        <f>E66</f>
        <v>销售额×税（费）率</v>
      </c>
      <c r="P72" s="1291">
        <f>F66</f>
        <v>5.6000000000000001E-2</v>
      </c>
      <c r="Q72" s="2010"/>
      <c r="R72" s="2010"/>
      <c r="S72" s="2010"/>
      <c r="T72" s="2010"/>
      <c r="U72" s="2010"/>
      <c r="V72" s="2010"/>
    </row>
    <row r="73" spans="1:22" ht="24" customHeight="1">
      <c r="A73" s="3347" t="s">
        <v>411</v>
      </c>
      <c r="B73" s="3348"/>
      <c r="C73" s="3348"/>
      <c r="D73" s="361">
        <f>IF(H73="个人住宅",0,ROUND(D63*I73,0))</f>
        <v>0</v>
      </c>
      <c r="E73" s="17" t="s">
        <v>412</v>
      </c>
      <c r="F73" s="359" t="str">
        <f>IF(H73="正常",I73,"免征")</f>
        <v>免征</v>
      </c>
      <c r="G73" s="360"/>
      <c r="H73" s="190" t="s">
        <v>2446</v>
      </c>
      <c r="I73" s="359">
        <f>'数据-取费表'!B49</f>
        <v>5.0000000000000001E-4</v>
      </c>
      <c r="J73" s="2017"/>
      <c r="K73" s="1958">
        <v>2</v>
      </c>
      <c r="L73" s="3313" t="s">
        <v>410</v>
      </c>
      <c r="M73" s="3313"/>
      <c r="N73" s="1290">
        <f t="shared" ref="N73:P74" si="1">D73</f>
        <v>0</v>
      </c>
      <c r="O73" s="1841" t="str">
        <f t="shared" si="1"/>
        <v>销售额×税（费）率</v>
      </c>
      <c r="P73" s="1291" t="str">
        <f t="shared" si="1"/>
        <v>免征</v>
      </c>
      <c r="Q73" s="2010"/>
      <c r="R73" s="2010"/>
      <c r="S73" s="2010"/>
      <c r="T73" s="2010"/>
      <c r="U73" s="2010"/>
      <c r="V73" s="2010"/>
    </row>
    <row r="74" spans="1:22" ht="24.75">
      <c r="A74" s="3347" t="s">
        <v>415</v>
      </c>
      <c r="B74" s="3348"/>
      <c r="C74" s="3348"/>
      <c r="D74" s="361">
        <f ca="1">IF(H74="个人住宅",D75,D76)</f>
        <v>65536</v>
      </c>
      <c r="E74" s="17" t="s">
        <v>416</v>
      </c>
      <c r="F74" s="359" t="str">
        <f>IF(H74="正常",F76,"免征")</f>
        <v>——</v>
      </c>
      <c r="G74" s="981" t="s">
        <v>417</v>
      </c>
      <c r="H74" s="362" t="s">
        <v>413</v>
      </c>
      <c r="I74" s="42"/>
      <c r="J74" s="2017"/>
      <c r="K74" s="1958">
        <v>3</v>
      </c>
      <c r="L74" s="3313" t="s">
        <v>414</v>
      </c>
      <c r="M74" s="3313"/>
      <c r="N74" s="1290">
        <f t="shared" ca="1" si="1"/>
        <v>65536</v>
      </c>
      <c r="O74" s="1841" t="str">
        <f t="shared" si="1"/>
        <v>增值额×税（费）率</v>
      </c>
      <c r="P74" s="1293" t="str">
        <f t="shared" si="1"/>
        <v>——</v>
      </c>
      <c r="Q74" s="2010"/>
      <c r="R74" s="2010"/>
      <c r="S74" s="2010"/>
      <c r="T74" s="2010"/>
      <c r="U74" s="2010"/>
      <c r="V74" s="2010"/>
    </row>
    <row r="75" spans="1:22" ht="24">
      <c r="A75" s="358" t="s">
        <v>418</v>
      </c>
      <c r="B75" s="3328" t="s">
        <v>419</v>
      </c>
      <c r="C75" s="3329"/>
      <c r="D75" s="363">
        <v>0</v>
      </c>
      <c r="E75" s="41" t="s">
        <v>420</v>
      </c>
      <c r="F75" s="364"/>
      <c r="G75" s="360"/>
      <c r="H75" s="42"/>
      <c r="I75" s="42"/>
      <c r="J75" s="2017"/>
      <c r="K75" s="2879">
        <f>IF(H77="非个人房产","",4)</f>
        <v>4</v>
      </c>
      <c r="L75" s="3313" t="str">
        <f>IF(H77="非个人房产","——","个人所得税")</f>
        <v>个人所得税</v>
      </c>
      <c r="M75" s="3313"/>
      <c r="N75" s="1294">
        <f ca="1">D77</f>
        <v>1168</v>
      </c>
      <c r="O75" s="1854" t="str">
        <f>E77</f>
        <v>销售额×税（费）率</v>
      </c>
      <c r="P75" s="1295">
        <f>F77</f>
        <v>0.01</v>
      </c>
      <c r="Q75" s="2010"/>
      <c r="R75" s="2010"/>
      <c r="S75" s="2010"/>
      <c r="T75" s="2010"/>
      <c r="U75" s="2010"/>
      <c r="V75" s="2010"/>
    </row>
    <row r="76" spans="1:22" ht="24.75">
      <c r="A76" s="358" t="s">
        <v>396</v>
      </c>
      <c r="B76" s="3328" t="s">
        <v>422</v>
      </c>
      <c r="C76" s="3370"/>
      <c r="D76" s="361">
        <f ca="1">IF(H76="转让取得",C99,C115)</f>
        <v>65536</v>
      </c>
      <c r="E76" s="17" t="s">
        <v>423</v>
      </c>
      <c r="F76" s="53" t="s">
        <v>21</v>
      </c>
      <c r="G76" s="360"/>
      <c r="H76" s="362" t="s">
        <v>424</v>
      </c>
      <c r="I76" s="42"/>
      <c r="J76" s="2017"/>
      <c r="K76" s="2879" t="str">
        <f>IF(项目基本情况!K6="上海银行",IF(K75="",4,K75+1),"")</f>
        <v/>
      </c>
      <c r="L76" s="3324" t="str">
        <f>IF(项目基本情况!K6="上海银行","其他处置费用","")</f>
        <v/>
      </c>
      <c r="M76" s="3325"/>
      <c r="N76" s="1290" t="str">
        <f>IF(项目基本情况!K6="上海银行",N89,"")</f>
        <v/>
      </c>
      <c r="O76" s="3326" t="str">
        <f>IF(项目基本情况!K6="上海银行","包含处置中涉及的律师、诉讼、拍卖、评估等费用","")</f>
        <v/>
      </c>
      <c r="P76" s="3327"/>
      <c r="Q76" s="2010"/>
      <c r="R76" s="2010"/>
      <c r="S76" s="2010"/>
      <c r="T76" s="2010"/>
      <c r="U76" s="2010"/>
      <c r="V76" s="2010"/>
    </row>
    <row r="77" spans="1:22" ht="26.25" thickBot="1">
      <c r="A77" s="3339" t="s">
        <v>426</v>
      </c>
      <c r="B77" s="3340"/>
      <c r="C77" s="3340"/>
      <c r="D77" s="365">
        <f ca="1">IF(H77="非个人房产","——",IF(H77="个人住宅",0,ROUND(D63*I77,0)))</f>
        <v>1168</v>
      </c>
      <c r="E77" s="366" t="str">
        <f>IF(H77="非个人房产","——","销售额×税（费）率")</f>
        <v>销售额×税（费）率</v>
      </c>
      <c r="F77" s="367">
        <f>IF(H77="非个人房产","——",IF(H77="个人住宅","免征",I77))</f>
        <v>0.01</v>
      </c>
      <c r="G77" s="982" t="s">
        <v>417</v>
      </c>
      <c r="H77" s="362" t="s">
        <v>2874</v>
      </c>
      <c r="I77" s="368">
        <v>0.01</v>
      </c>
      <c r="J77" s="2017"/>
      <c r="K77" s="3335">
        <f>IF(AND(K75="",K76=""),4,IF(项目基本情况!K6="上海银行",K76+1,K75+1))</f>
        <v>5</v>
      </c>
      <c r="L77" s="3313" t="s">
        <v>2875</v>
      </c>
      <c r="M77" s="2885" t="s">
        <v>421</v>
      </c>
      <c r="N77" s="1296"/>
      <c r="O77" s="1297">
        <f ca="1">SUMIF(N72:N76,"&lt;9e307")</f>
        <v>72936</v>
      </c>
      <c r="P77" s="1298"/>
      <c r="Q77" s="2883">
        <f ca="1">O77/N69</f>
        <v>0.37452629633052964</v>
      </c>
      <c r="R77" s="2010"/>
      <c r="S77" s="2010"/>
      <c r="T77" s="2010"/>
      <c r="U77" s="2010"/>
      <c r="V77" s="2010"/>
    </row>
    <row r="78" spans="1:22" ht="12" customHeight="1">
      <c r="A78" s="1299"/>
      <c r="B78" s="310"/>
      <c r="C78" s="310"/>
      <c r="D78" s="310"/>
      <c r="E78" s="42"/>
      <c r="F78" s="42"/>
      <c r="G78" s="42"/>
      <c r="H78" s="1001"/>
      <c r="I78" s="310"/>
      <c r="J78" s="2017"/>
      <c r="K78" s="3335"/>
      <c r="L78" s="3313"/>
      <c r="M78" s="2885" t="s">
        <v>425</v>
      </c>
      <c r="N78" s="1296"/>
      <c r="O78" s="1297" t="str">
        <f ca="1">NUMBERSTRING(INT(O77*10000),2)&amp;"元整"</f>
        <v>柒亿贰仟玖佰叁拾陆万元整</v>
      </c>
      <c r="P78" s="1298"/>
      <c r="Q78" s="2010"/>
      <c r="R78" s="2010"/>
      <c r="S78" s="2010"/>
      <c r="T78" s="2010"/>
      <c r="U78" s="2010"/>
      <c r="V78" s="2010"/>
    </row>
    <row r="79" spans="1:22" ht="13.5" thickBot="1">
      <c r="A79" s="3387" t="s">
        <v>427</v>
      </c>
      <c r="B79" s="3387"/>
      <c r="C79" s="3387"/>
      <c r="D79" s="3387"/>
      <c r="E79" s="3387"/>
      <c r="F79" s="42"/>
      <c r="G79" s="42"/>
      <c r="H79" s="1001"/>
      <c r="I79" s="310"/>
      <c r="J79" s="2017"/>
      <c r="K79" s="3311">
        <f>K77+1</f>
        <v>6</v>
      </c>
      <c r="L79" s="3313" t="s">
        <v>2876</v>
      </c>
      <c r="M79" s="2885" t="s">
        <v>421</v>
      </c>
      <c r="N79" s="1296"/>
      <c r="O79" s="1297">
        <f ca="1">N69-O77</f>
        <v>121806</v>
      </c>
      <c r="P79" s="1298"/>
      <c r="Q79" s="2010"/>
      <c r="R79" s="2010"/>
      <c r="S79" s="2010"/>
      <c r="T79" s="2010"/>
      <c r="U79" s="2010"/>
      <c r="V79" s="2010"/>
    </row>
    <row r="80" spans="1:22" ht="25.5">
      <c r="A80" s="3321" t="s">
        <v>428</v>
      </c>
      <c r="B80" s="3322"/>
      <c r="C80" s="992"/>
      <c r="D80" s="992" t="s">
        <v>429</v>
      </c>
      <c r="E80" s="369" t="s">
        <v>430</v>
      </c>
      <c r="F80" s="42"/>
      <c r="G80" s="42"/>
      <c r="H80" s="1001"/>
      <c r="I80" s="310"/>
      <c r="J80" s="2010"/>
      <c r="K80" s="3312"/>
      <c r="L80" s="3313"/>
      <c r="M80" s="2885" t="s">
        <v>425</v>
      </c>
      <c r="N80" s="1296"/>
      <c r="O80" s="1297" t="str">
        <f ca="1">NUMBERSTRING(INT(O79*10000),2)&amp;"元整"</f>
        <v>壹拾贰亿壹仟捌佰零陆万元整</v>
      </c>
      <c r="P80" s="1298"/>
      <c r="Q80" s="2010"/>
      <c r="R80" s="2010"/>
      <c r="S80" s="2010"/>
      <c r="T80" s="2010"/>
      <c r="U80" s="2010"/>
      <c r="V80" s="2010"/>
    </row>
    <row r="81" spans="1:26" ht="13.5" thickBot="1">
      <c r="A81" s="380" t="s">
        <v>1817</v>
      </c>
      <c r="B81" s="370" t="s">
        <v>431</v>
      </c>
      <c r="C81" s="371">
        <f ca="1">ROUND((C82+C83)/(1+'数据-取费表'!C42),0)</f>
        <v>111281</v>
      </c>
      <c r="D81" s="372"/>
      <c r="E81" s="373"/>
      <c r="F81" s="42"/>
      <c r="G81" s="42"/>
      <c r="H81" s="1001"/>
      <c r="I81" s="310"/>
      <c r="J81" s="2010"/>
      <c r="K81" s="2879">
        <f>K79+1</f>
        <v>7</v>
      </c>
      <c r="L81" s="3333" t="s">
        <v>2877</v>
      </c>
      <c r="M81" s="3334"/>
      <c r="N81" s="1300"/>
      <c r="O81" s="1301">
        <f ca="1">ROUND(O79*10000/'数据-汇总表'!E3,0)</f>
        <v>2580</v>
      </c>
      <c r="P81" s="1302"/>
      <c r="Q81" s="2010"/>
      <c r="R81" s="2010"/>
      <c r="S81" s="2010"/>
      <c r="T81" s="2010"/>
      <c r="U81" s="2010"/>
      <c r="V81" s="2010"/>
    </row>
    <row r="82" spans="1:26" ht="13.5" thickTop="1">
      <c r="A82" s="374" t="s">
        <v>1818</v>
      </c>
      <c r="B82" s="375" t="s">
        <v>432</v>
      </c>
      <c r="C82" s="376">
        <f ca="1">D63</f>
        <v>116845</v>
      </c>
      <c r="D82" s="377" t="s">
        <v>19</v>
      </c>
      <c r="E82" s="378"/>
      <c r="F82" s="42"/>
      <c r="G82" s="42"/>
      <c r="H82" s="1001"/>
      <c r="I82" s="310"/>
      <c r="J82" s="2010"/>
      <c r="K82" s="2010"/>
      <c r="L82" s="2010"/>
      <c r="M82" s="2010"/>
      <c r="N82" s="2010"/>
      <c r="O82" s="2010"/>
      <c r="P82" s="2010"/>
      <c r="Q82" s="2010"/>
      <c r="R82" s="2010"/>
      <c r="S82" s="2010"/>
      <c r="T82" s="2010"/>
      <c r="U82" s="2010"/>
      <c r="V82" s="2010"/>
    </row>
    <row r="83" spans="1:26" ht="12.75">
      <c r="A83" s="374" t="s">
        <v>1819</v>
      </c>
      <c r="B83" s="375" t="s">
        <v>433</v>
      </c>
      <c r="C83" s="379">
        <v>0</v>
      </c>
      <c r="D83" s="377"/>
      <c r="E83" s="378"/>
      <c r="F83" s="42"/>
      <c r="G83" s="42"/>
      <c r="H83" s="1001"/>
      <c r="I83" s="310"/>
      <c r="J83" s="2010"/>
      <c r="K83" s="3323" t="s">
        <v>2864</v>
      </c>
      <c r="L83" s="2891" t="s">
        <v>2865</v>
      </c>
      <c r="M83" s="2881">
        <f ca="1">IF(N69&gt;10000,N69*0.5%,IF(AND(N69&gt;1000,N69&lt;=10000),N69*1%,IF(AND(N69&gt;100,N69&lt;=1000),N69*3%,IF(AND(N69&gt;10,N69&lt;=100),N69*5%,N69*8%))))</f>
        <v>973.71</v>
      </c>
      <c r="N83" s="53">
        <f ca="1">ROUND(M83,1)</f>
        <v>973.7</v>
      </c>
      <c r="O83" s="2884"/>
      <c r="P83" s="2010"/>
      <c r="Q83" s="2010"/>
      <c r="R83" s="2010"/>
      <c r="S83" s="2010"/>
      <c r="T83" s="2010"/>
      <c r="U83" s="2010"/>
      <c r="V83" s="2010"/>
    </row>
    <row r="84" spans="1:26" ht="12.75">
      <c r="A84" s="380" t="s">
        <v>1820</v>
      </c>
      <c r="B84" s="381" t="s">
        <v>434</v>
      </c>
      <c r="C84" s="382">
        <v>2000</v>
      </c>
      <c r="D84" s="383" t="s">
        <v>19</v>
      </c>
      <c r="E84" s="2926" t="s">
        <v>2930</v>
      </c>
      <c r="F84" s="42"/>
      <c r="G84" s="42"/>
      <c r="H84" s="1001"/>
      <c r="I84" s="310"/>
      <c r="J84" s="2010"/>
      <c r="K84" s="3323"/>
      <c r="L84" s="2891" t="s">
        <v>2866</v>
      </c>
      <c r="M84" s="2881">
        <f ca="1">IF(N69&gt;2000,N69*0.5%,IF(AND(N69&gt;1000,N69&lt;=2000),N69*0.6%,IF(AND(N69&gt;500,N69&lt;=1000),N69*0.7%,IF(AND(N69&gt;200,N69&lt;=500),N69*0.8%,IF(AND(N69&gt;100,N69&lt;=200),N69*0.9%,IF(AND(N69&gt;50,N69&lt;=100),N69*1%,IF(AND(N69&gt;20,N69&lt;=50),N69*1.5%,IF(AND(N69&gt;10,N69&lt;=20),N69*2%,IF(AND(N69&gt;1,N69&lt;=10),N69*2.5%)))))))))</f>
        <v>973.71</v>
      </c>
      <c r="N84" s="53">
        <f t="shared" ref="N84:N85" ca="1" si="2">ROUND(M84,1)</f>
        <v>973.7</v>
      </c>
      <c r="O84" s="2010" t="s">
        <v>2867</v>
      </c>
      <c r="P84" s="2010"/>
      <c r="Q84" s="2010"/>
      <c r="R84" s="2010"/>
      <c r="S84" s="2010"/>
      <c r="T84" s="2010"/>
      <c r="U84" s="2010"/>
      <c r="V84" s="2010"/>
    </row>
    <row r="85" spans="1:26" ht="12.75">
      <c r="A85" s="380" t="s">
        <v>1821</v>
      </c>
      <c r="B85" s="381" t="s">
        <v>435</v>
      </c>
      <c r="C85" s="384">
        <f ca="1">C81-C84</f>
        <v>109281</v>
      </c>
      <c r="D85" s="377" t="s">
        <v>19</v>
      </c>
      <c r="E85" s="378"/>
      <c r="F85" s="42"/>
      <c r="G85" s="42"/>
      <c r="H85" s="1001"/>
      <c r="I85" s="310"/>
      <c r="J85" s="2010"/>
      <c r="K85" s="3323"/>
      <c r="L85" s="2891" t="s">
        <v>2868</v>
      </c>
      <c r="M85" s="2881">
        <f ca="1">IF(N69&gt;1000,N69*0.1%,IF(AND(N69&gt;500,N69&lt;=1000),N69*0.5%,IF(AND(N69&gt;50,N69&lt;=500),N69*1%,IF(AND(N69&gt;1,N69&lt;=50),N69*1.5%))))</f>
        <v>194.74199999999999</v>
      </c>
      <c r="N85" s="53">
        <f t="shared" ca="1" si="2"/>
        <v>194.7</v>
      </c>
      <c r="O85" s="2010" t="s">
        <v>2867</v>
      </c>
      <c r="P85" s="2010"/>
      <c r="Q85" s="2010"/>
      <c r="R85" s="2010"/>
      <c r="S85" s="2010"/>
      <c r="T85" s="2010"/>
      <c r="U85" s="2010"/>
      <c r="V85" s="2010"/>
    </row>
    <row r="86" spans="1:26" ht="13.5" thickBot="1">
      <c r="A86" s="385" t="s">
        <v>1822</v>
      </c>
      <c r="B86" s="386" t="s">
        <v>436</v>
      </c>
      <c r="C86" s="387">
        <f ca="1">IF(C85&lt;=0,0,ROUND(C85*D86,0))</f>
        <v>6120</v>
      </c>
      <c r="D86" s="388">
        <f>'数据-取费表'!B41</f>
        <v>5.6000000000000001E-2</v>
      </c>
      <c r="E86" s="389"/>
      <c r="F86" s="42"/>
      <c r="G86" s="42"/>
      <c r="H86" s="1001"/>
      <c r="I86" s="310"/>
      <c r="J86" s="2010"/>
      <c r="K86" s="3323"/>
      <c r="L86" s="2891" t="s">
        <v>2869</v>
      </c>
      <c r="M86" s="2881">
        <f ca="1">N69*0.5%</f>
        <v>973.71</v>
      </c>
      <c r="N86" s="53">
        <f ca="1">IF(M86&gt;0.5,0.5,ROUND(M86,0))</f>
        <v>0.5</v>
      </c>
      <c r="O86" s="2010" t="s">
        <v>2870</v>
      </c>
      <c r="P86" s="2010"/>
      <c r="Q86" s="2010"/>
      <c r="R86" s="2010"/>
      <c r="S86" s="2010"/>
      <c r="T86" s="2010"/>
      <c r="U86" s="2010"/>
      <c r="V86" s="2010"/>
    </row>
    <row r="87" spans="1:26" s="1248" customFormat="1" ht="14.25" customHeight="1">
      <c r="A87" s="1303"/>
      <c r="B87" s="1304"/>
      <c r="C87" s="1305"/>
      <c r="D87" s="1306"/>
      <c r="E87" s="1307"/>
      <c r="F87" s="42"/>
      <c r="G87" s="42"/>
      <c r="H87" s="1001"/>
      <c r="I87" s="310"/>
      <c r="J87" s="2010"/>
      <c r="K87" s="3323"/>
      <c r="L87" s="2891" t="s">
        <v>2871</v>
      </c>
      <c r="M87" s="2881">
        <f ca="1">IF(N69&gt;=10000,(8.25+(N69-10000)*0.01%),IF(AND(N69&gt;=8000,N69&lt;10000),(7.85+(N69-8000)*0.02%),IF(AND(N69&gt;=5000,N69&lt;8000),(6.65+(N69-5000)*0.04%),IF(AND(N69&gt;=2000,N69&lt;5000),(4.25+(PN69-2000)*0.08%),IF(AND(N69&gt;=1000,N69&lt;2000),(2.75+(N69-1000)*0.15%),IF(AND(N69&gt;=100,N69&lt;1000),(0.5+(N69-100)*0.25%),IF(AND(N69&gt;0,N69&lt;100),N69*0.5%)))))))</f>
        <v>26.7242</v>
      </c>
      <c r="N87" s="53">
        <f ca="1">ROUND(M87*0.9,1)</f>
        <v>24.1</v>
      </c>
      <c r="O87" s="2884"/>
      <c r="P87" s="310"/>
      <c r="Q87" s="2010"/>
      <c r="R87" s="2010"/>
      <c r="S87" s="2010"/>
      <c r="T87" s="2010"/>
      <c r="U87" s="2010"/>
      <c r="V87" s="2010"/>
      <c r="W87" s="291"/>
      <c r="X87" s="291"/>
      <c r="Y87" s="291"/>
      <c r="Z87" s="291"/>
    </row>
    <row r="88" spans="1:26" s="1308" customFormat="1" ht="15" thickBot="1">
      <c r="A88" s="3362" t="s">
        <v>437</v>
      </c>
      <c r="B88" s="3363"/>
      <c r="C88" s="3363"/>
      <c r="D88" s="3363"/>
      <c r="E88" s="3363"/>
      <c r="F88" s="3363"/>
      <c r="G88" s="3363"/>
      <c r="H88" s="3363"/>
      <c r="I88" s="1309"/>
      <c r="J88" s="2018"/>
      <c r="K88" s="3323"/>
      <c r="L88" s="2891" t="s">
        <v>2872</v>
      </c>
      <c r="M88" s="2881">
        <f ca="1">IF(N69&gt;10000,N69*0.5%,IF(AND(N69&gt;5000,N69&lt;=10000),N69*1%,IF(AND(N69&gt;1000,N69&lt;=5000),N69*2%,IF(AND(N69&gt;200,N69&lt;=1000),N69*3%,N69*5%))))</f>
        <v>973.71</v>
      </c>
      <c r="N88" s="53">
        <f ca="1">ROUND(M88,1)</f>
        <v>973.7</v>
      </c>
      <c r="O88" s="2884"/>
      <c r="P88" s="11"/>
      <c r="Q88" s="2015"/>
      <c r="R88" s="2015"/>
      <c r="S88" s="2015"/>
      <c r="T88" s="2015"/>
      <c r="U88" s="2015"/>
      <c r="V88" s="2015"/>
      <c r="W88" s="2019"/>
      <c r="X88" s="2019"/>
      <c r="Y88" s="2019"/>
      <c r="Z88" s="2019"/>
    </row>
    <row r="89" spans="1:26" s="1308" customFormat="1" ht="14.25">
      <c r="A89" s="3321" t="s">
        <v>428</v>
      </c>
      <c r="B89" s="3322"/>
      <c r="C89" s="992"/>
      <c r="D89" s="992" t="s">
        <v>429</v>
      </c>
      <c r="E89" s="390" t="s">
        <v>438</v>
      </c>
      <c r="F89" s="391"/>
      <c r="G89" s="391"/>
      <c r="H89" s="392"/>
      <c r="I89" s="1310"/>
      <c r="J89" s="2020"/>
      <c r="K89" s="3323"/>
      <c r="L89" s="2891" t="s">
        <v>27</v>
      </c>
      <c r="M89" s="2882"/>
      <c r="N89" s="53">
        <f ca="1">ROUND(SUM(N83:N88),0)</f>
        <v>3140</v>
      </c>
      <c r="O89" s="2892">
        <f ca="1">N89/N69</f>
        <v>1.6123897258937467E-2</v>
      </c>
      <c r="P89" s="2015"/>
      <c r="Q89" s="2015"/>
      <c r="R89" s="2015"/>
      <c r="S89" s="2015"/>
      <c r="T89" s="2015"/>
      <c r="U89" s="2015"/>
      <c r="V89" s="2015"/>
      <c r="W89" s="2019"/>
      <c r="X89" s="2019"/>
      <c r="Y89" s="2019"/>
      <c r="Z89" s="2019"/>
    </row>
    <row r="90" spans="1:26" s="1308" customFormat="1" ht="14.25">
      <c r="A90" s="380" t="s">
        <v>1817</v>
      </c>
      <c r="B90" s="381" t="s">
        <v>439</v>
      </c>
      <c r="C90" s="384">
        <f ca="1">ROUND(D63/(1+'数据-取费表'!C42),0)</f>
        <v>111281</v>
      </c>
      <c r="D90" s="377" t="s">
        <v>19</v>
      </c>
      <c r="E90" s="989"/>
      <c r="F90" s="988"/>
      <c r="G90" s="988"/>
      <c r="H90" s="393"/>
      <c r="I90" s="1310"/>
      <c r="J90" s="2020"/>
      <c r="K90" s="2015"/>
      <c r="L90" s="2015"/>
      <c r="M90" s="2015"/>
      <c r="N90" s="2015"/>
      <c r="O90" s="2015"/>
      <c r="P90" s="2015"/>
      <c r="Q90" s="2015"/>
      <c r="R90" s="2015"/>
      <c r="S90" s="2015"/>
      <c r="T90" s="2015"/>
      <c r="U90" s="2015"/>
      <c r="V90" s="2015"/>
      <c r="W90" s="2019"/>
      <c r="X90" s="2019"/>
      <c r="Y90" s="2019"/>
      <c r="Z90" s="2019"/>
    </row>
    <row r="91" spans="1:26" s="1308" customFormat="1" ht="14.25">
      <c r="A91" s="380" t="s">
        <v>1823</v>
      </c>
      <c r="B91" s="347" t="s">
        <v>440</v>
      </c>
      <c r="C91" s="384">
        <f ca="1">C92+C96</f>
        <v>3229</v>
      </c>
      <c r="D91" s="377" t="s">
        <v>19</v>
      </c>
      <c r="E91" s="989"/>
      <c r="F91" s="988"/>
      <c r="G91" s="988"/>
      <c r="H91" s="393"/>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4" t="s">
        <v>1824</v>
      </c>
      <c r="B92" s="375" t="s">
        <v>441</v>
      </c>
      <c r="C92" s="377">
        <f>ROUND(IF(G95="2016年5月1日后购买",C93/(1+'数据-取费表'!C30)+C94+C95,C93+C94+C95),0)</f>
        <v>2561</v>
      </c>
      <c r="D92" s="377" t="s">
        <v>19</v>
      </c>
      <c r="E92" s="989"/>
      <c r="F92" s="988"/>
      <c r="G92" s="988"/>
      <c r="H92" s="393"/>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25">
      <c r="A93" s="394" t="s">
        <v>1825</v>
      </c>
      <c r="B93" s="375" t="s">
        <v>442</v>
      </c>
      <c r="C93" s="395">
        <v>2000</v>
      </c>
      <c r="D93" s="377" t="s">
        <v>19</v>
      </c>
      <c r="E93" s="396" t="s">
        <v>443</v>
      </c>
      <c r="F93" s="397" t="s">
        <v>444</v>
      </c>
      <c r="G93" s="396" t="s">
        <v>445</v>
      </c>
      <c r="H93" s="398">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4" t="s">
        <v>1826</v>
      </c>
      <c r="B94" s="399" t="s">
        <v>446</v>
      </c>
      <c r="C94" s="377">
        <f>IF(F93="购房发票",ROUND(C93*H93*5%,0),0)</f>
        <v>500</v>
      </c>
      <c r="D94" s="400">
        <v>0.05</v>
      </c>
      <c r="E94" s="3359" t="s">
        <v>447</v>
      </c>
      <c r="F94" s="3360"/>
      <c r="G94" s="3360"/>
      <c r="H94" s="3361"/>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4" t="s">
        <v>1827</v>
      </c>
      <c r="B95" s="375" t="s">
        <v>448</v>
      </c>
      <c r="C95" s="377">
        <f>ROUND(IF(G95="个人买卖住房",0,IF(G95="2016年5月1日前购买",C93*D95,C93*D95/(1+'数据-取费表'!C42))),0)</f>
        <v>61</v>
      </c>
      <c r="D95" s="401">
        <f>'数据-取费表'!B48+'数据-取费表'!B49</f>
        <v>3.0499999999999999E-2</v>
      </c>
      <c r="E95" s="26" t="s">
        <v>449</v>
      </c>
      <c r="F95" s="402"/>
      <c r="G95" s="403" t="s">
        <v>2420</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4" t="s">
        <v>1828</v>
      </c>
      <c r="B96" s="375" t="s">
        <v>450</v>
      </c>
      <c r="C96" s="404">
        <f ca="1">ROUND(D63*D96/(1+'数据-取费表'!C42),0)</f>
        <v>668</v>
      </c>
      <c r="D96" s="405">
        <f>'数据-取费表'!B43</f>
        <v>6.000000000000001E-3</v>
      </c>
      <c r="E96" s="3318" t="s">
        <v>2419</v>
      </c>
      <c r="F96" s="3319"/>
      <c r="G96" s="3319"/>
      <c r="H96" s="3320"/>
      <c r="I96" s="1311"/>
      <c r="J96" s="2021"/>
      <c r="K96" s="2015"/>
      <c r="L96" s="2015"/>
      <c r="M96" s="2015"/>
      <c r="N96" s="2015"/>
      <c r="O96" s="2015"/>
      <c r="P96" s="2015"/>
      <c r="Q96" s="2015"/>
      <c r="R96" s="2015"/>
      <c r="S96" s="2015"/>
      <c r="T96" s="2015"/>
      <c r="U96" s="2015"/>
      <c r="V96" s="2015"/>
      <c r="W96" s="2019"/>
      <c r="X96" s="2019"/>
      <c r="Y96" s="2019"/>
      <c r="Z96" s="2019"/>
    </row>
    <row r="97" spans="1:26" s="1308" customFormat="1" ht="14.25">
      <c r="A97" s="1599" t="s">
        <v>1829</v>
      </c>
      <c r="B97" s="381" t="s">
        <v>451</v>
      </c>
      <c r="C97" s="384">
        <f ca="1">C90-C91</f>
        <v>108052</v>
      </c>
      <c r="D97" s="377" t="s">
        <v>19</v>
      </c>
      <c r="E97" s="989"/>
      <c r="F97" s="988"/>
      <c r="G97" s="988"/>
      <c r="H97" s="393"/>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1830</v>
      </c>
      <c r="B98" s="381" t="s">
        <v>452</v>
      </c>
      <c r="C98" s="406">
        <f ca="1">IF(C97&lt;=0,0,C97/C91)</f>
        <v>33.462991638278105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75" thickBot="1">
      <c r="A99" s="1600" t="s">
        <v>1831</v>
      </c>
      <c r="B99" s="386" t="s">
        <v>453</v>
      </c>
      <c r="C99" s="407">
        <f ca="1">ROUND(IF(C97&lt;=0,0,IF(C98&gt;=200%,C97*60%-C91*35%,IF(C98&gt;=100%,C97*50%-C91*15%,IF(C98&gt;=50%,C97*40%-C91*5%,IF(C98&lt;50%,C97*30%,0))))),0)</f>
        <v>63701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5" thickBot="1">
      <c r="A101" s="3362" t="s">
        <v>454</v>
      </c>
      <c r="B101" s="3363"/>
      <c r="C101" s="3363"/>
      <c r="D101" s="3363"/>
      <c r="E101" s="3363"/>
      <c r="F101" s="3363"/>
      <c r="G101" s="3363"/>
      <c r="H101" s="3363"/>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4.25">
      <c r="A102" s="3321" t="s">
        <v>428</v>
      </c>
      <c r="B102" s="3322"/>
      <c r="C102" s="992"/>
      <c r="D102" s="992"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4.25">
      <c r="A103" s="380" t="s">
        <v>1817</v>
      </c>
      <c r="B103" s="381" t="s">
        <v>439</v>
      </c>
      <c r="C103" s="384">
        <f ca="1">ROUND(D63/(1+'数据-取费表'!C42),0)</f>
        <v>111281</v>
      </c>
      <c r="D103" s="377" t="s">
        <v>19</v>
      </c>
      <c r="E103" s="989"/>
      <c r="F103" s="988"/>
      <c r="G103" s="988"/>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4.25">
      <c r="A104" s="380" t="s">
        <v>1823</v>
      </c>
      <c r="B104" s="347" t="s">
        <v>440</v>
      </c>
      <c r="C104" s="384">
        <f ca="1">IF(H106="仅含出让金",C105+C108+C109+C110+C111+C112,C105+C109+C110+C111+C112)</f>
        <v>1297</v>
      </c>
      <c r="D104" s="414"/>
      <c r="E104" s="989"/>
      <c r="F104" s="988"/>
      <c r="G104" s="988"/>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4.25">
      <c r="A105" s="394" t="s">
        <v>1824</v>
      </c>
      <c r="B105" s="375" t="s">
        <v>455</v>
      </c>
      <c r="C105" s="404">
        <f>C106+C107</f>
        <v>572</v>
      </c>
      <c r="D105" s="405"/>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14.25">
      <c r="A106" s="394" t="s">
        <v>1825</v>
      </c>
      <c r="B106" s="375" t="s">
        <v>456</v>
      </c>
      <c r="C106" s="415">
        <v>555</v>
      </c>
      <c r="D106" s="405"/>
      <c r="E106" s="416" t="s">
        <v>457</v>
      </c>
      <c r="F106" s="984"/>
      <c r="G106" s="417" t="s">
        <v>458</v>
      </c>
      <c r="H106" s="418" t="s">
        <v>2430</v>
      </c>
      <c r="I106" s="11" t="s">
        <v>2988</v>
      </c>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4.25">
      <c r="A107" s="394" t="s">
        <v>1826</v>
      </c>
      <c r="B107" s="375" t="s">
        <v>448</v>
      </c>
      <c r="C107" s="404">
        <f>ROUND(C106*D107,0)</f>
        <v>17</v>
      </c>
      <c r="D107" s="405">
        <f>'数据-取费表'!B48+'数据-取费表'!B49</f>
        <v>3.0499999999999999E-2</v>
      </c>
      <c r="E107" s="416" t="s">
        <v>459</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4.25">
      <c r="A108" s="394" t="s">
        <v>1828</v>
      </c>
      <c r="B108" s="375" t="s">
        <v>460</v>
      </c>
      <c r="C108" s="415"/>
      <c r="D108" s="405"/>
      <c r="E108" s="416" t="str">
        <f>IF(H106="-","土地取得成本中已包含该笔费用"," ")</f>
        <v xml:space="preserve"> </v>
      </c>
      <c r="F108" s="984"/>
      <c r="G108" s="3371" t="s">
        <v>2990</v>
      </c>
      <c r="H108" s="3372"/>
      <c r="I108" s="3037" t="s">
        <v>2989</v>
      </c>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1832</v>
      </c>
      <c r="B109" s="375" t="s">
        <v>461</v>
      </c>
      <c r="C109" s="404">
        <f>IF(H109="——",IF(F1="现房",'剩余法-现房'!C18,0),I109)</f>
        <v>0</v>
      </c>
      <c r="D109" s="405"/>
      <c r="E109" s="3352" t="s">
        <v>462</v>
      </c>
      <c r="F109" s="3319"/>
      <c r="G109" s="3319"/>
      <c r="H109" s="1923" t="s">
        <v>949</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1833</v>
      </c>
      <c r="B110" s="375" t="s">
        <v>463</v>
      </c>
      <c r="C110" s="404">
        <f>ROUND((C105+C108+C109)*D110,0)</f>
        <v>57</v>
      </c>
      <c r="D110" s="405">
        <v>0.1</v>
      </c>
      <c r="E110" s="3352" t="s">
        <v>464</v>
      </c>
      <c r="F110" s="3319"/>
      <c r="G110" s="3319"/>
      <c r="H110" s="3320"/>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1834</v>
      </c>
      <c r="B111" s="375" t="s">
        <v>450</v>
      </c>
      <c r="C111" s="404">
        <f ca="1">ROUND(D63*D111/(1+'数据-取费表'!C42),0)</f>
        <v>668</v>
      </c>
      <c r="D111" s="405">
        <f>'数据-取费表'!B43</f>
        <v>6.000000000000001E-3</v>
      </c>
      <c r="E111" s="3318" t="s">
        <v>2419</v>
      </c>
      <c r="F111" s="3319"/>
      <c r="G111" s="3319"/>
      <c r="H111" s="3320"/>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1835</v>
      </c>
      <c r="B112" s="375" t="s">
        <v>465</v>
      </c>
      <c r="C112" s="404">
        <f>ROUND(C108*D112,0)</f>
        <v>0</v>
      </c>
      <c r="D112" s="405">
        <v>0.2</v>
      </c>
      <c r="E112" s="3352" t="s">
        <v>2444</v>
      </c>
      <c r="F112" s="3319"/>
      <c r="G112" s="3319"/>
      <c r="H112" s="3320"/>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4.25">
      <c r="A113" s="1599" t="s">
        <v>1829</v>
      </c>
      <c r="B113" s="381" t="s">
        <v>451</v>
      </c>
      <c r="C113" s="384">
        <f ca="1">ROUND(C103-C104,0)</f>
        <v>109984</v>
      </c>
      <c r="D113" s="377" t="s">
        <v>19</v>
      </c>
      <c r="E113" s="989"/>
      <c r="F113" s="988"/>
      <c r="G113" s="988"/>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1830</v>
      </c>
      <c r="B114" s="381" t="s">
        <v>452</v>
      </c>
      <c r="C114" s="406">
        <f ca="1">IF(C113&lt;=0,0,C113/C104)</f>
        <v>84.798766383962985</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75" thickBot="1">
      <c r="A115" s="1600" t="s">
        <v>1831</v>
      </c>
      <c r="B115" s="386" t="s">
        <v>453</v>
      </c>
      <c r="C115" s="407">
        <f ca="1">ROUND(IF(C113&lt;=0,0,IF(C114&gt;=200%,C113*60%-C104*35%,IF(C114&gt;=100%,C113*50%-C104*15%,IF(C114&gt;=50%,C113*40%-C104*5%,IF(C114&lt;50%,C113*30%,0))))),0)</f>
        <v>65536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topLeftCell="A34" zoomScale="80" zoomScaleNormal="95" zoomScaleSheetLayoutView="80" workbookViewId="0">
      <selection activeCell="C43" sqref="C43"/>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2" t="s">
        <v>467</v>
      </c>
      <c r="B2" s="507">
        <f>F68</f>
        <v>181492</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1678</v>
      </c>
      <c r="B3" s="509">
        <f>ROUND(B2*10000/'数据-汇总表'!E3,0)</f>
        <v>3844</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30" s="1330" customFormat="1" ht="28.5" customHeight="1">
      <c r="A4" s="510" t="s">
        <v>520</v>
      </c>
      <c r="B4" s="426">
        <f>IF(B48="单位面积地价",C50,ROUND(B2*10000/'数据-汇总表'!D3,0))</f>
        <v>10243</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30" s="1330" customFormat="1" ht="28.5" customHeight="1" thickBot="1">
      <c r="A5" s="428"/>
      <c r="B5" s="429">
        <f>ROUND(B2/('数据-汇总表'!D3/666.67),0)</f>
        <v>683</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7"/>
    </row>
    <row r="6" spans="1:30" ht="20.25">
      <c r="A6" s="511" t="s">
        <v>521</v>
      </c>
      <c r="B6" s="512"/>
      <c r="C6" s="3410" t="s">
        <v>522</v>
      </c>
      <c r="D6" s="3411"/>
      <c r="E6" s="3410" t="s">
        <v>523</v>
      </c>
      <c r="F6" s="3411"/>
      <c r="G6" s="3410" t="s">
        <v>524</v>
      </c>
      <c r="H6" s="3411"/>
      <c r="I6" s="3410" t="s">
        <v>525</v>
      </c>
      <c r="J6" s="3411"/>
      <c r="K6" s="513" t="s">
        <v>526</v>
      </c>
      <c r="L6" s="2115"/>
      <c r="M6" s="2114"/>
      <c r="N6" s="2114"/>
      <c r="O6" s="2116"/>
      <c r="P6" s="3412" t="s">
        <v>527</v>
      </c>
      <c r="Q6" s="3413"/>
      <c r="R6" s="3398" t="s">
        <v>523</v>
      </c>
      <c r="S6" s="3399"/>
      <c r="T6" s="3398" t="s">
        <v>524</v>
      </c>
      <c r="U6" s="3399"/>
      <c r="V6" s="3418" t="s">
        <v>525</v>
      </c>
      <c r="W6" s="3418"/>
      <c r="X6" s="1550"/>
      <c r="Y6" s="3398" t="s">
        <v>527</v>
      </c>
      <c r="Z6" s="3399"/>
      <c r="AA6" s="3393" t="s">
        <v>523</v>
      </c>
      <c r="AB6" s="3394" t="s">
        <v>524</v>
      </c>
      <c r="AC6" s="3393" t="s">
        <v>525</v>
      </c>
    </row>
    <row r="7" spans="1:30" ht="20.25">
      <c r="A7" s="514"/>
      <c r="B7" s="515"/>
      <c r="C7" s="3421" t="s">
        <v>2919</v>
      </c>
      <c r="D7" s="3422"/>
      <c r="E7" s="3421" t="str">
        <f>最新土地案例!A9</f>
        <v>武进区嘉泽镇庙桥河东侧、茶泽街北侧</v>
      </c>
      <c r="F7" s="3422"/>
      <c r="G7" s="3421" t="str">
        <f>最新土地案例!$A$13</f>
        <v>武进高新区阳湖西路南侧,龙江南路东侧</v>
      </c>
      <c r="H7" s="3422"/>
      <c r="I7" s="3421" t="str">
        <f>最新土地案例!$A$26</f>
        <v>武进区西太湖凤苑南路东侧,稻香路南侧</v>
      </c>
      <c r="J7" s="3422"/>
      <c r="K7" s="513"/>
      <c r="L7" s="2115"/>
      <c r="M7" s="2114"/>
      <c r="N7" s="2114"/>
      <c r="O7" s="2116"/>
      <c r="P7" s="3414"/>
      <c r="Q7" s="3415"/>
      <c r="R7" s="3400"/>
      <c r="S7" s="3401"/>
      <c r="T7" s="3400"/>
      <c r="U7" s="3401"/>
      <c r="V7" s="3418"/>
      <c r="W7" s="3418"/>
      <c r="X7" s="1550"/>
      <c r="Y7" s="3400"/>
      <c r="Z7" s="3401"/>
      <c r="AA7" s="3394"/>
      <c r="AB7" s="3394"/>
      <c r="AC7" s="3394"/>
    </row>
    <row r="8" spans="1:30" ht="21" thickBot="1">
      <c r="A8" s="514"/>
      <c r="B8" s="515"/>
      <c r="C8" s="3423" t="s">
        <v>2923</v>
      </c>
      <c r="D8" s="3424"/>
      <c r="E8" s="3423" t="s">
        <v>2923</v>
      </c>
      <c r="F8" s="3424"/>
      <c r="G8" s="3419" t="s">
        <v>2923</v>
      </c>
      <c r="H8" s="3420"/>
      <c r="I8" s="3419" t="s">
        <v>2923</v>
      </c>
      <c r="J8" s="3420"/>
      <c r="K8" s="513" t="s">
        <v>528</v>
      </c>
      <c r="L8" s="2115"/>
      <c r="M8" s="2114"/>
      <c r="N8" s="2114"/>
      <c r="O8" s="2116"/>
      <c r="P8" s="3416"/>
      <c r="Q8" s="3417"/>
      <c r="R8" s="3400"/>
      <c r="S8" s="3401"/>
      <c r="T8" s="3402"/>
      <c r="U8" s="3403"/>
      <c r="V8" s="3418"/>
      <c r="W8" s="3418"/>
      <c r="X8" s="1550"/>
      <c r="Y8" s="3402"/>
      <c r="Z8" s="3403"/>
      <c r="AA8" s="3395"/>
      <c r="AB8" s="3395"/>
      <c r="AC8" s="3395"/>
    </row>
    <row r="9" spans="1:30" s="1214" customFormat="1" ht="21" thickBot="1">
      <c r="A9" s="2748"/>
      <c r="B9" s="2755" t="s">
        <v>529</v>
      </c>
      <c r="C9" s="2747">
        <f>'数据-取费表'!B2</f>
        <v>44050</v>
      </c>
      <c r="D9" s="519">
        <v>100</v>
      </c>
      <c r="E9" s="520" t="str">
        <f>最新土地案例!J9</f>
        <v>2020-06-17</v>
      </c>
      <c r="F9" s="521">
        <f>SUMIF(72:72,YEAR(E9)&amp;"-"&amp;INT((MONTH(E9)+2)/3),73:73)</f>
        <v>99.5</v>
      </c>
      <c r="G9" s="522" t="str">
        <f>最新土地案例!$J$13</f>
        <v>2020-03-13</v>
      </c>
      <c r="H9" s="519">
        <f>SUMIF(72:72,YEAR(G9)&amp;"-"&amp;INT((MONTH(G9)+2)/3),73:73)</f>
        <v>99</v>
      </c>
      <c r="I9" s="522" t="str">
        <f>最新土地案例!$J$26</f>
        <v>2019-05-31</v>
      </c>
      <c r="J9" s="519">
        <f>SUMIF(72:72,YEAR(I9)&amp;"-"&amp;INT((MONTH(I9)+2)/3),73:73)</f>
        <v>97.5</v>
      </c>
      <c r="K9" s="523"/>
      <c r="L9" s="2117"/>
      <c r="M9" s="2114"/>
      <c r="N9" s="2114"/>
      <c r="O9" s="2118"/>
      <c r="P9" s="3396" t="s">
        <v>530</v>
      </c>
      <c r="Q9" s="3405"/>
      <c r="R9" s="1551" t="s">
        <v>8</v>
      </c>
      <c r="S9" s="1552">
        <f t="shared" ref="S9:S17" si="0">F9</f>
        <v>99.5</v>
      </c>
      <c r="T9" s="1551" t="s">
        <v>8</v>
      </c>
      <c r="U9" s="1552">
        <f t="shared" ref="U9:U17" si="1">H9</f>
        <v>99</v>
      </c>
      <c r="V9" s="1551" t="s">
        <v>8</v>
      </c>
      <c r="W9" s="1552">
        <f t="shared" ref="W9:W17" si="2">J9</f>
        <v>97.5</v>
      </c>
      <c r="X9" s="1553"/>
      <c r="Y9" s="3396" t="s">
        <v>530</v>
      </c>
      <c r="Z9" s="3397"/>
      <c r="AA9" s="1554">
        <f>D9/F9</f>
        <v>1.0050251256281406</v>
      </c>
      <c r="AB9" s="1554">
        <f>D9/H9</f>
        <v>1.0101010101010102</v>
      </c>
      <c r="AC9" s="1554">
        <f>D9/J9</f>
        <v>1.0256410256410255</v>
      </c>
    </row>
    <row r="10" spans="1:30" s="1214" customFormat="1" ht="21" thickBot="1">
      <c r="A10" s="2749"/>
      <c r="B10" s="2756" t="s">
        <v>531</v>
      </c>
      <c r="C10" s="855" t="s">
        <v>532</v>
      </c>
      <c r="D10" s="519">
        <v>100</v>
      </c>
      <c r="E10" s="524" t="s">
        <v>3034</v>
      </c>
      <c r="F10" s="521">
        <f>SUMIF(75:75,E10,76:76)-SUMIF(75:75,C10,76:76)+100</f>
        <v>100</v>
      </c>
      <c r="G10" s="524" t="s">
        <v>3034</v>
      </c>
      <c r="H10" s="519">
        <f>SUMIF(75:75,G10,76:76)-SUMIF(75:75,C10,76:76)+100</f>
        <v>100</v>
      </c>
      <c r="I10" s="524" t="s">
        <v>3034</v>
      </c>
      <c r="J10" s="519">
        <f>SUMIF(75:75,I10,76:76)-SUMIF(75:75,C10,76:76)+100</f>
        <v>100</v>
      </c>
      <c r="K10" s="523"/>
      <c r="L10" s="2117"/>
      <c r="M10" s="2114"/>
      <c r="N10" s="2114"/>
      <c r="O10" s="2118"/>
      <c r="P10" s="3396" t="s">
        <v>533</v>
      </c>
      <c r="Q10" s="3397"/>
      <c r="R10" s="1551" t="s">
        <v>8</v>
      </c>
      <c r="S10" s="1552">
        <f t="shared" si="0"/>
        <v>100</v>
      </c>
      <c r="T10" s="1551" t="s">
        <v>8</v>
      </c>
      <c r="U10" s="1552">
        <f t="shared" si="1"/>
        <v>100</v>
      </c>
      <c r="V10" s="1551" t="s">
        <v>8</v>
      </c>
      <c r="W10" s="1552">
        <f t="shared" si="2"/>
        <v>100</v>
      </c>
      <c r="X10" s="1553"/>
      <c r="Y10" s="3396" t="s">
        <v>533</v>
      </c>
      <c r="Z10" s="3397"/>
      <c r="AA10" s="1554">
        <f t="shared" ref="AA10:AA47" si="3">D10/F10</f>
        <v>1</v>
      </c>
      <c r="AB10" s="1554">
        <f t="shared" ref="AB10:AB47" si="4">D10/H10</f>
        <v>1</v>
      </c>
      <c r="AC10" s="1554">
        <f t="shared" ref="AC10:AC47" si="5">D10/J10</f>
        <v>1</v>
      </c>
    </row>
    <row r="11" spans="1:30" s="1214" customFormat="1" ht="20.25">
      <c r="A11" s="2750"/>
      <c r="B11" s="2757" t="s">
        <v>2746</v>
      </c>
      <c r="C11" s="2744" t="s">
        <v>3035</v>
      </c>
      <c r="D11" s="253">
        <v>100</v>
      </c>
      <c r="E11" s="525" t="s">
        <v>920</v>
      </c>
      <c r="F11" s="253">
        <f>SUMIF(77:77,E11,78:78)-SUMIF(77:77,C11,78:78)+100</f>
        <v>102</v>
      </c>
      <c r="G11" s="525" t="s">
        <v>3035</v>
      </c>
      <c r="H11" s="253">
        <f>SUMIF(77:77,G11,78:78)-SUMIF(77:77,C11,78:78)+100</f>
        <v>100</v>
      </c>
      <c r="I11" s="525" t="s">
        <v>3035</v>
      </c>
      <c r="J11" s="253">
        <f>SUMIF(77:77,I11,78:78)-SUMIF(77:77,C11,78:78)+100</f>
        <v>100</v>
      </c>
      <c r="K11" s="523"/>
      <c r="L11" s="2117"/>
      <c r="M11" s="2114"/>
      <c r="N11" s="2114"/>
      <c r="O11" s="2119"/>
      <c r="P11" s="3404" t="s">
        <v>535</v>
      </c>
      <c r="Q11" s="1145" t="str">
        <f t="shared" ref="Q11:Q17" si="6">B11</f>
        <v>用途</v>
      </c>
      <c r="R11" s="1551" t="s">
        <v>8</v>
      </c>
      <c r="S11" s="1552">
        <f t="shared" si="0"/>
        <v>102</v>
      </c>
      <c r="T11" s="1551" t="s">
        <v>8</v>
      </c>
      <c r="U11" s="1552">
        <f t="shared" si="1"/>
        <v>100</v>
      </c>
      <c r="V11" s="1551" t="s">
        <v>8</v>
      </c>
      <c r="W11" s="1552">
        <f t="shared" si="2"/>
        <v>100</v>
      </c>
      <c r="X11" s="1553"/>
      <c r="Y11" s="3358" t="s">
        <v>536</v>
      </c>
      <c r="Z11" s="1144" t="str">
        <f t="shared" ref="Z11:Z17" si="7">Q11</f>
        <v>用途</v>
      </c>
      <c r="AA11" s="1554">
        <f t="shared" si="3"/>
        <v>0.98039215686274506</v>
      </c>
      <c r="AB11" s="1554">
        <f t="shared" si="4"/>
        <v>1</v>
      </c>
      <c r="AC11" s="1554">
        <f t="shared" si="5"/>
        <v>1</v>
      </c>
    </row>
    <row r="12" spans="1:30" s="1332" customFormat="1" ht="27">
      <c r="A12" s="2751"/>
      <c r="B12" s="2756" t="s">
        <v>2747</v>
      </c>
      <c r="C12" s="909">
        <f>项目基本情况!D19</f>
        <v>61.68</v>
      </c>
      <c r="D12" s="254">
        <v>100</v>
      </c>
      <c r="E12" s="528" t="s">
        <v>3250</v>
      </c>
      <c r="F12" s="254">
        <f>ROUND(100/'数据-取费表'!G16,0)</f>
        <v>104</v>
      </c>
      <c r="G12" s="529" t="s">
        <v>3250</v>
      </c>
      <c r="H12" s="254">
        <f>ROUND(100/'数据-取费表'!G16,0)</f>
        <v>104</v>
      </c>
      <c r="I12" s="529" t="s">
        <v>3250</v>
      </c>
      <c r="J12" s="254">
        <f>ROUND(100/'数据-取费表'!G16,0)</f>
        <v>104</v>
      </c>
      <c r="K12" s="530"/>
      <c r="L12" s="2120"/>
      <c r="M12" s="2114"/>
      <c r="N12" s="2114"/>
      <c r="O12" s="2121"/>
      <c r="P12" s="3404"/>
      <c r="Q12" s="1145" t="str">
        <f t="shared" si="6"/>
        <v>土地使用年限（年）</v>
      </c>
      <c r="R12" s="1551" t="s">
        <v>8</v>
      </c>
      <c r="S12" s="1552">
        <f t="shared" si="0"/>
        <v>104</v>
      </c>
      <c r="T12" s="1551" t="s">
        <v>8</v>
      </c>
      <c r="U12" s="1552">
        <f t="shared" si="1"/>
        <v>104</v>
      </c>
      <c r="V12" s="1551" t="s">
        <v>8</v>
      </c>
      <c r="W12" s="1552">
        <f t="shared" si="2"/>
        <v>104</v>
      </c>
      <c r="X12" s="1553"/>
      <c r="Y12" s="3358"/>
      <c r="Z12" s="1144" t="str">
        <f t="shared" si="7"/>
        <v>土地使用年限（年）</v>
      </c>
      <c r="AA12" s="1554">
        <f t="shared" si="3"/>
        <v>0.96153846153846156</v>
      </c>
      <c r="AB12" s="1554">
        <f t="shared" si="4"/>
        <v>0.96153846153846156</v>
      </c>
      <c r="AC12" s="1554">
        <f t="shared" si="5"/>
        <v>0.96153846153846156</v>
      </c>
    </row>
    <row r="13" spans="1:30" ht="20.25">
      <c r="A13" s="2752"/>
      <c r="B13" s="2756" t="s">
        <v>2748</v>
      </c>
      <c r="C13" s="533">
        <v>1.87</v>
      </c>
      <c r="D13" s="254">
        <v>100</v>
      </c>
      <c r="E13" s="532">
        <v>1.8</v>
      </c>
      <c r="F13" s="254">
        <f>LOOKUP(E13,82:82,83:83)-LOOKUP(C13,82:82,83:83)+100</f>
        <v>100</v>
      </c>
      <c r="G13" s="533">
        <v>2</v>
      </c>
      <c r="H13" s="254">
        <f>LOOKUP(G13,82:82,83:83)-LOOKUP(C13,82:82,83:83)+100</f>
        <v>98</v>
      </c>
      <c r="I13" s="532">
        <v>2.1</v>
      </c>
      <c r="J13" s="254">
        <f>LOOKUP(I13,82:82,83:83)-LOOKUP(C13,82:82,83:83)+100</f>
        <v>98</v>
      </c>
      <c r="K13" s="534">
        <v>2</v>
      </c>
      <c r="L13" s="2122"/>
      <c r="M13" s="2114"/>
      <c r="N13" s="2114"/>
      <c r="O13" s="2123"/>
      <c r="P13" s="3404"/>
      <c r="Q13" s="1145" t="str">
        <f t="shared" si="6"/>
        <v>容积率</v>
      </c>
      <c r="R13" s="1551" t="s">
        <v>8</v>
      </c>
      <c r="S13" s="1552">
        <f t="shared" si="0"/>
        <v>100</v>
      </c>
      <c r="T13" s="1551" t="s">
        <v>8</v>
      </c>
      <c r="U13" s="1552">
        <f t="shared" si="1"/>
        <v>98</v>
      </c>
      <c r="V13" s="1551" t="s">
        <v>8</v>
      </c>
      <c r="W13" s="1552">
        <f t="shared" si="2"/>
        <v>98</v>
      </c>
      <c r="X13" s="1553"/>
      <c r="Y13" s="3358"/>
      <c r="Z13" s="1144" t="str">
        <f t="shared" si="7"/>
        <v>容积率</v>
      </c>
      <c r="AA13" s="1554">
        <f t="shared" si="3"/>
        <v>1</v>
      </c>
      <c r="AB13" s="1554">
        <f t="shared" si="4"/>
        <v>1.0204081632653061</v>
      </c>
      <c r="AC13" s="1554">
        <f t="shared" si="5"/>
        <v>1.0204081632653061</v>
      </c>
    </row>
    <row r="14" spans="1:30" s="1214" customFormat="1" ht="20.25">
      <c r="A14" s="2749"/>
      <c r="B14" s="2758" t="s">
        <v>2749</v>
      </c>
      <c r="C14" s="2745" t="s">
        <v>3265</v>
      </c>
      <c r="D14" s="537">
        <v>100</v>
      </c>
      <c r="E14" s="1368" t="s">
        <v>3266</v>
      </c>
      <c r="F14" s="254">
        <f>SUMIF(84:84,E14,85:85)-SUMIF(84:84,C14,85:85)+100</f>
        <v>110</v>
      </c>
      <c r="G14" s="3196" t="s">
        <v>3266</v>
      </c>
      <c r="H14" s="254">
        <f>SUMIF(84:84,G14,85:85)-SUMIF(84:84,C14,85:85)+100</f>
        <v>110</v>
      </c>
      <c r="I14" s="2745" t="s">
        <v>3309</v>
      </c>
      <c r="J14" s="254">
        <f>SUMIF(84:84,I14,85:85)-SUMIF(84:84,C14,85:85)+100</f>
        <v>100</v>
      </c>
      <c r="K14" s="530"/>
      <c r="L14" s="2117"/>
      <c r="M14" s="2114"/>
      <c r="N14" s="2114"/>
      <c r="O14" s="2119"/>
      <c r="P14" s="3404"/>
      <c r="Q14" s="1145" t="str">
        <f t="shared" si="6"/>
        <v>配建</v>
      </c>
      <c r="R14" s="1551" t="s">
        <v>8</v>
      </c>
      <c r="S14" s="1552">
        <f t="shared" si="0"/>
        <v>110</v>
      </c>
      <c r="T14" s="1551" t="s">
        <v>8</v>
      </c>
      <c r="U14" s="1552">
        <f t="shared" si="1"/>
        <v>110</v>
      </c>
      <c r="V14" s="1551" t="s">
        <v>8</v>
      </c>
      <c r="W14" s="1552">
        <f t="shared" si="2"/>
        <v>100</v>
      </c>
      <c r="X14" s="1553"/>
      <c r="Y14" s="3358"/>
      <c r="Z14" s="1144" t="str">
        <f t="shared" si="7"/>
        <v>配建</v>
      </c>
      <c r="AA14" s="1554">
        <f>D14/F14</f>
        <v>0.90909090909090906</v>
      </c>
      <c r="AB14" s="1554">
        <f>D14/H14</f>
        <v>0.90909090909090906</v>
      </c>
      <c r="AC14" s="1554">
        <f>D14/J14</f>
        <v>1</v>
      </c>
    </row>
    <row r="15" spans="1:30" ht="20.25">
      <c r="A15" s="2753"/>
      <c r="B15" s="3197" t="s">
        <v>3267</v>
      </c>
      <c r="C15" s="3198" t="s">
        <v>3266</v>
      </c>
      <c r="D15" s="539">
        <v>100</v>
      </c>
      <c r="E15" s="3198" t="s">
        <v>3266</v>
      </c>
      <c r="F15" s="254">
        <f>SUMIF(86:86,E15,87:87)-SUMIF(86:86,C15,87:87)+100</f>
        <v>100</v>
      </c>
      <c r="G15" s="3198" t="s">
        <v>3266</v>
      </c>
      <c r="H15" s="539">
        <f>SUMIF(86:86,G15,87:87)-SUMIF(86:86,C15,87:87)+100</f>
        <v>100</v>
      </c>
      <c r="I15" s="3199" t="s">
        <v>3310</v>
      </c>
      <c r="J15" s="539">
        <f>SUMIF(86:86,I15,87:87)-SUMIF(86:86,C15,87:87)+100</f>
        <v>95</v>
      </c>
      <c r="K15" s="530"/>
      <c r="L15" s="2124"/>
      <c r="M15" s="2114"/>
      <c r="N15" s="2114"/>
      <c r="O15" s="2123"/>
      <c r="P15" s="3404"/>
      <c r="Q15" s="1145" t="str">
        <f t="shared" si="6"/>
        <v>自持</v>
      </c>
      <c r="R15" s="1551" t="s">
        <v>8</v>
      </c>
      <c r="S15" s="1552">
        <f t="shared" si="0"/>
        <v>100</v>
      </c>
      <c r="T15" s="1551" t="s">
        <v>8</v>
      </c>
      <c r="U15" s="1552">
        <f t="shared" si="1"/>
        <v>100</v>
      </c>
      <c r="V15" s="1551" t="s">
        <v>8</v>
      </c>
      <c r="W15" s="1552">
        <f t="shared" si="2"/>
        <v>95</v>
      </c>
      <c r="X15" s="1553"/>
      <c r="Y15" s="3358"/>
      <c r="Z15" s="1144" t="str">
        <f t="shared" si="7"/>
        <v>自持</v>
      </c>
      <c r="AA15" s="1554">
        <f>D15/F15</f>
        <v>1</v>
      </c>
      <c r="AB15" s="1554">
        <f>D15/H15</f>
        <v>1</v>
      </c>
      <c r="AC15" s="1554">
        <f>D15/J15</f>
        <v>1.0526315789473684</v>
      </c>
    </row>
    <row r="16" spans="1:30" ht="21" thickBot="1">
      <c r="A16" s="2754"/>
      <c r="B16" s="2760">
        <v>111</v>
      </c>
      <c r="C16" s="914"/>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404"/>
      <c r="Q16" s="1145">
        <f t="shared" si="6"/>
        <v>111</v>
      </c>
      <c r="R16" s="1551" t="s">
        <v>8</v>
      </c>
      <c r="S16" s="1552">
        <f t="shared" si="0"/>
        <v>100</v>
      </c>
      <c r="T16" s="1551" t="s">
        <v>8</v>
      </c>
      <c r="U16" s="1552">
        <f t="shared" si="1"/>
        <v>100</v>
      </c>
      <c r="V16" s="1551" t="s">
        <v>8</v>
      </c>
      <c r="W16" s="1552">
        <f t="shared" si="2"/>
        <v>100</v>
      </c>
      <c r="X16" s="1553"/>
      <c r="Y16" s="3358"/>
      <c r="Z16" s="1144">
        <f t="shared" si="7"/>
        <v>111</v>
      </c>
      <c r="AA16" s="1554">
        <f>D16/F16</f>
        <v>1</v>
      </c>
      <c r="AB16" s="1554">
        <f>D16/H16</f>
        <v>1</v>
      </c>
      <c r="AC16" s="1554">
        <f>D16/J16</f>
        <v>1</v>
      </c>
    </row>
    <row r="17" spans="1:29" ht="99.75">
      <c r="A17" s="2746" t="s">
        <v>2744</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98</v>
      </c>
      <c r="I17" s="551"/>
      <c r="J17" s="548">
        <f>SUMIF(90:90,I18,91:91)-SUMIF(90:90,C18,91:91)+100</f>
        <v>100</v>
      </c>
      <c r="K17" s="534">
        <v>2</v>
      </c>
      <c r="L17" s="2124"/>
      <c r="M17" s="2114"/>
      <c r="N17" s="2114"/>
      <c r="O17" s="2123"/>
      <c r="P17" s="3406" t="s">
        <v>540</v>
      </c>
      <c r="Q17" s="1555" t="str">
        <f t="shared" si="6"/>
        <v>居住社区成熟度</v>
      </c>
      <c r="R17" s="1556" t="s">
        <v>8</v>
      </c>
      <c r="S17" s="1557">
        <f t="shared" si="0"/>
        <v>100</v>
      </c>
      <c r="T17" s="1556" t="s">
        <v>8</v>
      </c>
      <c r="U17" s="1557">
        <f t="shared" si="1"/>
        <v>98</v>
      </c>
      <c r="V17" s="1556" t="s">
        <v>8</v>
      </c>
      <c r="W17" s="1557">
        <f t="shared" si="2"/>
        <v>100</v>
      </c>
      <c r="X17" s="1550"/>
      <c r="Y17" s="3406" t="s">
        <v>540</v>
      </c>
      <c r="Z17" s="1558" t="str">
        <f t="shared" si="7"/>
        <v>居住社区成熟度</v>
      </c>
      <c r="AA17" s="1559">
        <f t="shared" si="3"/>
        <v>1</v>
      </c>
      <c r="AB17" s="1559">
        <f t="shared" si="4"/>
        <v>1.0204081632653061</v>
      </c>
      <c r="AC17" s="1559">
        <f t="shared" si="5"/>
        <v>1</v>
      </c>
    </row>
    <row r="18" spans="1:29" ht="20.25">
      <c r="A18" s="531"/>
      <c r="B18" s="552"/>
      <c r="C18" s="553" t="s">
        <v>3252</v>
      </c>
      <c r="D18" s="556"/>
      <c r="E18" s="557" t="s">
        <v>3252</v>
      </c>
      <c r="F18" s="554"/>
      <c r="G18" s="555" t="s">
        <v>3281</v>
      </c>
      <c r="H18" s="558"/>
      <c r="I18" s="557" t="s">
        <v>3252</v>
      </c>
      <c r="J18" s="554"/>
      <c r="K18" s="530"/>
      <c r="L18" s="2124"/>
      <c r="M18" s="2114"/>
      <c r="N18" s="2114"/>
      <c r="O18" s="2123"/>
      <c r="P18" s="3407"/>
      <c r="Q18" s="1555"/>
      <c r="R18" s="1556"/>
      <c r="S18" s="1557"/>
      <c r="T18" s="1556"/>
      <c r="U18" s="1557"/>
      <c r="V18" s="1556"/>
      <c r="W18" s="1557"/>
      <c r="X18" s="1550"/>
      <c r="Y18" s="3407"/>
      <c r="Z18" s="1558"/>
      <c r="AA18" s="1559">
        <v>1</v>
      </c>
      <c r="AB18" s="1559">
        <v>1</v>
      </c>
      <c r="AC18" s="1559">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98</v>
      </c>
      <c r="I19" s="563"/>
      <c r="J19" s="564">
        <f>SUMIF(92:92,I20,93:93)-SUMIF(92:92,C20,93:93)+100</f>
        <v>100</v>
      </c>
      <c r="K19" s="534">
        <v>2</v>
      </c>
      <c r="L19" s="2124"/>
      <c r="M19" s="2114"/>
      <c r="N19" s="2114"/>
      <c r="O19" s="2123"/>
      <c r="P19" s="3407"/>
      <c r="Q19" s="1555" t="str">
        <f>B19</f>
        <v>商业繁华度</v>
      </c>
      <c r="R19" s="1556" t="s">
        <v>8</v>
      </c>
      <c r="S19" s="1557">
        <f>F19</f>
        <v>100</v>
      </c>
      <c r="T19" s="1556" t="s">
        <v>8</v>
      </c>
      <c r="U19" s="1557">
        <f>H19</f>
        <v>98</v>
      </c>
      <c r="V19" s="1556" t="s">
        <v>8</v>
      </c>
      <c r="W19" s="1557">
        <f>J19</f>
        <v>100</v>
      </c>
      <c r="X19" s="1550"/>
      <c r="Y19" s="3407"/>
      <c r="Z19" s="1558" t="str">
        <f>Q19</f>
        <v>商业繁华度</v>
      </c>
      <c r="AA19" s="1559">
        <f t="shared" si="3"/>
        <v>1</v>
      </c>
      <c r="AB19" s="1559">
        <f t="shared" si="4"/>
        <v>1.0204081632653061</v>
      </c>
      <c r="AC19" s="1559">
        <f t="shared" si="5"/>
        <v>1</v>
      </c>
    </row>
    <row r="20" spans="1:29" ht="20.25">
      <c r="A20" s="531"/>
      <c r="B20" s="565"/>
      <c r="C20" s="566" t="s">
        <v>3252</v>
      </c>
      <c r="D20" s="562"/>
      <c r="E20" s="568" t="s">
        <v>3252</v>
      </c>
      <c r="F20" s="558"/>
      <c r="G20" s="567" t="s">
        <v>3281</v>
      </c>
      <c r="H20" s="554"/>
      <c r="I20" s="568" t="s">
        <v>3252</v>
      </c>
      <c r="J20" s="554"/>
      <c r="K20" s="530"/>
      <c r="L20" s="2124"/>
      <c r="M20" s="2114"/>
      <c r="N20" s="2114"/>
      <c r="O20" s="2123"/>
      <c r="P20" s="3407"/>
      <c r="Q20" s="1555"/>
      <c r="R20" s="1556"/>
      <c r="S20" s="1557"/>
      <c r="T20" s="1556"/>
      <c r="U20" s="1557"/>
      <c r="V20" s="1556"/>
      <c r="W20" s="1557"/>
      <c r="X20" s="1550"/>
      <c r="Y20" s="3407"/>
      <c r="Z20" s="1558"/>
      <c r="AA20" s="1559">
        <v>1</v>
      </c>
      <c r="AB20" s="1559">
        <v>1</v>
      </c>
      <c r="AC20" s="1559">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98</v>
      </c>
      <c r="G21" s="569"/>
      <c r="H21" s="558">
        <f>SUMIF(94:94,G22,95:95)-SUMIF(94:94,C22,95:95)+100</f>
        <v>98</v>
      </c>
      <c r="I21" s="571"/>
      <c r="J21" s="558">
        <f>SUMIF(94:94,I22,95:95)-SUMIF(94:94,C22,95:95)+100</f>
        <v>100</v>
      </c>
      <c r="K21" s="534">
        <v>2</v>
      </c>
      <c r="L21" s="2124"/>
      <c r="M21" s="2114"/>
      <c r="N21" s="2114"/>
      <c r="O21" s="2123"/>
      <c r="P21" s="3407"/>
      <c r="Q21" s="1555" t="str">
        <f>B21</f>
        <v>办公集聚程度</v>
      </c>
      <c r="R21" s="1556" t="s">
        <v>8</v>
      </c>
      <c r="S21" s="1557">
        <f>F21</f>
        <v>98</v>
      </c>
      <c r="T21" s="1556" t="s">
        <v>8</v>
      </c>
      <c r="U21" s="1557">
        <f>H21</f>
        <v>98</v>
      </c>
      <c r="V21" s="1556" t="s">
        <v>8</v>
      </c>
      <c r="W21" s="1557">
        <f>J21</f>
        <v>100</v>
      </c>
      <c r="X21" s="1550"/>
      <c r="Y21" s="3407"/>
      <c r="Z21" s="1558" t="str">
        <f>Q21</f>
        <v>办公集聚程度</v>
      </c>
      <c r="AA21" s="1559">
        <f t="shared" si="3"/>
        <v>1.0204081632653061</v>
      </c>
      <c r="AB21" s="1559">
        <f t="shared" si="4"/>
        <v>1.0204081632653061</v>
      </c>
      <c r="AC21" s="1559">
        <f t="shared" si="5"/>
        <v>1</v>
      </c>
    </row>
    <row r="22" spans="1:29" ht="20.25">
      <c r="A22" s="531"/>
      <c r="B22" s="565"/>
      <c r="C22" s="553" t="s">
        <v>3252</v>
      </c>
      <c r="D22" s="556"/>
      <c r="E22" s="557" t="s">
        <v>3281</v>
      </c>
      <c r="F22" s="554"/>
      <c r="G22" s="555" t="s">
        <v>3281</v>
      </c>
      <c r="H22" s="554"/>
      <c r="I22" s="557" t="s">
        <v>3252</v>
      </c>
      <c r="J22" s="554"/>
      <c r="K22" s="530"/>
      <c r="L22" s="2124"/>
      <c r="M22" s="2114"/>
      <c r="N22" s="2114"/>
      <c r="O22" s="2123"/>
      <c r="P22" s="3407"/>
      <c r="Q22" s="1555"/>
      <c r="R22" s="1556"/>
      <c r="S22" s="1557"/>
      <c r="T22" s="1556"/>
      <c r="U22" s="1557"/>
      <c r="V22" s="1556"/>
      <c r="W22" s="1557"/>
      <c r="X22" s="1550"/>
      <c r="Y22" s="3407"/>
      <c r="Z22" s="1558"/>
      <c r="AA22" s="1559">
        <v>1</v>
      </c>
      <c r="AB22" s="1559">
        <v>1</v>
      </c>
      <c r="AC22" s="1559">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24"/>
      <c r="M23" s="2114"/>
      <c r="N23" s="2114"/>
      <c r="O23" s="2123"/>
      <c r="P23" s="3407"/>
      <c r="Q23" s="1555" t="str">
        <f>B23</f>
        <v>交通便捷度</v>
      </c>
      <c r="R23" s="1556" t="s">
        <v>8</v>
      </c>
      <c r="S23" s="1557">
        <f>F23</f>
        <v>100</v>
      </c>
      <c r="T23" s="1556" t="s">
        <v>8</v>
      </c>
      <c r="U23" s="1557">
        <f>H23</f>
        <v>100</v>
      </c>
      <c r="V23" s="1556" t="s">
        <v>8</v>
      </c>
      <c r="W23" s="1557">
        <f>J23</f>
        <v>100</v>
      </c>
      <c r="X23" s="1550"/>
      <c r="Y23" s="3407"/>
      <c r="Z23" s="1558" t="str">
        <f>Q23</f>
        <v>交通便捷度</v>
      </c>
      <c r="AA23" s="1559">
        <f t="shared" si="3"/>
        <v>1</v>
      </c>
      <c r="AB23" s="1559">
        <f t="shared" si="4"/>
        <v>1</v>
      </c>
      <c r="AC23" s="1559">
        <f t="shared" si="5"/>
        <v>1</v>
      </c>
    </row>
    <row r="24" spans="1:29" ht="20.25">
      <c r="A24" s="531"/>
      <c r="B24" s="577"/>
      <c r="C24" s="553" t="s">
        <v>3281</v>
      </c>
      <c r="D24" s="556"/>
      <c r="E24" s="557" t="s">
        <v>3281</v>
      </c>
      <c r="F24" s="554"/>
      <c r="G24" s="555" t="s">
        <v>3281</v>
      </c>
      <c r="H24" s="554"/>
      <c r="I24" s="557" t="s">
        <v>3281</v>
      </c>
      <c r="J24" s="554"/>
      <c r="K24" s="530"/>
      <c r="L24" s="2124"/>
      <c r="M24" s="2114"/>
      <c r="N24" s="2114"/>
      <c r="O24" s="2123"/>
      <c r="P24" s="3407"/>
      <c r="Q24" s="1555"/>
      <c r="R24" s="1556"/>
      <c r="S24" s="1557"/>
      <c r="T24" s="1556"/>
      <c r="U24" s="1557"/>
      <c r="V24" s="1556"/>
      <c r="W24" s="1557"/>
      <c r="X24" s="1550"/>
      <c r="Y24" s="3407"/>
      <c r="Z24" s="1558"/>
      <c r="AA24" s="1559">
        <v>1</v>
      </c>
      <c r="AB24" s="1559">
        <v>1</v>
      </c>
      <c r="AC24" s="1559">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4"/>
      <c r="M25" s="2114"/>
      <c r="N25" s="2114"/>
      <c r="O25" s="2123"/>
      <c r="P25" s="3407"/>
      <c r="Q25" s="1555" t="str">
        <f t="shared" ref="Q25:Q39" si="8">B25</f>
        <v>区域土地利用方向</v>
      </c>
      <c r="R25" s="1556" t="s">
        <v>8</v>
      </c>
      <c r="S25" s="1557">
        <f>F25</f>
        <v>100</v>
      </c>
      <c r="T25" s="1556" t="s">
        <v>8</v>
      </c>
      <c r="U25" s="1557">
        <f>H25</f>
        <v>100</v>
      </c>
      <c r="V25" s="1556" t="s">
        <v>8</v>
      </c>
      <c r="W25" s="1557">
        <f>J25</f>
        <v>100</v>
      </c>
      <c r="X25" s="1550"/>
      <c r="Y25" s="3407"/>
      <c r="Z25" s="1558" t="str">
        <f>Q25</f>
        <v>区域土地利用方向</v>
      </c>
      <c r="AA25" s="1559">
        <f t="shared" si="3"/>
        <v>1</v>
      </c>
      <c r="AB25" s="1559">
        <f t="shared" si="4"/>
        <v>1</v>
      </c>
      <c r="AC25" s="1559">
        <f t="shared" si="5"/>
        <v>1</v>
      </c>
    </row>
    <row r="26" spans="1:29" ht="20.25">
      <c r="A26" s="514"/>
      <c r="B26" s="1005"/>
      <c r="C26" s="553" t="s">
        <v>3252</v>
      </c>
      <c r="D26" s="556"/>
      <c r="E26" s="557" t="s">
        <v>3252</v>
      </c>
      <c r="F26" s="554"/>
      <c r="G26" s="555" t="s">
        <v>3252</v>
      </c>
      <c r="H26" s="554"/>
      <c r="I26" s="557" t="s">
        <v>3252</v>
      </c>
      <c r="J26" s="554"/>
      <c r="K26" s="530"/>
      <c r="L26" s="2124"/>
      <c r="M26" s="2114"/>
      <c r="N26" s="2114"/>
      <c r="O26" s="2123"/>
      <c r="P26" s="3407"/>
      <c r="Q26" s="1555"/>
      <c r="R26" s="1556"/>
      <c r="S26" s="1557"/>
      <c r="T26" s="1556"/>
      <c r="U26" s="1557"/>
      <c r="V26" s="1556"/>
      <c r="W26" s="1557"/>
      <c r="X26" s="1550"/>
      <c r="Y26" s="3407"/>
      <c r="Z26" s="1558"/>
      <c r="AA26" s="1559"/>
      <c r="AB26" s="1559"/>
      <c r="AC26" s="1559"/>
    </row>
    <row r="27" spans="1:29" ht="57">
      <c r="A27" s="514"/>
      <c r="B27" s="577" t="s">
        <v>545</v>
      </c>
      <c r="C27" s="560" t="str">
        <f>估价对象房地状况!C20</f>
        <v>区域自然环境：；人文环境；综合评价环境状况一般</v>
      </c>
      <c r="D27" s="562">
        <v>100</v>
      </c>
      <c r="E27" s="563"/>
      <c r="F27" s="558">
        <f>SUMIF(100:100,E28,101:101)-SUMIF(100:100,C28,101:101)+100</f>
        <v>102</v>
      </c>
      <c r="G27" s="561"/>
      <c r="H27" s="558">
        <f>SUMIF(100:100,G28,101:101)-SUMIF(100:100,C28,101:101)+100</f>
        <v>102</v>
      </c>
      <c r="I27" s="563"/>
      <c r="J27" s="558">
        <f>SUMIF(100:100,I28,101:101)-SUMIF(100:100,C28,101:101)+100</f>
        <v>100</v>
      </c>
      <c r="K27" s="534">
        <v>2</v>
      </c>
      <c r="L27" s="2124"/>
      <c r="M27" s="2114"/>
      <c r="N27" s="2114"/>
      <c r="O27" s="2123"/>
      <c r="P27" s="3407"/>
      <c r="Q27" s="1555" t="str">
        <f t="shared" si="8"/>
        <v>自然及人文环境状况</v>
      </c>
      <c r="R27" s="1556" t="s">
        <v>8</v>
      </c>
      <c r="S27" s="1557">
        <f>F27</f>
        <v>102</v>
      </c>
      <c r="T27" s="1556" t="s">
        <v>8</v>
      </c>
      <c r="U27" s="1557">
        <f>H27</f>
        <v>102</v>
      </c>
      <c r="V27" s="1556" t="s">
        <v>8</v>
      </c>
      <c r="W27" s="1557">
        <f>J27</f>
        <v>100</v>
      </c>
      <c r="X27" s="1550"/>
      <c r="Y27" s="3407"/>
      <c r="Z27" s="1558" t="str">
        <f>Q27</f>
        <v>自然及人文环境状况</v>
      </c>
      <c r="AA27" s="1559">
        <f t="shared" si="3"/>
        <v>0.98039215686274506</v>
      </c>
      <c r="AB27" s="1559">
        <f t="shared" si="4"/>
        <v>0.98039215686274506</v>
      </c>
      <c r="AC27" s="1559">
        <f t="shared" si="5"/>
        <v>1</v>
      </c>
    </row>
    <row r="28" spans="1:29" ht="20.25">
      <c r="A28" s="514"/>
      <c r="B28" s="565"/>
      <c r="C28" s="553" t="s">
        <v>3281</v>
      </c>
      <c r="D28" s="556"/>
      <c r="E28" s="575" t="s">
        <v>3252</v>
      </c>
      <c r="F28" s="554"/>
      <c r="G28" s="553" t="s">
        <v>3252</v>
      </c>
      <c r="H28" s="554"/>
      <c r="I28" s="575" t="s">
        <v>3281</v>
      </c>
      <c r="J28" s="554"/>
      <c r="K28" s="530"/>
      <c r="L28" s="2124"/>
      <c r="M28" s="2114"/>
      <c r="N28" s="2114"/>
      <c r="O28" s="2123"/>
      <c r="P28" s="3407"/>
      <c r="Q28" s="1555"/>
      <c r="R28" s="1556"/>
      <c r="S28" s="1557"/>
      <c r="T28" s="1556"/>
      <c r="U28" s="1557"/>
      <c r="V28" s="1556"/>
      <c r="W28" s="1557"/>
      <c r="X28" s="1550"/>
      <c r="Y28" s="3407"/>
      <c r="Z28" s="1558"/>
      <c r="AA28" s="1559">
        <v>1</v>
      </c>
      <c r="AB28" s="1559">
        <v>1</v>
      </c>
      <c r="AC28" s="1559">
        <v>1</v>
      </c>
    </row>
    <row r="29" spans="1:29" s="1214" customFormat="1" ht="42.75">
      <c r="A29" s="576"/>
      <c r="B29" s="2552" t="s">
        <v>2539</v>
      </c>
      <c r="C29" s="572" t="str">
        <f>估价对象房地状况!C21</f>
        <v>估价对象所在区域公共配套设施齐备情况</v>
      </c>
      <c r="D29" s="562">
        <v>100</v>
      </c>
      <c r="E29" s="563"/>
      <c r="F29" s="558">
        <f>SUMIF(102:102,E30,103:103)-SUMIF(102:102,C30,103:103)+100</f>
        <v>100</v>
      </c>
      <c r="G29" s="561"/>
      <c r="H29" s="558">
        <f>SUMIF(102:102,G30,103:103)-SUMIF(102:102,C30,103:103)+100</f>
        <v>98</v>
      </c>
      <c r="I29" s="563"/>
      <c r="J29" s="558">
        <f>SUMIF(102:102,I30,103:103)-SUMIF(102:102,C30,103:103)+100</f>
        <v>100</v>
      </c>
      <c r="K29" s="534">
        <v>2</v>
      </c>
      <c r="L29" s="2117"/>
      <c r="M29" s="2114"/>
      <c r="N29" s="2114"/>
      <c r="O29" s="2119"/>
      <c r="P29" s="3407"/>
      <c r="Q29" s="1145" t="str">
        <f t="shared" si="8"/>
        <v>公共配套设施</v>
      </c>
      <c r="R29" s="1551" t="s">
        <v>8</v>
      </c>
      <c r="S29" s="1552">
        <f>F29</f>
        <v>100</v>
      </c>
      <c r="T29" s="1551" t="s">
        <v>8</v>
      </c>
      <c r="U29" s="1552">
        <f>H29</f>
        <v>98</v>
      </c>
      <c r="V29" s="1551" t="s">
        <v>8</v>
      </c>
      <c r="W29" s="1552">
        <f>J29</f>
        <v>100</v>
      </c>
      <c r="X29" s="1553"/>
      <c r="Y29" s="3407"/>
      <c r="Z29" s="1144" t="str">
        <f>Q29</f>
        <v>公共配套设施</v>
      </c>
      <c r="AA29" s="1559">
        <f>D29/F29</f>
        <v>1</v>
      </c>
      <c r="AB29" s="1559">
        <f>D29/H29</f>
        <v>1.0204081632653061</v>
      </c>
      <c r="AC29" s="1559">
        <f>D29/J29</f>
        <v>1</v>
      </c>
    </row>
    <row r="30" spans="1:29" s="1214" customFormat="1" ht="20.25">
      <c r="A30" s="576"/>
      <c r="B30" s="565"/>
      <c r="C30" s="578" t="s">
        <v>3252</v>
      </c>
      <c r="D30" s="556"/>
      <c r="E30" s="575" t="s">
        <v>3252</v>
      </c>
      <c r="F30" s="554"/>
      <c r="G30" s="553" t="s">
        <v>3281</v>
      </c>
      <c r="H30" s="554"/>
      <c r="I30" s="575" t="s">
        <v>3252</v>
      </c>
      <c r="J30" s="554"/>
      <c r="K30" s="530"/>
      <c r="L30" s="2117"/>
      <c r="M30" s="2114"/>
      <c r="N30" s="2114"/>
      <c r="O30" s="2119"/>
      <c r="P30" s="3407"/>
      <c r="Q30" s="1145"/>
      <c r="R30" s="1551"/>
      <c r="S30" s="1552"/>
      <c r="T30" s="1551"/>
      <c r="U30" s="1552"/>
      <c r="V30" s="1551"/>
      <c r="W30" s="1552"/>
      <c r="X30" s="1553"/>
      <c r="Y30" s="3407"/>
      <c r="Z30" s="1144"/>
      <c r="AA30" s="1559">
        <v>1</v>
      </c>
      <c r="AB30" s="1559">
        <v>1</v>
      </c>
      <c r="AC30" s="1559">
        <v>1</v>
      </c>
    </row>
    <row r="31" spans="1:29" s="1214" customFormat="1" ht="28.5">
      <c r="A31" s="576"/>
      <c r="B31" s="2552" t="s">
        <v>2540</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7"/>
      <c r="M31" s="2114"/>
      <c r="N31" s="2114"/>
      <c r="O31" s="2119"/>
      <c r="P31" s="3407"/>
      <c r="Q31" s="2539" t="str">
        <f t="shared" ref="Q31" si="9">B31</f>
        <v>基础设施水平</v>
      </c>
      <c r="R31" s="1551" t="s">
        <v>8</v>
      </c>
      <c r="S31" s="1552">
        <f>F31</f>
        <v>100</v>
      </c>
      <c r="T31" s="1551" t="s">
        <v>8</v>
      </c>
      <c r="U31" s="1552">
        <f>H31</f>
        <v>100</v>
      </c>
      <c r="V31" s="1551" t="s">
        <v>8</v>
      </c>
      <c r="W31" s="1552">
        <f>J31</f>
        <v>100</v>
      </c>
      <c r="X31" s="1553"/>
      <c r="Y31" s="3407"/>
      <c r="Z31" s="2536" t="str">
        <f>Q31</f>
        <v>基础设施水平</v>
      </c>
      <c r="AA31" s="1559">
        <f>D31/F31</f>
        <v>1</v>
      </c>
      <c r="AB31" s="1559">
        <f>D31/H31</f>
        <v>1</v>
      </c>
      <c r="AC31" s="1559">
        <f>D31/J31</f>
        <v>1</v>
      </c>
    </row>
    <row r="32" spans="1:29" s="1214" customFormat="1" ht="20.25">
      <c r="A32" s="576"/>
      <c r="B32" s="565"/>
      <c r="C32" s="578" t="s">
        <v>3254</v>
      </c>
      <c r="D32" s="556"/>
      <c r="E32" s="2553" t="s">
        <v>3254</v>
      </c>
      <c r="F32" s="554"/>
      <c r="G32" s="578" t="s">
        <v>3254</v>
      </c>
      <c r="H32" s="554"/>
      <c r="I32" s="578" t="s">
        <v>3254</v>
      </c>
      <c r="J32" s="554"/>
      <c r="K32" s="530"/>
      <c r="L32" s="2117"/>
      <c r="M32" s="2114"/>
      <c r="N32" s="2114"/>
      <c r="O32" s="2119"/>
      <c r="P32" s="3407"/>
      <c r="Q32" s="2539"/>
      <c r="R32" s="1551"/>
      <c r="S32" s="1552"/>
      <c r="T32" s="1551"/>
      <c r="U32" s="1552"/>
      <c r="V32" s="1551"/>
      <c r="W32" s="1552"/>
      <c r="X32" s="1553"/>
      <c r="Y32" s="3407"/>
      <c r="Z32" s="2536"/>
      <c r="AA32" s="1559">
        <v>1</v>
      </c>
      <c r="AB32" s="1559">
        <v>1</v>
      </c>
      <c r="AC32" s="1559">
        <v>1</v>
      </c>
    </row>
    <row r="33" spans="1:29" ht="20.25">
      <c r="A33" s="531"/>
      <c r="B33" s="565" t="s">
        <v>547</v>
      </c>
      <c r="C33" s="579" t="s">
        <v>3313</v>
      </c>
      <c r="D33" s="574">
        <v>100</v>
      </c>
      <c r="E33" s="582" t="s">
        <v>3312</v>
      </c>
      <c r="F33" s="539">
        <f>SUMIF(106:106,E33,107:107)-SUMIF(106:106,C33,107:107)+100</f>
        <v>96</v>
      </c>
      <c r="G33" s="579" t="s">
        <v>3311</v>
      </c>
      <c r="H33" s="539">
        <f>SUMIF(106:106,G33,107:107)-SUMIF(106:106,C33,107:107)+100</f>
        <v>98</v>
      </c>
      <c r="I33" s="579" t="s">
        <v>3312</v>
      </c>
      <c r="J33" s="539">
        <f>SUMIF(106:106,I33,107:107)-SUMIF(106:106,C33,107:107)+100</f>
        <v>96</v>
      </c>
      <c r="K33" s="534">
        <v>2</v>
      </c>
      <c r="L33" s="2124"/>
      <c r="M33" s="2114"/>
      <c r="N33" s="2114"/>
      <c r="O33" s="2123"/>
      <c r="P33" s="3407"/>
      <c r="Q33" s="1555" t="str">
        <f t="shared" si="8"/>
        <v>临街状况</v>
      </c>
      <c r="R33" s="1556" t="s">
        <v>8</v>
      </c>
      <c r="S33" s="1557">
        <f t="shared" ref="S33:S47" si="10">F33</f>
        <v>96</v>
      </c>
      <c r="T33" s="1556" t="s">
        <v>8</v>
      </c>
      <c r="U33" s="1557">
        <f t="shared" ref="U33:U47" si="11">H33</f>
        <v>98</v>
      </c>
      <c r="V33" s="1556" t="s">
        <v>8</v>
      </c>
      <c r="W33" s="1557">
        <f t="shared" ref="W33:W47" si="12">J33</f>
        <v>96</v>
      </c>
      <c r="X33" s="1550"/>
      <c r="Y33" s="3407"/>
      <c r="Z33" s="1558" t="str">
        <f t="shared" ref="Z33:Z47" si="13">Q33</f>
        <v>临街状况</v>
      </c>
      <c r="AA33" s="1559">
        <f t="shared" si="3"/>
        <v>1.0416666666666667</v>
      </c>
      <c r="AB33" s="1559">
        <f t="shared" si="4"/>
        <v>1.0204081632653061</v>
      </c>
      <c r="AC33" s="1559">
        <f t="shared" si="5"/>
        <v>1.0416666666666667</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4"/>
      <c r="M34" s="2114"/>
      <c r="N34" s="2114"/>
      <c r="O34" s="2123"/>
      <c r="P34" s="3407"/>
      <c r="Q34" s="1555" t="str">
        <f t="shared" si="8"/>
        <v>毗邻道路的类型与等级</v>
      </c>
      <c r="R34" s="1556" t="s">
        <v>8</v>
      </c>
      <c r="S34" s="1557">
        <f t="shared" si="10"/>
        <v>100</v>
      </c>
      <c r="T34" s="1556" t="s">
        <v>8</v>
      </c>
      <c r="U34" s="1557">
        <f t="shared" si="11"/>
        <v>100</v>
      </c>
      <c r="V34" s="1556" t="s">
        <v>8</v>
      </c>
      <c r="W34" s="1557">
        <f t="shared" si="12"/>
        <v>100</v>
      </c>
      <c r="X34" s="1550"/>
      <c r="Y34" s="3407"/>
      <c r="Z34" s="1558" t="str">
        <f t="shared" si="13"/>
        <v>毗邻道路的类型与等级</v>
      </c>
      <c r="AA34" s="1559">
        <f t="shared" si="3"/>
        <v>1</v>
      </c>
      <c r="AB34" s="1559">
        <f t="shared" si="4"/>
        <v>1</v>
      </c>
      <c r="AC34" s="1559">
        <f t="shared" si="5"/>
        <v>1</v>
      </c>
    </row>
    <row r="35" spans="1:29" ht="20.25">
      <c r="A35" s="531"/>
      <c r="B35" s="565"/>
      <c r="C35" s="553"/>
      <c r="D35" s="556"/>
      <c r="E35" s="575"/>
      <c r="F35" s="554"/>
      <c r="G35" s="553"/>
      <c r="H35" s="554"/>
      <c r="I35" s="575"/>
      <c r="J35" s="554"/>
      <c r="K35" s="580"/>
      <c r="L35" s="2124"/>
      <c r="M35" s="2114"/>
      <c r="N35" s="2114"/>
      <c r="O35" s="2123"/>
      <c r="P35" s="3407"/>
      <c r="Q35" s="1555"/>
      <c r="R35" s="1556"/>
      <c r="S35" s="1557"/>
      <c r="T35" s="1556"/>
      <c r="U35" s="1557"/>
      <c r="V35" s="1556"/>
      <c r="W35" s="1557"/>
      <c r="X35" s="1550"/>
      <c r="Y35" s="3407"/>
      <c r="Z35" s="1558"/>
      <c r="AA35" s="1559">
        <v>1</v>
      </c>
      <c r="AB35" s="1559">
        <v>1</v>
      </c>
      <c r="AC35" s="1559">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407"/>
      <c r="Q36" s="1555" t="str">
        <f t="shared" si="8"/>
        <v>土地级别</v>
      </c>
      <c r="R36" s="1556" t="s">
        <v>8</v>
      </c>
      <c r="S36" s="1557">
        <f t="shared" si="10"/>
        <v>100</v>
      </c>
      <c r="T36" s="1556" t="s">
        <v>8</v>
      </c>
      <c r="U36" s="1557">
        <f t="shared" si="11"/>
        <v>100</v>
      </c>
      <c r="V36" s="1556" t="s">
        <v>8</v>
      </c>
      <c r="W36" s="1557">
        <f t="shared" si="12"/>
        <v>100</v>
      </c>
      <c r="X36" s="1550"/>
      <c r="Y36" s="3407"/>
      <c r="Z36" s="1558" t="str">
        <f t="shared" si="13"/>
        <v>土地级别</v>
      </c>
      <c r="AA36" s="1559">
        <f t="shared" si="3"/>
        <v>1</v>
      </c>
      <c r="AB36" s="1559">
        <f t="shared" si="4"/>
        <v>1</v>
      </c>
      <c r="AC36" s="1559">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407"/>
      <c r="Q37" s="1555">
        <f t="shared" si="8"/>
        <v>111</v>
      </c>
      <c r="R37" s="1556" t="s">
        <v>8</v>
      </c>
      <c r="S37" s="1557">
        <f t="shared" si="10"/>
        <v>100</v>
      </c>
      <c r="T37" s="1556" t="s">
        <v>8</v>
      </c>
      <c r="U37" s="1557">
        <f t="shared" si="11"/>
        <v>100</v>
      </c>
      <c r="V37" s="1556" t="s">
        <v>8</v>
      </c>
      <c r="W37" s="1557">
        <f t="shared" si="12"/>
        <v>100</v>
      </c>
      <c r="X37" s="1550"/>
      <c r="Y37" s="3407"/>
      <c r="Z37" s="1558">
        <f t="shared" si="13"/>
        <v>111</v>
      </c>
      <c r="AA37" s="1559">
        <f t="shared" si="3"/>
        <v>1</v>
      </c>
      <c r="AB37" s="1559">
        <f t="shared" si="4"/>
        <v>1</v>
      </c>
      <c r="AC37" s="1559">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408" t="s">
        <v>550</v>
      </c>
      <c r="Q38" s="1555">
        <f t="shared" si="8"/>
        <v>111</v>
      </c>
      <c r="R38" s="1556" t="s">
        <v>8</v>
      </c>
      <c r="S38" s="1557">
        <f t="shared" si="10"/>
        <v>100</v>
      </c>
      <c r="T38" s="1556" t="s">
        <v>8</v>
      </c>
      <c r="U38" s="1557">
        <f t="shared" si="11"/>
        <v>100</v>
      </c>
      <c r="V38" s="1556" t="s">
        <v>8</v>
      </c>
      <c r="W38" s="1557">
        <f t="shared" si="12"/>
        <v>100</v>
      </c>
      <c r="X38" s="1550"/>
      <c r="Y38" s="3409" t="s">
        <v>550</v>
      </c>
      <c r="Z38" s="1558">
        <f t="shared" si="13"/>
        <v>111</v>
      </c>
      <c r="AA38" s="1559">
        <f t="shared" si="3"/>
        <v>1</v>
      </c>
      <c r="AB38" s="1559">
        <f t="shared" si="4"/>
        <v>1</v>
      </c>
      <c r="AC38" s="1559">
        <f t="shared" si="5"/>
        <v>1</v>
      </c>
    </row>
    <row r="39" spans="1:29" s="1333"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409"/>
      <c r="Q39" s="1555">
        <f t="shared" si="8"/>
        <v>111</v>
      </c>
      <c r="R39" s="1560" t="s">
        <v>8</v>
      </c>
      <c r="S39" s="1561">
        <f t="shared" si="10"/>
        <v>100</v>
      </c>
      <c r="T39" s="1560" t="s">
        <v>8</v>
      </c>
      <c r="U39" s="1561">
        <f t="shared" si="11"/>
        <v>100</v>
      </c>
      <c r="V39" s="1560" t="s">
        <v>8</v>
      </c>
      <c r="W39" s="1561">
        <f t="shared" si="12"/>
        <v>100</v>
      </c>
      <c r="X39" s="1562"/>
      <c r="Y39" s="3409"/>
      <c r="Z39" s="1563">
        <f t="shared" si="13"/>
        <v>111</v>
      </c>
      <c r="AA39" s="1559">
        <f t="shared" si="3"/>
        <v>1</v>
      </c>
      <c r="AB39" s="1559">
        <f t="shared" si="4"/>
        <v>1</v>
      </c>
      <c r="AC39" s="1559">
        <f t="shared" si="5"/>
        <v>1</v>
      </c>
    </row>
    <row r="40" spans="1:29" ht="20.25">
      <c r="A40" s="2743" t="s">
        <v>2745</v>
      </c>
      <c r="B40" s="594" t="s">
        <v>552</v>
      </c>
      <c r="C40" s="595">
        <f>'数据-基础表'!A3</f>
        <v>177193.01</v>
      </c>
      <c r="D40" s="596">
        <v>100</v>
      </c>
      <c r="E40" s="595">
        <f>最新土地案例!D9</f>
        <v>34307</v>
      </c>
      <c r="F40" s="596">
        <f>LOOKUP(E40,119:119,120:120)-LOOKUP(C40,119:119,120:120)+100</f>
        <v>97</v>
      </c>
      <c r="G40" s="595">
        <f>最新土地案例!D13</f>
        <v>68563</v>
      </c>
      <c r="H40" s="596">
        <f>LOOKUP(G40,119:119,120:120)-LOOKUP(C40,119:119,120:120)+100</f>
        <v>98</v>
      </c>
      <c r="I40" s="597">
        <f>最新土地案例!D26</f>
        <v>176055</v>
      </c>
      <c r="J40" s="596">
        <f>LOOKUP(I40,119:119,120:120)-LOOKUP(C40,119:119,120:120)+100</f>
        <v>100</v>
      </c>
      <c r="K40" s="580"/>
      <c r="L40" s="2124"/>
      <c r="M40" s="2114"/>
      <c r="N40" s="2114"/>
      <c r="O40" s="2123"/>
      <c r="P40" s="3409"/>
      <c r="Q40" s="1555" t="str">
        <f>B40</f>
        <v>宗地面积</v>
      </c>
      <c r="R40" s="1556" t="s">
        <v>8</v>
      </c>
      <c r="S40" s="1557">
        <f t="shared" si="10"/>
        <v>97</v>
      </c>
      <c r="T40" s="1556" t="s">
        <v>8</v>
      </c>
      <c r="U40" s="1557">
        <f t="shared" si="11"/>
        <v>98</v>
      </c>
      <c r="V40" s="1556" t="s">
        <v>8</v>
      </c>
      <c r="W40" s="1557">
        <f t="shared" si="12"/>
        <v>100</v>
      </c>
      <c r="X40" s="1550"/>
      <c r="Y40" s="3409"/>
      <c r="Z40" s="1558" t="str">
        <f t="shared" si="13"/>
        <v>宗地面积</v>
      </c>
      <c r="AA40" s="1559">
        <f t="shared" si="3"/>
        <v>1.0309278350515463</v>
      </c>
      <c r="AB40" s="1559">
        <f t="shared" si="4"/>
        <v>1.0204081632653061</v>
      </c>
      <c r="AC40" s="1559">
        <f t="shared" si="5"/>
        <v>1</v>
      </c>
    </row>
    <row r="41" spans="1:29" ht="20.25">
      <c r="A41" s="593"/>
      <c r="B41" s="526" t="s">
        <v>553</v>
      </c>
      <c r="C41" s="598" t="s">
        <v>3260</v>
      </c>
      <c r="D41" s="539">
        <v>100</v>
      </c>
      <c r="E41" s="598" t="s">
        <v>3308</v>
      </c>
      <c r="F41" s="539">
        <f>SUMIF(121:121,E41,122:122)-SUMIF(121:121,C41,122:122)+100</f>
        <v>98</v>
      </c>
      <c r="G41" s="598" t="s">
        <v>3308</v>
      </c>
      <c r="H41" s="539">
        <f>SUMIF(121:121,G41,122:122)-SUMIF(121:121,C41,122:122)+100</f>
        <v>98</v>
      </c>
      <c r="I41" s="598" t="s">
        <v>3260</v>
      </c>
      <c r="J41" s="539">
        <f>SUMIF(121:121,I41,122:122)-SUMIF(121:121,C41,122:122)+100</f>
        <v>100</v>
      </c>
      <c r="K41" s="583">
        <v>2</v>
      </c>
      <c r="L41" s="2124"/>
      <c r="M41" s="2114"/>
      <c r="N41" s="2114"/>
      <c r="O41" s="2123"/>
      <c r="P41" s="3409"/>
      <c r="Q41" s="1555" t="str">
        <f t="shared" ref="Q41:Q47" si="14">B41</f>
        <v>宗地形状</v>
      </c>
      <c r="R41" s="1556" t="s">
        <v>8</v>
      </c>
      <c r="S41" s="1557">
        <f t="shared" si="10"/>
        <v>98</v>
      </c>
      <c r="T41" s="1556" t="s">
        <v>8</v>
      </c>
      <c r="U41" s="1557">
        <f t="shared" si="11"/>
        <v>98</v>
      </c>
      <c r="V41" s="1556" t="s">
        <v>8</v>
      </c>
      <c r="W41" s="1557">
        <f t="shared" si="12"/>
        <v>100</v>
      </c>
      <c r="X41" s="1550"/>
      <c r="Y41" s="3409"/>
      <c r="Z41" s="1558" t="str">
        <f t="shared" si="13"/>
        <v>宗地形状</v>
      </c>
      <c r="AA41" s="1559">
        <f t="shared" si="3"/>
        <v>1.0204081632653061</v>
      </c>
      <c r="AB41" s="1559">
        <f t="shared" si="4"/>
        <v>1.0204081632653061</v>
      </c>
      <c r="AC41" s="1559">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4"/>
      <c r="M42" s="2114"/>
      <c r="N42" s="2114"/>
      <c r="O42" s="2123"/>
      <c r="P42" s="3409"/>
      <c r="Q42" s="1555" t="str">
        <f t="shared" si="14"/>
        <v>临街宽度及深度</v>
      </c>
      <c r="R42" s="1556" t="s">
        <v>8</v>
      </c>
      <c r="S42" s="1557">
        <f t="shared" si="10"/>
        <v>100</v>
      </c>
      <c r="T42" s="1556" t="s">
        <v>8</v>
      </c>
      <c r="U42" s="1557">
        <f t="shared" si="11"/>
        <v>100</v>
      </c>
      <c r="V42" s="1556" t="s">
        <v>8</v>
      </c>
      <c r="W42" s="1557">
        <f t="shared" si="12"/>
        <v>100</v>
      </c>
      <c r="X42" s="1550"/>
      <c r="Y42" s="3409"/>
      <c r="Z42" s="1558" t="str">
        <f t="shared" si="13"/>
        <v>临街宽度及深度</v>
      </c>
      <c r="AA42" s="1559">
        <f t="shared" si="3"/>
        <v>1</v>
      </c>
      <c r="AB42" s="1559">
        <f t="shared" si="4"/>
        <v>1</v>
      </c>
      <c r="AC42" s="1559">
        <f t="shared" si="5"/>
        <v>1</v>
      </c>
    </row>
    <row r="43" spans="1:29" s="1214" customFormat="1" ht="20.25">
      <c r="A43" s="599"/>
      <c r="B43" s="1877" t="s">
        <v>2415</v>
      </c>
      <c r="C43" s="3529" t="s">
        <v>3254</v>
      </c>
      <c r="D43" s="254">
        <v>100</v>
      </c>
      <c r="E43" s="600" t="s">
        <v>3258</v>
      </c>
      <c r="F43" s="539">
        <f>SUMIF(125:125,E43,126:126)-SUMIF(125:125,C43,126:126)+100</f>
        <v>97</v>
      </c>
      <c r="G43" s="600" t="s">
        <v>3258</v>
      </c>
      <c r="H43" s="539">
        <f>SUMIF(125:125,G43,126:126)-SUMIF(125:125,C43,126:126)+100</f>
        <v>97</v>
      </c>
      <c r="I43" s="600" t="s">
        <v>3258</v>
      </c>
      <c r="J43" s="539">
        <f>SUMIF(125:125,I43,126:126)-SUMIF(125:125,C43,126:126)+100</f>
        <v>97</v>
      </c>
      <c r="K43" s="583">
        <v>1</v>
      </c>
      <c r="L43" s="2117"/>
      <c r="M43" s="2114"/>
      <c r="N43" s="2114"/>
      <c r="O43" s="2119"/>
      <c r="P43" s="3409"/>
      <c r="Q43" s="1555" t="str">
        <f t="shared" si="14"/>
        <v>宗地开发程度</v>
      </c>
      <c r="R43" s="1551" t="s">
        <v>8</v>
      </c>
      <c r="S43" s="1552">
        <f t="shared" si="10"/>
        <v>97</v>
      </c>
      <c r="T43" s="1551" t="s">
        <v>8</v>
      </c>
      <c r="U43" s="1552">
        <f t="shared" si="11"/>
        <v>97</v>
      </c>
      <c r="V43" s="1551" t="s">
        <v>8</v>
      </c>
      <c r="W43" s="1552">
        <f t="shared" si="12"/>
        <v>97</v>
      </c>
      <c r="X43" s="1553"/>
      <c r="Y43" s="3409"/>
      <c r="Z43" s="1144" t="str">
        <f t="shared" si="13"/>
        <v>宗地开发程度</v>
      </c>
      <c r="AA43" s="1554">
        <f t="shared" si="3"/>
        <v>1.0309278350515463</v>
      </c>
      <c r="AB43" s="1554">
        <f t="shared" si="4"/>
        <v>1.0309278350515463</v>
      </c>
      <c r="AC43" s="1554">
        <f t="shared" si="5"/>
        <v>1.0309278350515463</v>
      </c>
    </row>
    <row r="44" spans="1:29" ht="20.25">
      <c r="A44" s="593"/>
      <c r="B44" s="526" t="s">
        <v>555</v>
      </c>
      <c r="C44" s="598" t="s">
        <v>3252</v>
      </c>
      <c r="D44" s="539">
        <v>100</v>
      </c>
      <c r="E44" s="598" t="s">
        <v>3252</v>
      </c>
      <c r="F44" s="539">
        <f>SUMIF(127:127,E44,128:128)-SUMIF(127:127,C44,128:128)+100</f>
        <v>100</v>
      </c>
      <c r="G44" s="598" t="s">
        <v>3252</v>
      </c>
      <c r="H44" s="539">
        <f>SUMIF(127:127,G44,128:128)-SUMIF(127:127,C44,128:128)+100</f>
        <v>100</v>
      </c>
      <c r="I44" s="598" t="s">
        <v>3252</v>
      </c>
      <c r="J44" s="539">
        <f>SUMIF(127:127,I44,128:128)-SUMIF(127:127,C44,128:128)+100</f>
        <v>100</v>
      </c>
      <c r="K44" s="583">
        <v>2</v>
      </c>
      <c r="L44" s="2124"/>
      <c r="M44" s="2114"/>
      <c r="N44" s="2114"/>
      <c r="O44" s="2123"/>
      <c r="P44" s="3409" t="s">
        <v>550</v>
      </c>
      <c r="Q44" s="1555" t="str">
        <f t="shared" si="14"/>
        <v>工程地质条件</v>
      </c>
      <c r="R44" s="1556" t="s">
        <v>8</v>
      </c>
      <c r="S44" s="1557">
        <f t="shared" si="10"/>
        <v>100</v>
      </c>
      <c r="T44" s="1556" t="s">
        <v>8</v>
      </c>
      <c r="U44" s="1557">
        <f t="shared" si="11"/>
        <v>100</v>
      </c>
      <c r="V44" s="1556" t="s">
        <v>8</v>
      </c>
      <c r="W44" s="1557">
        <f t="shared" si="12"/>
        <v>100</v>
      </c>
      <c r="X44" s="1550"/>
      <c r="Y44" s="3409" t="s">
        <v>550</v>
      </c>
      <c r="Z44" s="1558" t="str">
        <f t="shared" si="13"/>
        <v>工程地质条件</v>
      </c>
      <c r="AA44" s="1559">
        <f t="shared" si="3"/>
        <v>1</v>
      </c>
      <c r="AB44" s="1559">
        <f t="shared" si="4"/>
        <v>1</v>
      </c>
      <c r="AC44" s="1559">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409"/>
      <c r="Q45" s="1555">
        <f t="shared" si="14"/>
        <v>111</v>
      </c>
      <c r="R45" s="1556" t="s">
        <v>8</v>
      </c>
      <c r="S45" s="1557">
        <f t="shared" si="10"/>
        <v>100</v>
      </c>
      <c r="T45" s="1556" t="s">
        <v>8</v>
      </c>
      <c r="U45" s="1557">
        <f t="shared" si="11"/>
        <v>100</v>
      </c>
      <c r="V45" s="1556" t="s">
        <v>8</v>
      </c>
      <c r="W45" s="1557">
        <f t="shared" si="12"/>
        <v>100</v>
      </c>
      <c r="X45" s="1550"/>
      <c r="Y45" s="3409"/>
      <c r="Z45" s="1558">
        <f t="shared" si="13"/>
        <v>111</v>
      </c>
      <c r="AA45" s="1559">
        <f t="shared" si="3"/>
        <v>1</v>
      </c>
      <c r="AB45" s="1559">
        <f t="shared" si="4"/>
        <v>1</v>
      </c>
      <c r="AC45" s="1559">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409"/>
      <c r="Q46" s="1555">
        <f t="shared" si="14"/>
        <v>111</v>
      </c>
      <c r="R46" s="1556" t="s">
        <v>8</v>
      </c>
      <c r="S46" s="1557">
        <f t="shared" si="10"/>
        <v>100</v>
      </c>
      <c r="T46" s="1556" t="s">
        <v>8</v>
      </c>
      <c r="U46" s="1557">
        <f t="shared" si="11"/>
        <v>100</v>
      </c>
      <c r="V46" s="1556" t="s">
        <v>8</v>
      </c>
      <c r="W46" s="1557">
        <f t="shared" si="12"/>
        <v>100</v>
      </c>
      <c r="X46" s="1550"/>
      <c r="Y46" s="3409"/>
      <c r="Z46" s="1558">
        <f t="shared" si="13"/>
        <v>111</v>
      </c>
      <c r="AA46" s="1559">
        <f t="shared" si="3"/>
        <v>1</v>
      </c>
      <c r="AB46" s="1559">
        <f t="shared" si="4"/>
        <v>1</v>
      </c>
      <c r="AC46" s="1559">
        <f t="shared" si="5"/>
        <v>1</v>
      </c>
    </row>
    <row r="47" spans="1:29" s="1333"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409"/>
      <c r="Q47" s="1555">
        <f t="shared" si="14"/>
        <v>111</v>
      </c>
      <c r="R47" s="1560" t="s">
        <v>8</v>
      </c>
      <c r="S47" s="1561">
        <f t="shared" si="10"/>
        <v>100</v>
      </c>
      <c r="T47" s="1560" t="s">
        <v>8</v>
      </c>
      <c r="U47" s="1561">
        <f t="shared" si="11"/>
        <v>100</v>
      </c>
      <c r="V47" s="1560" t="s">
        <v>8</v>
      </c>
      <c r="W47" s="1561">
        <f t="shared" si="12"/>
        <v>100</v>
      </c>
      <c r="X47" s="1562"/>
      <c r="Y47" s="3409"/>
      <c r="Z47" s="1563">
        <f t="shared" si="13"/>
        <v>111</v>
      </c>
      <c r="AA47" s="1559">
        <f t="shared" si="3"/>
        <v>1</v>
      </c>
      <c r="AB47" s="1559">
        <f t="shared" si="4"/>
        <v>1</v>
      </c>
      <c r="AC47" s="1559">
        <f t="shared" si="5"/>
        <v>1</v>
      </c>
    </row>
    <row r="48" spans="1:29" ht="20.25">
      <c r="A48" s="606" t="s">
        <v>556</v>
      </c>
      <c r="B48" s="607" t="s">
        <v>3251</v>
      </c>
      <c r="C48" s="608" t="s">
        <v>1</v>
      </c>
      <c r="D48" s="609"/>
      <c r="E48" s="610">
        <v>6140</v>
      </c>
      <c r="F48" s="611"/>
      <c r="G48" s="612">
        <v>5765</v>
      </c>
      <c r="H48" s="613"/>
      <c r="I48" s="610">
        <v>4186</v>
      </c>
      <c r="J48" s="613"/>
      <c r="K48" s="1334"/>
      <c r="L48" s="2126"/>
      <c r="M48" s="2114"/>
      <c r="N48" s="2114"/>
      <c r="O48" s="2127"/>
      <c r="P48" s="3404" t="str">
        <f>A48</f>
        <v>成交单价</v>
      </c>
      <c r="Q48" s="3404"/>
      <c r="R48" s="3418">
        <f>E48</f>
        <v>6140</v>
      </c>
      <c r="S48" s="3418"/>
      <c r="T48" s="3418">
        <f>G48</f>
        <v>5765</v>
      </c>
      <c r="U48" s="3418"/>
      <c r="V48" s="3418">
        <f>I48</f>
        <v>4186</v>
      </c>
      <c r="W48" s="3418"/>
      <c r="X48" s="1542"/>
      <c r="Y48" s="1564"/>
      <c r="Z48" s="1542"/>
      <c r="AA48" s="1542"/>
      <c r="AB48" s="1542"/>
      <c r="AC48" s="1542"/>
    </row>
    <row r="49" spans="1:29" ht="21" thickBot="1">
      <c r="A49" s="614" t="s">
        <v>2683</v>
      </c>
      <c r="B49" s="615"/>
      <c r="C49" s="616">
        <f>R50</f>
        <v>5595</v>
      </c>
      <c r="D49" s="617"/>
      <c r="E49" s="616">
        <f>R49</f>
        <v>5977</v>
      </c>
      <c r="F49" s="618"/>
      <c r="G49" s="619">
        <f>T49</f>
        <v>6047</v>
      </c>
      <c r="H49" s="617"/>
      <c r="I49" s="616">
        <f>V49</f>
        <v>4762</v>
      </c>
      <c r="J49" s="617"/>
      <c r="K49" s="1335"/>
      <c r="L49" s="2126"/>
      <c r="M49" s="2114"/>
      <c r="N49" s="2114"/>
      <c r="O49" s="2127"/>
      <c r="P49" s="3404" t="str">
        <f>A49</f>
        <v>比较价格（元/平方米）</v>
      </c>
      <c r="Q49" s="3404"/>
      <c r="R49" s="3428">
        <f>ROUND(PRODUCT(R48,AA9:AA47),0)</f>
        <v>5977</v>
      </c>
      <c r="S49" s="3428"/>
      <c r="T49" s="3428">
        <f>ROUND(PRODUCT(T48,AB9:AB47),0)</f>
        <v>6047</v>
      </c>
      <c r="U49" s="3428"/>
      <c r="V49" s="3428">
        <f>ROUND(PRODUCT(V48,AC9:AC47),0)</f>
        <v>4762</v>
      </c>
      <c r="W49" s="3428"/>
      <c r="X49" s="1542"/>
      <c r="Y49" s="1542"/>
      <c r="Z49" s="1542"/>
      <c r="AA49" s="1542"/>
      <c r="AB49" s="1542"/>
      <c r="AC49" s="1542"/>
    </row>
    <row r="50" spans="1:29" ht="21" thickBot="1">
      <c r="A50" s="620" t="s">
        <v>2925</v>
      </c>
      <c r="B50" s="621"/>
      <c r="C50" s="622">
        <f>R50</f>
        <v>5595</v>
      </c>
      <c r="D50" s="622"/>
      <c r="E50" s="622"/>
      <c r="F50" s="622"/>
      <c r="G50" s="622"/>
      <c r="H50" s="622"/>
      <c r="I50" s="622"/>
      <c r="J50" s="622"/>
      <c r="K50" s="1336"/>
      <c r="L50" s="2126"/>
      <c r="M50" s="2114"/>
      <c r="N50" s="2114"/>
      <c r="O50" s="2127"/>
      <c r="P50" s="3425" t="str">
        <f>A50</f>
        <v>估价对象XX用房的比较价格（楼面单价，元/平方米）</v>
      </c>
      <c r="Q50" s="3426"/>
      <c r="R50" s="3427">
        <f>ROUND(AVERAGE(R49:V49),0)</f>
        <v>5595</v>
      </c>
      <c r="S50" s="3427"/>
      <c r="T50" s="3427"/>
      <c r="U50" s="3427"/>
      <c r="V50" s="3427"/>
      <c r="W50" s="3427"/>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f>IF(E48&lt;E49,E49/E48-1,E48/E49-1)</f>
        <v>2.7271206290781391E-2</v>
      </c>
      <c r="F53" s="626" t="str">
        <f>IF(OR(E53&gt;=0.3,E53&lt;=-0.3),"超过30%","")</f>
        <v/>
      </c>
      <c r="G53" s="625">
        <f>IF(G48&lt;G49,G49/G48-1,G48/G49-1)</f>
        <v>4.8915871639202191E-2</v>
      </c>
      <c r="H53" s="626" t="str">
        <f>IF(OR(G53&gt;=0.3,G53&lt;=-0.3),"超过30%","")</f>
        <v/>
      </c>
      <c r="I53" s="625">
        <f>IF(I48&lt;I49,I49/I48-1,I48/I49-1)</f>
        <v>0.13760152890587674</v>
      </c>
      <c r="J53" s="626"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f>IF(E49&lt;G49,G49/E49-1,E49/G49-1)</f>
        <v>1.1711560983771019E-2</v>
      </c>
      <c r="F54" s="626" t="str">
        <f>IF(OR(E54&gt;=0.2,E54&lt;=-0.2),"超过20%","")</f>
        <v/>
      </c>
      <c r="G54" s="625">
        <f>IF(G49&lt;I49,I49/G49-1,G49/I49-1)</f>
        <v>0.26984460310793779</v>
      </c>
      <c r="H54" s="626" t="str">
        <f>IF(OR(G54&gt;=0.2,G54&lt;=-0.2),"超过20%","")</f>
        <v>超过20%</v>
      </c>
      <c r="I54" s="625">
        <f>IF(I49&lt;E49,E49/I49-1,I49/E49-1)</f>
        <v>0.25514489710205801</v>
      </c>
      <c r="J54" s="626" t="str">
        <f>IF(OR(I54&gt;=0.2,I54&lt;=-0.2),"超过20%","")</f>
        <v>超过20%</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3" t="s">
        <v>559</v>
      </c>
      <c r="D55" s="627"/>
      <c r="E55" s="625">
        <f>IF(E48&lt;G48,G48/E48-1,E48/G48-1)</f>
        <v>6.5047701647875211E-2</v>
      </c>
      <c r="F55" s="626" t="str">
        <f>IF(OR(E55&gt;=0.3,E55&lt;=-0.3),"超过30%","")</f>
        <v/>
      </c>
      <c r="G55" s="625">
        <f>IF(G48&lt;I48,I48/G48-1,G48/I48-1)</f>
        <v>0.37720974677496422</v>
      </c>
      <c r="H55" s="626" t="str">
        <f>IF(OR(G55&gt;=0.3,G55&lt;=-0.3),"超过30%","")</f>
        <v>超过30%</v>
      </c>
      <c r="I55" s="625">
        <f>IF(I48&lt;E48,E48/I48-1,I48/E48-1)</f>
        <v>0.46679407548972773</v>
      </c>
      <c r="J55" s="626" t="str">
        <f>IF(OR(I55&gt;=0.3,I55&lt;=-0.3),"超过30%","")</f>
        <v>超过30%</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8" t="s">
        <v>560</v>
      </c>
      <c r="B57" s="629" t="s">
        <v>561</v>
      </c>
      <c r="C57" s="1543" t="s">
        <v>1718</v>
      </c>
      <c r="D57" s="2209" t="s">
        <v>2284</v>
      </c>
      <c r="E57" s="630" t="s">
        <v>562</v>
      </c>
      <c r="F57" s="631" t="s">
        <v>563</v>
      </c>
      <c r="G57" s="3388" t="s">
        <v>2272</v>
      </c>
      <c r="H57" s="3389"/>
      <c r="I57" s="1538" t="s">
        <v>1716</v>
      </c>
      <c r="J57" s="1538">
        <f>项目基本情况!F41</f>
        <v>0</v>
      </c>
      <c r="K57" s="2136" t="s">
        <v>1717</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2.75">
      <c r="A58" s="632" t="s">
        <v>564</v>
      </c>
      <c r="B58" s="633">
        <f>C50</f>
        <v>5595</v>
      </c>
      <c r="C58" s="634">
        <v>1</v>
      </c>
      <c r="D58" s="2210">
        <v>1</v>
      </c>
      <c r="E58" s="634">
        <f>'数据-汇总表'!E8+'数据-汇总表'!E9</f>
        <v>324382.25</v>
      </c>
      <c r="F58" s="635">
        <f t="shared" ref="F58:F67" si="15">ROUND(B58*E58/10000,0)</f>
        <v>181492</v>
      </c>
      <c r="G58" s="3390"/>
      <c r="H58" s="3391"/>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6" t="s">
        <v>565</v>
      </c>
      <c r="B59" s="637">
        <f>ROUND($C$50*C59*D59,0)</f>
        <v>0</v>
      </c>
      <c r="C59" s="377">
        <f t="shared" ref="C59:C67" si="16">IF($C$57="北京市系数",I59,J59)</f>
        <v>0</v>
      </c>
      <c r="D59" s="2211">
        <v>0.25</v>
      </c>
      <c r="E59" s="638">
        <v>0</v>
      </c>
      <c r="F59" s="635">
        <f t="shared" si="15"/>
        <v>0</v>
      </c>
      <c r="G59" s="3392" t="s">
        <v>2273</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6" t="s">
        <v>566</v>
      </c>
      <c r="B60" s="637">
        <f t="shared" ref="B60:B67" si="17">ROUND($C$50*C60*D60,0)</f>
        <v>0</v>
      </c>
      <c r="C60" s="377">
        <f t="shared" si="16"/>
        <v>0</v>
      </c>
      <c r="D60" s="2211">
        <v>0.25</v>
      </c>
      <c r="E60" s="638">
        <v>0</v>
      </c>
      <c r="F60" s="635">
        <f t="shared" si="15"/>
        <v>0</v>
      </c>
      <c r="G60" s="3392"/>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6" t="s">
        <v>567</v>
      </c>
      <c r="B61" s="637">
        <f t="shared" si="17"/>
        <v>0</v>
      </c>
      <c r="C61" s="377">
        <f t="shared" si="16"/>
        <v>0</v>
      </c>
      <c r="D61" s="2211">
        <v>0.25</v>
      </c>
      <c r="E61" s="638">
        <v>0</v>
      </c>
      <c r="F61" s="635">
        <f t="shared" si="15"/>
        <v>0</v>
      </c>
      <c r="G61" s="3392"/>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2.75">
      <c r="A62" s="636" t="s">
        <v>568</v>
      </c>
      <c r="B62" s="637">
        <f t="shared" si="17"/>
        <v>0</v>
      </c>
      <c r="C62" s="377">
        <f t="shared" si="16"/>
        <v>0</v>
      </c>
      <c r="D62" s="2211">
        <v>0.25</v>
      </c>
      <c r="E62" s="638">
        <v>0</v>
      </c>
      <c r="F62" s="635">
        <f t="shared" si="15"/>
        <v>0</v>
      </c>
      <c r="G62" s="3392"/>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2.75">
      <c r="A63" s="2313" t="s">
        <v>2319</v>
      </c>
      <c r="B63" s="637">
        <f t="shared" si="17"/>
        <v>0</v>
      </c>
      <c r="C63" s="377">
        <f t="shared" si="16"/>
        <v>0</v>
      </c>
      <c r="D63" s="2211">
        <v>0.25</v>
      </c>
      <c r="E63" s="640">
        <f>'数据-汇总表'!E11</f>
        <v>0</v>
      </c>
      <c r="F63" s="635">
        <f t="shared" si="15"/>
        <v>0</v>
      </c>
      <c r="G63" s="1927" t="s">
        <v>2274</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2.75">
      <c r="A64" s="636" t="s">
        <v>569</v>
      </c>
      <c r="B64" s="637">
        <f t="shared" si="17"/>
        <v>0</v>
      </c>
      <c r="C64" s="377">
        <f t="shared" si="16"/>
        <v>0</v>
      </c>
      <c r="D64" s="2211">
        <v>0.25</v>
      </c>
      <c r="E64" s="640">
        <f>'数据-汇总表'!E12</f>
        <v>0</v>
      </c>
      <c r="F64" s="635">
        <f t="shared" si="15"/>
        <v>0</v>
      </c>
      <c r="G64" s="1928" t="s">
        <v>1674</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2.75">
      <c r="A65" s="636" t="s">
        <v>570</v>
      </c>
      <c r="B65" s="637">
        <f t="shared" si="17"/>
        <v>0</v>
      </c>
      <c r="C65" s="377">
        <f t="shared" si="16"/>
        <v>0</v>
      </c>
      <c r="D65" s="2211">
        <v>0.25</v>
      </c>
      <c r="E65" s="640">
        <f>'数据-汇总表'!E13</f>
        <v>109970</v>
      </c>
      <c r="F65" s="635">
        <f t="shared" si="15"/>
        <v>0</v>
      </c>
      <c r="G65" s="1928" t="s">
        <v>920</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2.75">
      <c r="A66" s="636" t="s">
        <v>571</v>
      </c>
      <c r="B66" s="637">
        <f t="shared" si="17"/>
        <v>0</v>
      </c>
      <c r="C66" s="377">
        <f t="shared" si="16"/>
        <v>0</v>
      </c>
      <c r="D66" s="2211">
        <v>0.25</v>
      </c>
      <c r="E66" s="640">
        <f>'数据-汇总表'!E14</f>
        <v>0</v>
      </c>
      <c r="F66" s="635">
        <f t="shared" si="15"/>
        <v>0</v>
      </c>
      <c r="G66" s="1927" t="s">
        <v>2273</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ht="13.5" thickBot="1">
      <c r="A67" s="636" t="s">
        <v>572</v>
      </c>
      <c r="B67" s="637">
        <f t="shared" si="17"/>
        <v>0</v>
      </c>
      <c r="C67" s="377">
        <f t="shared" si="16"/>
        <v>0</v>
      </c>
      <c r="D67" s="2211">
        <v>0.25</v>
      </c>
      <c r="E67" s="640">
        <f>'数据-汇总表'!E15</f>
        <v>0</v>
      </c>
      <c r="F67" s="635">
        <f t="shared" si="15"/>
        <v>0</v>
      </c>
      <c r="G67" s="1929" t="s">
        <v>2274</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ht="13.5" thickBot="1">
      <c r="A68" s="641" t="s">
        <v>573</v>
      </c>
      <c r="B68" s="642" t="s">
        <v>17</v>
      </c>
      <c r="C68" s="642" t="s">
        <v>18</v>
      </c>
      <c r="D68" s="642" t="s">
        <v>2285</v>
      </c>
      <c r="E68" s="642">
        <f>IF(B48="楼面地价",SUM(E58:E67),'数据-汇总表'!D3)</f>
        <v>434352.25</v>
      </c>
      <c r="F68" s="643">
        <f>IF(B48="楼面地价",SUM(F58:F67),ROUND(C50*E68/10000,0))</f>
        <v>181492</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635" t="str">
        <f>YEAR(C9)&amp;"-"&amp;MONTH(C9)&amp;"-1"</f>
        <v>2020-8-1</v>
      </c>
      <c r="D70" s="2635">
        <f>EDATE(C70,-3)</f>
        <v>43952</v>
      </c>
      <c r="E70" s="2635">
        <f t="shared" ref="E70:N70" si="18">EDATE(D70,-3)</f>
        <v>43862</v>
      </c>
      <c r="F70" s="2635">
        <f t="shared" si="18"/>
        <v>43770</v>
      </c>
      <c r="G70" s="2635">
        <f t="shared" si="18"/>
        <v>43678</v>
      </c>
      <c r="H70" s="2635">
        <f t="shared" si="18"/>
        <v>43586</v>
      </c>
      <c r="I70" s="2635">
        <f t="shared" si="18"/>
        <v>43497</v>
      </c>
      <c r="J70" s="2635">
        <f t="shared" si="18"/>
        <v>43405</v>
      </c>
      <c r="K70" s="2635">
        <f t="shared" si="18"/>
        <v>43313</v>
      </c>
      <c r="L70" s="2635">
        <f t="shared" si="18"/>
        <v>43221</v>
      </c>
      <c r="M70" s="2635">
        <f t="shared" si="18"/>
        <v>43132</v>
      </c>
      <c r="N70" s="2635">
        <f t="shared" si="18"/>
        <v>43040</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5">
      <c r="A72" s="2529" t="s">
        <v>2523</v>
      </c>
      <c r="B72" s="2530"/>
      <c r="C72" s="2632" t="str">
        <f>YEAR(C70)&amp;"-"&amp;ROUNDUP(MONTH(C70)/3,0)</f>
        <v>2020-3</v>
      </c>
      <c r="D72" s="2637" t="str">
        <f>YEAR(D70)&amp;"-"&amp;ROUNDUP(MONTH(D70)/3,0)</f>
        <v>2020-2</v>
      </c>
      <c r="E72" s="2637" t="str">
        <f t="shared" ref="E72:N72" si="19">YEAR(E70)&amp;"-"&amp;ROUNDUP(MONTH(E70)/3,0)</f>
        <v>2020-1</v>
      </c>
      <c r="F72" s="2637" t="str">
        <f t="shared" si="19"/>
        <v>2019-4</v>
      </c>
      <c r="G72" s="2637" t="str">
        <f t="shared" si="19"/>
        <v>2019-3</v>
      </c>
      <c r="H72" s="2637" t="str">
        <f t="shared" si="19"/>
        <v>2019-2</v>
      </c>
      <c r="I72" s="2637" t="str">
        <f t="shared" si="19"/>
        <v>2019-1</v>
      </c>
      <c r="J72" s="2637" t="str">
        <f t="shared" si="19"/>
        <v>2018-4</v>
      </c>
      <c r="K72" s="2637" t="str">
        <f t="shared" si="19"/>
        <v>2018-3</v>
      </c>
      <c r="L72" s="2637" t="str">
        <f t="shared" si="19"/>
        <v>2018-2</v>
      </c>
      <c r="M72" s="2637" t="str">
        <f t="shared" si="19"/>
        <v>2018-1</v>
      </c>
      <c r="N72" s="2637" t="str">
        <f t="shared" si="19"/>
        <v>2017-4</v>
      </c>
      <c r="O72" s="2141"/>
      <c r="P72" s="2142"/>
      <c r="Q72" s="2143"/>
      <c r="R72" s="2143"/>
      <c r="S72" s="2143"/>
      <c r="T72" s="2143"/>
      <c r="U72" s="2143"/>
      <c r="V72" s="2143"/>
      <c r="W72" s="2143"/>
      <c r="X72" s="2143"/>
      <c r="Y72" s="2143"/>
      <c r="Z72" s="2143"/>
      <c r="AA72" s="2143"/>
      <c r="AB72" s="2143"/>
      <c r="AC72" s="2143"/>
    </row>
    <row r="73" spans="1:29" s="1214" customFormat="1" ht="27" customHeight="1">
      <c r="A73" s="2642" t="s">
        <v>2637</v>
      </c>
      <c r="B73" s="478" t="str">
        <f>"北京市平均增长率"&amp;TEXT(SUMIF(基准地价!N21:N25,A73,基准地价!P21:P25),"0.00%")</f>
        <v>北京市平均增长率1.79%</v>
      </c>
      <c r="C73" s="893">
        <v>100</v>
      </c>
      <c r="D73" s="3190">
        <f>C73-$C$74</f>
        <v>99.5</v>
      </c>
      <c r="E73" s="3190">
        <f t="shared" ref="E73:N73" si="20">D73-$C$74</f>
        <v>99</v>
      </c>
      <c r="F73" s="3190">
        <f t="shared" si="20"/>
        <v>98.5</v>
      </c>
      <c r="G73" s="3190">
        <f t="shared" si="20"/>
        <v>98</v>
      </c>
      <c r="H73" s="3190">
        <f t="shared" si="20"/>
        <v>97.5</v>
      </c>
      <c r="I73" s="3190">
        <f t="shared" si="20"/>
        <v>97</v>
      </c>
      <c r="J73" s="3190">
        <f t="shared" si="20"/>
        <v>96.5</v>
      </c>
      <c r="K73" s="3190">
        <f t="shared" si="20"/>
        <v>96</v>
      </c>
      <c r="L73" s="3190">
        <f t="shared" si="20"/>
        <v>95.5</v>
      </c>
      <c r="M73" s="3190">
        <f t="shared" si="20"/>
        <v>95</v>
      </c>
      <c r="N73" s="3190">
        <f t="shared" si="20"/>
        <v>94.5</v>
      </c>
      <c r="O73" s="2144"/>
      <c r="P73" s="2140"/>
      <c r="Q73" s="1975"/>
      <c r="R73" s="1975"/>
      <c r="S73" s="1975"/>
      <c r="T73" s="1975"/>
      <c r="U73" s="1975"/>
      <c r="V73" s="1975"/>
      <c r="W73" s="1975"/>
      <c r="X73" s="1975"/>
      <c r="Y73" s="1975"/>
      <c r="Z73" s="1975"/>
      <c r="AA73" s="1975"/>
      <c r="AB73" s="1975"/>
      <c r="AC73" s="1975"/>
    </row>
    <row r="74" spans="1:29" s="1214" customFormat="1" ht="15" customHeight="1" thickBot="1">
      <c r="A74" s="2633" t="s">
        <v>2636</v>
      </c>
      <c r="B74" s="2641"/>
      <c r="C74" s="2628">
        <v>0.5</v>
      </c>
      <c r="D74" s="2629"/>
      <c r="E74" s="2629"/>
      <c r="F74" s="2629"/>
      <c r="G74" s="2629"/>
      <c r="H74" s="2629"/>
      <c r="I74" s="2629"/>
      <c r="J74" s="2629"/>
      <c r="K74" s="2629"/>
      <c r="L74" s="2629"/>
      <c r="M74" s="2629"/>
      <c r="N74" s="2629"/>
      <c r="O74" s="2144"/>
      <c r="P74" s="2140"/>
      <c r="Q74" s="2140"/>
      <c r="R74" s="1975"/>
      <c r="S74" s="1975"/>
      <c r="T74" s="1975"/>
      <c r="U74" s="1975"/>
      <c r="V74" s="1975"/>
      <c r="W74" s="1975"/>
      <c r="X74" s="1975"/>
      <c r="Y74" s="1975"/>
      <c r="Z74" s="1975"/>
      <c r="AA74" s="1975"/>
      <c r="AB74" s="1975"/>
      <c r="AC74" s="1975"/>
    </row>
    <row r="75" spans="1:29" s="1214" customFormat="1" ht="15">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4" customFormat="1" ht="15.75"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c r="A77" s="663" t="s">
        <v>577</v>
      </c>
      <c r="B77" s="664" t="s">
        <v>534</v>
      </c>
      <c r="C77" s="3191" t="s">
        <v>3036</v>
      </c>
      <c r="D77" s="3191" t="s">
        <v>3249</v>
      </c>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0">
        <v>100</v>
      </c>
      <c r="D78" s="670">
        <v>102</v>
      </c>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7.75"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75" thickTop="1">
      <c r="A81" s="668"/>
      <c r="B81" s="680" t="s">
        <v>538</v>
      </c>
      <c r="C81" s="681" t="str">
        <f>C82&amp;"（含）"&amp;"-"&amp;D82</f>
        <v>0（含）-0.5</v>
      </c>
      <c r="D81" s="681" t="str">
        <f t="shared" ref="D81:L81" si="21">D82&amp;"（含）"&amp;"-"&amp;E82</f>
        <v>0.5（含）-1</v>
      </c>
      <c r="E81" s="681" t="str">
        <f t="shared" si="21"/>
        <v>1（含）-1.5</v>
      </c>
      <c r="F81" s="681" t="str">
        <f t="shared" si="21"/>
        <v>1.5（含）-2</v>
      </c>
      <c r="G81" s="681" t="str">
        <f t="shared" si="21"/>
        <v>2（含）-2.5</v>
      </c>
      <c r="H81" s="681" t="str">
        <f t="shared" si="21"/>
        <v>2.5（含）-</v>
      </c>
      <c r="I81" s="681" t="str">
        <f t="shared" si="21"/>
        <v>（含）-</v>
      </c>
      <c r="J81" s="681" t="str">
        <f t="shared" si="21"/>
        <v>（含）-</v>
      </c>
      <c r="K81" s="681" t="str">
        <f t="shared" si="21"/>
        <v>（含）-</v>
      </c>
      <c r="L81" s="681" t="str">
        <f t="shared" si="21"/>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8"/>
      <c r="B82" s="682"/>
      <c r="C82" s="540">
        <v>0</v>
      </c>
      <c r="D82" s="540">
        <v>0.5</v>
      </c>
      <c r="E82" s="540">
        <v>1</v>
      </c>
      <c r="F82" s="540">
        <v>1.5</v>
      </c>
      <c r="G82" s="540">
        <v>2</v>
      </c>
      <c r="H82" s="540">
        <v>2.5</v>
      </c>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48"/>
      <c r="O83" s="2148"/>
      <c r="P83" s="2147"/>
      <c r="Q83" s="2140"/>
      <c r="R83" s="2127"/>
      <c r="S83" s="2127"/>
      <c r="T83" s="2127"/>
      <c r="U83" s="2127"/>
      <c r="V83" s="2127"/>
      <c r="W83" s="2127"/>
      <c r="X83" s="2127"/>
      <c r="Y83" s="2127"/>
      <c r="Z83" s="2127"/>
      <c r="AA83" s="2127"/>
      <c r="AB83" s="2127"/>
      <c r="AC83" s="2127"/>
    </row>
    <row r="84" spans="1:29" s="1333" customFormat="1" ht="15.75" thickTop="1">
      <c r="A84" s="686"/>
      <c r="B84" s="672" t="str">
        <f>B14</f>
        <v>配建</v>
      </c>
      <c r="C84" s="3194" t="s">
        <v>3265</v>
      </c>
      <c r="D84" s="1369" t="s">
        <v>3266</v>
      </c>
      <c r="E84" s="1370"/>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6"/>
      <c r="B85" s="677"/>
      <c r="C85" s="691">
        <v>100</v>
      </c>
      <c r="D85" s="670">
        <v>110</v>
      </c>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3" customFormat="1" ht="15.75" thickTop="1">
      <c r="A86" s="686"/>
      <c r="B86" s="672" t="str">
        <f>B15</f>
        <v>自持</v>
      </c>
      <c r="C86" s="3194" t="s">
        <v>3265</v>
      </c>
      <c r="D86" s="3194" t="s">
        <v>3266</v>
      </c>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3" customFormat="1" ht="15.75" thickBot="1">
      <c r="A87" s="686"/>
      <c r="B87" s="677"/>
      <c r="C87" s="691">
        <v>100</v>
      </c>
      <c r="D87" s="691">
        <v>105</v>
      </c>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3" customFormat="1" ht="15.75"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3" customFormat="1" ht="15.75"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5.75" thickBot="1">
      <c r="A91" s="668"/>
      <c r="B91" s="677"/>
      <c r="C91" s="678">
        <v>100</v>
      </c>
      <c r="D91" s="678">
        <f>C91-$K17</f>
        <v>98</v>
      </c>
      <c r="E91" s="678">
        <f>D91-$K17</f>
        <v>96</v>
      </c>
      <c r="F91" s="678">
        <f>E91-$K17</f>
        <v>94</v>
      </c>
      <c r="G91" s="678">
        <f>F91-$K17</f>
        <v>92</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7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8">
        <v>100</v>
      </c>
      <c r="D93" s="678">
        <f>C93-$K19</f>
        <v>98</v>
      </c>
      <c r="E93" s="678">
        <f>D93-$K19</f>
        <v>96</v>
      </c>
      <c r="F93" s="678">
        <f>E93-$K19</f>
        <v>94</v>
      </c>
      <c r="G93" s="678">
        <f>F93-$K19</f>
        <v>92</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7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78">
        <v>100</v>
      </c>
      <c r="D95" s="678">
        <f>C95-$K21</f>
        <v>98</v>
      </c>
      <c r="E95" s="678">
        <f>D95-$K21</f>
        <v>96</v>
      </c>
      <c r="F95" s="678">
        <f>E95-$K21</f>
        <v>94</v>
      </c>
      <c r="G95" s="678">
        <f>F95-$K21</f>
        <v>92</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7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78">
        <v>100</v>
      </c>
      <c r="D97" s="678">
        <f>C97-$K23</f>
        <v>98</v>
      </c>
      <c r="E97" s="678">
        <f>D97-$K23</f>
        <v>96</v>
      </c>
      <c r="F97" s="678">
        <f>E97-$K23</f>
        <v>94</v>
      </c>
      <c r="G97" s="678">
        <f>F97-$K23</f>
        <v>92</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4" customFormat="1" ht="27.75"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4" customFormat="1" ht="15.75" thickBot="1">
      <c r="A99" s="708"/>
      <c r="B99" s="677"/>
      <c r="C99" s="711">
        <v>100</v>
      </c>
      <c r="D99" s="678">
        <f>C99-$K25</f>
        <v>98</v>
      </c>
      <c r="E99" s="678">
        <f>D99-$K25</f>
        <v>96</v>
      </c>
      <c r="F99" s="678">
        <f>E99-$K25</f>
        <v>94</v>
      </c>
      <c r="G99" s="678">
        <f>F99-$K25</f>
        <v>92</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4" customFormat="1" ht="27.75"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4"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3" customFormat="1" ht="15.75" thickTop="1">
      <c r="A102" s="686"/>
      <c r="B102" s="1878" t="s">
        <v>2539</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3"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Top="1">
      <c r="A104" s="686"/>
      <c r="B104" s="2558" t="s">
        <v>2541</v>
      </c>
      <c r="C104" s="2559" t="s">
        <v>2542</v>
      </c>
      <c r="D104" s="2559" t="s">
        <v>2543</v>
      </c>
      <c r="E104" s="2559" t="s">
        <v>2544</v>
      </c>
      <c r="F104" s="2559" t="s">
        <v>2545</v>
      </c>
      <c r="G104" s="2559" t="s">
        <v>2546</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3" customFormat="1" ht="15.75" thickBot="1">
      <c r="A105" s="686"/>
      <c r="B105" s="680"/>
      <c r="C105" s="678">
        <v>100</v>
      </c>
      <c r="D105" s="678">
        <f>C105-$K31</f>
        <v>99</v>
      </c>
      <c r="E105" s="678">
        <f>D105-$K31</f>
        <v>98</v>
      </c>
      <c r="F105" s="678">
        <f>E105-$K31</f>
        <v>97</v>
      </c>
      <c r="G105" s="678">
        <f>F105-$K31</f>
        <v>96</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8"/>
      <c r="B108" s="672" t="s">
        <v>548</v>
      </c>
      <c r="C108" s="3194" t="s">
        <v>3268</v>
      </c>
      <c r="D108" s="3194" t="s">
        <v>3269</v>
      </c>
      <c r="E108" s="3194" t="s">
        <v>3270</v>
      </c>
      <c r="F108" s="3194" t="s">
        <v>3271</v>
      </c>
      <c r="G108" s="3194" t="s">
        <v>3272</v>
      </c>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5"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3" customFormat="1" ht="15"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3" customFormat="1" ht="15.75"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8.5">
      <c r="A118" s="663" t="s">
        <v>551</v>
      </c>
      <c r="B118" s="664" t="s">
        <v>593</v>
      </c>
      <c r="C118" s="703" t="str">
        <f t="shared" ref="C118:L118" si="26">C119&amp;"(含)"&amp;"-"&amp;D119</f>
        <v>0(含)-50000</v>
      </c>
      <c r="D118" s="703" t="str">
        <f t="shared" si="26"/>
        <v>50000(含)-100000</v>
      </c>
      <c r="E118" s="703" t="str">
        <f t="shared" si="26"/>
        <v>100000(含)-150000</v>
      </c>
      <c r="F118" s="703" t="str">
        <f t="shared" si="26"/>
        <v>150000(含)-200000</v>
      </c>
      <c r="G118" s="703" t="str">
        <f t="shared" si="26"/>
        <v>200000(含)-</v>
      </c>
      <c r="H118" s="703" t="str">
        <f t="shared" si="26"/>
        <v>(含)-</v>
      </c>
      <c r="I118" s="703" t="str">
        <f t="shared" si="26"/>
        <v>(含)-</v>
      </c>
      <c r="J118" s="2918" t="str">
        <f t="shared" si="26"/>
        <v>(含)-</v>
      </c>
      <c r="K118" s="2918" t="str">
        <f t="shared" si="26"/>
        <v>(含)-</v>
      </c>
      <c r="L118" s="2919" t="str">
        <f t="shared" si="26"/>
        <v>(含)-</v>
      </c>
      <c r="M118" s="2920"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8"/>
      <c r="B119" s="680"/>
      <c r="C119" s="729">
        <v>0</v>
      </c>
      <c r="D119" s="729">
        <v>50000</v>
      </c>
      <c r="E119" s="729">
        <v>100000</v>
      </c>
      <c r="F119" s="729">
        <v>150000</v>
      </c>
      <c r="G119" s="729">
        <v>200000</v>
      </c>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8"/>
      <c r="B120" s="677"/>
      <c r="C120" s="699">
        <v>100</v>
      </c>
      <c r="D120" s="725">
        <v>101</v>
      </c>
      <c r="E120" s="725">
        <v>102</v>
      </c>
      <c r="F120" s="725">
        <v>103</v>
      </c>
      <c r="G120" s="725">
        <v>104</v>
      </c>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3195" t="s">
        <v>3261</v>
      </c>
      <c r="D121" s="3195" t="s">
        <v>3262</v>
      </c>
      <c r="E121" s="3195" t="s">
        <v>3263</v>
      </c>
      <c r="F121" s="3195" t="s">
        <v>3264</v>
      </c>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687"/>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7"/>
      <c r="B125" s="1878" t="s">
        <v>2416</v>
      </c>
      <c r="C125" s="1369" t="s">
        <v>3255</v>
      </c>
      <c r="D125" s="1369" t="s">
        <v>3256</v>
      </c>
      <c r="E125" s="1369" t="s">
        <v>3257</v>
      </c>
      <c r="F125" s="1369" t="s">
        <v>3259</v>
      </c>
      <c r="G125" s="1369"/>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3"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3194" t="s">
        <v>3253</v>
      </c>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5"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5.75"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3" customFormat="1" ht="15"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3" customFormat="1" ht="15.75"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1895</v>
      </c>
      <c r="B36" s="1636" t="s">
        <v>1896</v>
      </c>
    </row>
    <row r="37" spans="1:9" ht="28.5" customHeight="1">
      <c r="A37" s="1636"/>
      <c r="B37" s="3221" t="str">
        <f>项目基本情况!B1</f>
        <v>出让国有建设用地使用权抵押价格预评估</v>
      </c>
      <c r="C37" s="3221"/>
      <c r="D37" s="3221"/>
      <c r="E37" s="3221"/>
      <c r="F37" s="3221"/>
      <c r="G37" s="3221"/>
      <c r="H37" s="3221"/>
      <c r="I37" s="3221"/>
    </row>
    <row r="38" spans="1:9">
      <c r="A38" s="1638"/>
      <c r="B38" s="1638"/>
    </row>
    <row r="39" spans="1:9">
      <c r="A39" s="1636" t="s">
        <v>1895</v>
      </c>
      <c r="B39" s="1636" t="s">
        <v>2038</v>
      </c>
    </row>
    <row r="40" spans="1:9">
      <c r="A40" s="1636"/>
      <c r="B40" s="1636">
        <f>项目基本情况!B5</f>
        <v>0</v>
      </c>
    </row>
    <row r="41" spans="1:9">
      <c r="A41" s="1636"/>
      <c r="B41" s="1636"/>
    </row>
    <row r="42" spans="1:9">
      <c r="A42" s="1636" t="s">
        <v>1895</v>
      </c>
      <c r="B42" s="1636" t="s">
        <v>2039</v>
      </c>
    </row>
    <row r="43" spans="1:9">
      <c r="A43" s="1636"/>
      <c r="B43" s="1636" t="s">
        <v>1897</v>
      </c>
    </row>
    <row r="44" spans="1:9">
      <c r="A44" s="1636"/>
      <c r="B44" s="1636"/>
    </row>
    <row r="45" spans="1:9">
      <c r="A45" s="1636" t="s">
        <v>1895</v>
      </c>
      <c r="B45" s="1636" t="s">
        <v>2037</v>
      </c>
    </row>
    <row r="46" spans="1:9" s="1636" customFormat="1" ht="12.75">
      <c r="B46" s="1636" t="str">
        <f>项目基本情况!K4</f>
        <v>土地估价师、土地估价师</v>
      </c>
    </row>
    <row r="47" spans="1:9">
      <c r="A47" s="1636"/>
      <c r="B47" s="1636"/>
    </row>
    <row r="48" spans="1:9">
      <c r="A48" s="1636" t="s">
        <v>1895</v>
      </c>
      <c r="B48" s="1636" t="s">
        <v>2040</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pageSetUpPr autoPageBreaks="0" fitToPage="1"/>
  </sheetPr>
  <dimension ref="A1:P60"/>
  <sheetViews>
    <sheetView workbookViewId="0">
      <selection activeCell="O106" sqref="O106"/>
    </sheetView>
  </sheetViews>
  <sheetFormatPr defaultRowHeight="12.75"/>
  <cols>
    <col min="1" max="1" width="31" style="3192" customWidth="1"/>
    <col min="2" max="2" width="6.25" style="3192" customWidth="1"/>
    <col min="3" max="5" width="13.875" style="3192" customWidth="1"/>
    <col min="6" max="6" width="12.5" style="3192" customWidth="1"/>
    <col min="7" max="7" width="7.875" style="3192" customWidth="1"/>
    <col min="8" max="8" width="11.125" style="3192" customWidth="1"/>
    <col min="9" max="9" width="9" style="3192" customWidth="1"/>
    <col min="10" max="10" width="11.875" style="3192" customWidth="1"/>
    <col min="11" max="12" width="10.625" style="3192" customWidth="1"/>
    <col min="13" max="13" width="14.375" style="3192" customWidth="1"/>
    <col min="14" max="14" width="6.25" style="3192" customWidth="1"/>
    <col min="15" max="15" width="31" style="3192" customWidth="1"/>
    <col min="16" max="16" width="7.875" style="3192" customWidth="1"/>
    <col min="17" max="256" width="9" style="3192"/>
    <col min="257" max="257" width="31" style="3192" customWidth="1"/>
    <col min="258" max="258" width="6.25" style="3192" customWidth="1"/>
    <col min="259" max="261" width="13.875" style="3192" customWidth="1"/>
    <col min="262" max="262" width="12.5" style="3192" customWidth="1"/>
    <col min="263" max="263" width="7.875" style="3192" customWidth="1"/>
    <col min="264" max="264" width="11.125" style="3192" customWidth="1"/>
    <col min="265" max="266" width="9" style="3192" customWidth="1"/>
    <col min="267" max="268" width="10.625" style="3192" customWidth="1"/>
    <col min="269" max="269" width="14.375" style="3192" customWidth="1"/>
    <col min="270" max="270" width="6.25" style="3192" customWidth="1"/>
    <col min="271" max="271" width="31" style="3192" customWidth="1"/>
    <col min="272" max="272" width="7.875" style="3192" customWidth="1"/>
    <col min="273" max="512" width="9" style="3192"/>
    <col min="513" max="513" width="31" style="3192" customWidth="1"/>
    <col min="514" max="514" width="6.25" style="3192" customWidth="1"/>
    <col min="515" max="517" width="13.875" style="3192" customWidth="1"/>
    <col min="518" max="518" width="12.5" style="3192" customWidth="1"/>
    <col min="519" max="519" width="7.875" style="3192" customWidth="1"/>
    <col min="520" max="520" width="11.125" style="3192" customWidth="1"/>
    <col min="521" max="522" width="9" style="3192" customWidth="1"/>
    <col min="523" max="524" width="10.625" style="3192" customWidth="1"/>
    <col min="525" max="525" width="14.375" style="3192" customWidth="1"/>
    <col min="526" max="526" width="6.25" style="3192" customWidth="1"/>
    <col min="527" max="527" width="31" style="3192" customWidth="1"/>
    <col min="528" max="528" width="7.875" style="3192" customWidth="1"/>
    <col min="529" max="768" width="9" style="3192"/>
    <col min="769" max="769" width="31" style="3192" customWidth="1"/>
    <col min="770" max="770" width="6.25" style="3192" customWidth="1"/>
    <col min="771" max="773" width="13.875" style="3192" customWidth="1"/>
    <col min="774" max="774" width="12.5" style="3192" customWidth="1"/>
    <col min="775" max="775" width="7.875" style="3192" customWidth="1"/>
    <col min="776" max="776" width="11.125" style="3192" customWidth="1"/>
    <col min="777" max="778" width="9" style="3192" customWidth="1"/>
    <col min="779" max="780" width="10.625" style="3192" customWidth="1"/>
    <col min="781" max="781" width="14.375" style="3192" customWidth="1"/>
    <col min="782" max="782" width="6.25" style="3192" customWidth="1"/>
    <col min="783" max="783" width="31" style="3192" customWidth="1"/>
    <col min="784" max="784" width="7.875" style="3192" customWidth="1"/>
    <col min="785" max="1024" width="9" style="3192"/>
    <col min="1025" max="1025" width="31" style="3192" customWidth="1"/>
    <col min="1026" max="1026" width="6.25" style="3192" customWidth="1"/>
    <col min="1027" max="1029" width="13.875" style="3192" customWidth="1"/>
    <col min="1030" max="1030" width="12.5" style="3192" customWidth="1"/>
    <col min="1031" max="1031" width="7.875" style="3192" customWidth="1"/>
    <col min="1032" max="1032" width="11.125" style="3192" customWidth="1"/>
    <col min="1033" max="1034" width="9" style="3192" customWidth="1"/>
    <col min="1035" max="1036" width="10.625" style="3192" customWidth="1"/>
    <col min="1037" max="1037" width="14.375" style="3192" customWidth="1"/>
    <col min="1038" max="1038" width="6.25" style="3192" customWidth="1"/>
    <col min="1039" max="1039" width="31" style="3192" customWidth="1"/>
    <col min="1040" max="1040" width="7.875" style="3192" customWidth="1"/>
    <col min="1041" max="1280" width="9" style="3192"/>
    <col min="1281" max="1281" width="31" style="3192" customWidth="1"/>
    <col min="1282" max="1282" width="6.25" style="3192" customWidth="1"/>
    <col min="1283" max="1285" width="13.875" style="3192" customWidth="1"/>
    <col min="1286" max="1286" width="12.5" style="3192" customWidth="1"/>
    <col min="1287" max="1287" width="7.875" style="3192" customWidth="1"/>
    <col min="1288" max="1288" width="11.125" style="3192" customWidth="1"/>
    <col min="1289" max="1290" width="9" style="3192" customWidth="1"/>
    <col min="1291" max="1292" width="10.625" style="3192" customWidth="1"/>
    <col min="1293" max="1293" width="14.375" style="3192" customWidth="1"/>
    <col min="1294" max="1294" width="6.25" style="3192" customWidth="1"/>
    <col min="1295" max="1295" width="31" style="3192" customWidth="1"/>
    <col min="1296" max="1296" width="7.875" style="3192" customWidth="1"/>
    <col min="1297" max="1536" width="9" style="3192"/>
    <col min="1537" max="1537" width="31" style="3192" customWidth="1"/>
    <col min="1538" max="1538" width="6.25" style="3192" customWidth="1"/>
    <col min="1539" max="1541" width="13.875" style="3192" customWidth="1"/>
    <col min="1542" max="1542" width="12.5" style="3192" customWidth="1"/>
    <col min="1543" max="1543" width="7.875" style="3192" customWidth="1"/>
    <col min="1544" max="1544" width="11.125" style="3192" customWidth="1"/>
    <col min="1545" max="1546" width="9" style="3192" customWidth="1"/>
    <col min="1547" max="1548" width="10.625" style="3192" customWidth="1"/>
    <col min="1549" max="1549" width="14.375" style="3192" customWidth="1"/>
    <col min="1550" max="1550" width="6.25" style="3192" customWidth="1"/>
    <col min="1551" max="1551" width="31" style="3192" customWidth="1"/>
    <col min="1552" max="1552" width="7.875" style="3192" customWidth="1"/>
    <col min="1553" max="1792" width="9" style="3192"/>
    <col min="1793" max="1793" width="31" style="3192" customWidth="1"/>
    <col min="1794" max="1794" width="6.25" style="3192" customWidth="1"/>
    <col min="1795" max="1797" width="13.875" style="3192" customWidth="1"/>
    <col min="1798" max="1798" width="12.5" style="3192" customWidth="1"/>
    <col min="1799" max="1799" width="7.875" style="3192" customWidth="1"/>
    <col min="1800" max="1800" width="11.125" style="3192" customWidth="1"/>
    <col min="1801" max="1802" width="9" style="3192" customWidth="1"/>
    <col min="1803" max="1804" width="10.625" style="3192" customWidth="1"/>
    <col min="1805" max="1805" width="14.375" style="3192" customWidth="1"/>
    <col min="1806" max="1806" width="6.25" style="3192" customWidth="1"/>
    <col min="1807" max="1807" width="31" style="3192" customWidth="1"/>
    <col min="1808" max="1808" width="7.875" style="3192" customWidth="1"/>
    <col min="1809" max="2048" width="9" style="3192"/>
    <col min="2049" max="2049" width="31" style="3192" customWidth="1"/>
    <col min="2050" max="2050" width="6.25" style="3192" customWidth="1"/>
    <col min="2051" max="2053" width="13.875" style="3192" customWidth="1"/>
    <col min="2054" max="2054" width="12.5" style="3192" customWidth="1"/>
    <col min="2055" max="2055" width="7.875" style="3192" customWidth="1"/>
    <col min="2056" max="2056" width="11.125" style="3192" customWidth="1"/>
    <col min="2057" max="2058" width="9" style="3192" customWidth="1"/>
    <col min="2059" max="2060" width="10.625" style="3192" customWidth="1"/>
    <col min="2061" max="2061" width="14.375" style="3192" customWidth="1"/>
    <col min="2062" max="2062" width="6.25" style="3192" customWidth="1"/>
    <col min="2063" max="2063" width="31" style="3192" customWidth="1"/>
    <col min="2064" max="2064" width="7.875" style="3192" customWidth="1"/>
    <col min="2065" max="2304" width="9" style="3192"/>
    <col min="2305" max="2305" width="31" style="3192" customWidth="1"/>
    <col min="2306" max="2306" width="6.25" style="3192" customWidth="1"/>
    <col min="2307" max="2309" width="13.875" style="3192" customWidth="1"/>
    <col min="2310" max="2310" width="12.5" style="3192" customWidth="1"/>
    <col min="2311" max="2311" width="7.875" style="3192" customWidth="1"/>
    <col min="2312" max="2312" width="11.125" style="3192" customWidth="1"/>
    <col min="2313" max="2314" width="9" style="3192" customWidth="1"/>
    <col min="2315" max="2316" width="10.625" style="3192" customWidth="1"/>
    <col min="2317" max="2317" width="14.375" style="3192" customWidth="1"/>
    <col min="2318" max="2318" width="6.25" style="3192" customWidth="1"/>
    <col min="2319" max="2319" width="31" style="3192" customWidth="1"/>
    <col min="2320" max="2320" width="7.875" style="3192" customWidth="1"/>
    <col min="2321" max="2560" width="9" style="3192"/>
    <col min="2561" max="2561" width="31" style="3192" customWidth="1"/>
    <col min="2562" max="2562" width="6.25" style="3192" customWidth="1"/>
    <col min="2563" max="2565" width="13.875" style="3192" customWidth="1"/>
    <col min="2566" max="2566" width="12.5" style="3192" customWidth="1"/>
    <col min="2567" max="2567" width="7.875" style="3192" customWidth="1"/>
    <col min="2568" max="2568" width="11.125" style="3192" customWidth="1"/>
    <col min="2569" max="2570" width="9" style="3192" customWidth="1"/>
    <col min="2571" max="2572" width="10.625" style="3192" customWidth="1"/>
    <col min="2573" max="2573" width="14.375" style="3192" customWidth="1"/>
    <col min="2574" max="2574" width="6.25" style="3192" customWidth="1"/>
    <col min="2575" max="2575" width="31" style="3192" customWidth="1"/>
    <col min="2576" max="2576" width="7.875" style="3192" customWidth="1"/>
    <col min="2577" max="2816" width="9" style="3192"/>
    <col min="2817" max="2817" width="31" style="3192" customWidth="1"/>
    <col min="2818" max="2818" width="6.25" style="3192" customWidth="1"/>
    <col min="2819" max="2821" width="13.875" style="3192" customWidth="1"/>
    <col min="2822" max="2822" width="12.5" style="3192" customWidth="1"/>
    <col min="2823" max="2823" width="7.875" style="3192" customWidth="1"/>
    <col min="2824" max="2824" width="11.125" style="3192" customWidth="1"/>
    <col min="2825" max="2826" width="9" style="3192" customWidth="1"/>
    <col min="2827" max="2828" width="10.625" style="3192" customWidth="1"/>
    <col min="2829" max="2829" width="14.375" style="3192" customWidth="1"/>
    <col min="2830" max="2830" width="6.25" style="3192" customWidth="1"/>
    <col min="2831" max="2831" width="31" style="3192" customWidth="1"/>
    <col min="2832" max="2832" width="7.875" style="3192" customWidth="1"/>
    <col min="2833" max="3072" width="9" style="3192"/>
    <col min="3073" max="3073" width="31" style="3192" customWidth="1"/>
    <col min="3074" max="3074" width="6.25" style="3192" customWidth="1"/>
    <col min="3075" max="3077" width="13.875" style="3192" customWidth="1"/>
    <col min="3078" max="3078" width="12.5" style="3192" customWidth="1"/>
    <col min="3079" max="3079" width="7.875" style="3192" customWidth="1"/>
    <col min="3080" max="3080" width="11.125" style="3192" customWidth="1"/>
    <col min="3081" max="3082" width="9" style="3192" customWidth="1"/>
    <col min="3083" max="3084" width="10.625" style="3192" customWidth="1"/>
    <col min="3085" max="3085" width="14.375" style="3192" customWidth="1"/>
    <col min="3086" max="3086" width="6.25" style="3192" customWidth="1"/>
    <col min="3087" max="3087" width="31" style="3192" customWidth="1"/>
    <col min="3088" max="3088" width="7.875" style="3192" customWidth="1"/>
    <col min="3089" max="3328" width="9" style="3192"/>
    <col min="3329" max="3329" width="31" style="3192" customWidth="1"/>
    <col min="3330" max="3330" width="6.25" style="3192" customWidth="1"/>
    <col min="3331" max="3333" width="13.875" style="3192" customWidth="1"/>
    <col min="3334" max="3334" width="12.5" style="3192" customWidth="1"/>
    <col min="3335" max="3335" width="7.875" style="3192" customWidth="1"/>
    <col min="3336" max="3336" width="11.125" style="3192" customWidth="1"/>
    <col min="3337" max="3338" width="9" style="3192" customWidth="1"/>
    <col min="3339" max="3340" width="10.625" style="3192" customWidth="1"/>
    <col min="3341" max="3341" width="14.375" style="3192" customWidth="1"/>
    <col min="3342" max="3342" width="6.25" style="3192" customWidth="1"/>
    <col min="3343" max="3343" width="31" style="3192" customWidth="1"/>
    <col min="3344" max="3344" width="7.875" style="3192" customWidth="1"/>
    <col min="3345" max="3584" width="9" style="3192"/>
    <col min="3585" max="3585" width="31" style="3192" customWidth="1"/>
    <col min="3586" max="3586" width="6.25" style="3192" customWidth="1"/>
    <col min="3587" max="3589" width="13.875" style="3192" customWidth="1"/>
    <col min="3590" max="3590" width="12.5" style="3192" customWidth="1"/>
    <col min="3591" max="3591" width="7.875" style="3192" customWidth="1"/>
    <col min="3592" max="3592" width="11.125" style="3192" customWidth="1"/>
    <col min="3593" max="3594" width="9" style="3192" customWidth="1"/>
    <col min="3595" max="3596" width="10.625" style="3192" customWidth="1"/>
    <col min="3597" max="3597" width="14.375" style="3192" customWidth="1"/>
    <col min="3598" max="3598" width="6.25" style="3192" customWidth="1"/>
    <col min="3599" max="3599" width="31" style="3192" customWidth="1"/>
    <col min="3600" max="3600" width="7.875" style="3192" customWidth="1"/>
    <col min="3601" max="3840" width="9" style="3192"/>
    <col min="3841" max="3841" width="31" style="3192" customWidth="1"/>
    <col min="3842" max="3842" width="6.25" style="3192" customWidth="1"/>
    <col min="3843" max="3845" width="13.875" style="3192" customWidth="1"/>
    <col min="3846" max="3846" width="12.5" style="3192" customWidth="1"/>
    <col min="3847" max="3847" width="7.875" style="3192" customWidth="1"/>
    <col min="3848" max="3848" width="11.125" style="3192" customWidth="1"/>
    <col min="3849" max="3850" width="9" style="3192" customWidth="1"/>
    <col min="3851" max="3852" width="10.625" style="3192" customWidth="1"/>
    <col min="3853" max="3853" width="14.375" style="3192" customWidth="1"/>
    <col min="3854" max="3854" width="6.25" style="3192" customWidth="1"/>
    <col min="3855" max="3855" width="31" style="3192" customWidth="1"/>
    <col min="3856" max="3856" width="7.875" style="3192" customWidth="1"/>
    <col min="3857" max="4096" width="9" style="3192"/>
    <col min="4097" max="4097" width="31" style="3192" customWidth="1"/>
    <col min="4098" max="4098" width="6.25" style="3192" customWidth="1"/>
    <col min="4099" max="4101" width="13.875" style="3192" customWidth="1"/>
    <col min="4102" max="4102" width="12.5" style="3192" customWidth="1"/>
    <col min="4103" max="4103" width="7.875" style="3192" customWidth="1"/>
    <col min="4104" max="4104" width="11.125" style="3192" customWidth="1"/>
    <col min="4105" max="4106" width="9" style="3192" customWidth="1"/>
    <col min="4107" max="4108" width="10.625" style="3192" customWidth="1"/>
    <col min="4109" max="4109" width="14.375" style="3192" customWidth="1"/>
    <col min="4110" max="4110" width="6.25" style="3192" customWidth="1"/>
    <col min="4111" max="4111" width="31" style="3192" customWidth="1"/>
    <col min="4112" max="4112" width="7.875" style="3192" customWidth="1"/>
    <col min="4113" max="4352" width="9" style="3192"/>
    <col min="4353" max="4353" width="31" style="3192" customWidth="1"/>
    <col min="4354" max="4354" width="6.25" style="3192" customWidth="1"/>
    <col min="4355" max="4357" width="13.875" style="3192" customWidth="1"/>
    <col min="4358" max="4358" width="12.5" style="3192" customWidth="1"/>
    <col min="4359" max="4359" width="7.875" style="3192" customWidth="1"/>
    <col min="4360" max="4360" width="11.125" style="3192" customWidth="1"/>
    <col min="4361" max="4362" width="9" style="3192" customWidth="1"/>
    <col min="4363" max="4364" width="10.625" style="3192" customWidth="1"/>
    <col min="4365" max="4365" width="14.375" style="3192" customWidth="1"/>
    <col min="4366" max="4366" width="6.25" style="3192" customWidth="1"/>
    <col min="4367" max="4367" width="31" style="3192" customWidth="1"/>
    <col min="4368" max="4368" width="7.875" style="3192" customWidth="1"/>
    <col min="4369" max="4608" width="9" style="3192"/>
    <col min="4609" max="4609" width="31" style="3192" customWidth="1"/>
    <col min="4610" max="4610" width="6.25" style="3192" customWidth="1"/>
    <col min="4611" max="4613" width="13.875" style="3192" customWidth="1"/>
    <col min="4614" max="4614" width="12.5" style="3192" customWidth="1"/>
    <col min="4615" max="4615" width="7.875" style="3192" customWidth="1"/>
    <col min="4616" max="4616" width="11.125" style="3192" customWidth="1"/>
    <col min="4617" max="4618" width="9" style="3192" customWidth="1"/>
    <col min="4619" max="4620" width="10.625" style="3192" customWidth="1"/>
    <col min="4621" max="4621" width="14.375" style="3192" customWidth="1"/>
    <col min="4622" max="4622" width="6.25" style="3192" customWidth="1"/>
    <col min="4623" max="4623" width="31" style="3192" customWidth="1"/>
    <col min="4624" max="4624" width="7.875" style="3192" customWidth="1"/>
    <col min="4625" max="4864" width="9" style="3192"/>
    <col min="4865" max="4865" width="31" style="3192" customWidth="1"/>
    <col min="4866" max="4866" width="6.25" style="3192" customWidth="1"/>
    <col min="4867" max="4869" width="13.875" style="3192" customWidth="1"/>
    <col min="4870" max="4870" width="12.5" style="3192" customWidth="1"/>
    <col min="4871" max="4871" width="7.875" style="3192" customWidth="1"/>
    <col min="4872" max="4872" width="11.125" style="3192" customWidth="1"/>
    <col min="4873" max="4874" width="9" style="3192" customWidth="1"/>
    <col min="4875" max="4876" width="10.625" style="3192" customWidth="1"/>
    <col min="4877" max="4877" width="14.375" style="3192" customWidth="1"/>
    <col min="4878" max="4878" width="6.25" style="3192" customWidth="1"/>
    <col min="4879" max="4879" width="31" style="3192" customWidth="1"/>
    <col min="4880" max="4880" width="7.875" style="3192" customWidth="1"/>
    <col min="4881" max="5120" width="9" style="3192"/>
    <col min="5121" max="5121" width="31" style="3192" customWidth="1"/>
    <col min="5122" max="5122" width="6.25" style="3192" customWidth="1"/>
    <col min="5123" max="5125" width="13.875" style="3192" customWidth="1"/>
    <col min="5126" max="5126" width="12.5" style="3192" customWidth="1"/>
    <col min="5127" max="5127" width="7.875" style="3192" customWidth="1"/>
    <col min="5128" max="5128" width="11.125" style="3192" customWidth="1"/>
    <col min="5129" max="5130" width="9" style="3192" customWidth="1"/>
    <col min="5131" max="5132" width="10.625" style="3192" customWidth="1"/>
    <col min="5133" max="5133" width="14.375" style="3192" customWidth="1"/>
    <col min="5134" max="5134" width="6.25" style="3192" customWidth="1"/>
    <col min="5135" max="5135" width="31" style="3192" customWidth="1"/>
    <col min="5136" max="5136" width="7.875" style="3192" customWidth="1"/>
    <col min="5137" max="5376" width="9" style="3192"/>
    <col min="5377" max="5377" width="31" style="3192" customWidth="1"/>
    <col min="5378" max="5378" width="6.25" style="3192" customWidth="1"/>
    <col min="5379" max="5381" width="13.875" style="3192" customWidth="1"/>
    <col min="5382" max="5382" width="12.5" style="3192" customWidth="1"/>
    <col min="5383" max="5383" width="7.875" style="3192" customWidth="1"/>
    <col min="5384" max="5384" width="11.125" style="3192" customWidth="1"/>
    <col min="5385" max="5386" width="9" style="3192" customWidth="1"/>
    <col min="5387" max="5388" width="10.625" style="3192" customWidth="1"/>
    <col min="5389" max="5389" width="14.375" style="3192" customWidth="1"/>
    <col min="5390" max="5390" width="6.25" style="3192" customWidth="1"/>
    <col min="5391" max="5391" width="31" style="3192" customWidth="1"/>
    <col min="5392" max="5392" width="7.875" style="3192" customWidth="1"/>
    <col min="5393" max="5632" width="9" style="3192"/>
    <col min="5633" max="5633" width="31" style="3192" customWidth="1"/>
    <col min="5634" max="5634" width="6.25" style="3192" customWidth="1"/>
    <col min="5635" max="5637" width="13.875" style="3192" customWidth="1"/>
    <col min="5638" max="5638" width="12.5" style="3192" customWidth="1"/>
    <col min="5639" max="5639" width="7.875" style="3192" customWidth="1"/>
    <col min="5640" max="5640" width="11.125" style="3192" customWidth="1"/>
    <col min="5641" max="5642" width="9" style="3192" customWidth="1"/>
    <col min="5643" max="5644" width="10.625" style="3192" customWidth="1"/>
    <col min="5645" max="5645" width="14.375" style="3192" customWidth="1"/>
    <col min="5646" max="5646" width="6.25" style="3192" customWidth="1"/>
    <col min="5647" max="5647" width="31" style="3192" customWidth="1"/>
    <col min="5648" max="5648" width="7.875" style="3192" customWidth="1"/>
    <col min="5649" max="5888" width="9" style="3192"/>
    <col min="5889" max="5889" width="31" style="3192" customWidth="1"/>
    <col min="5890" max="5890" width="6.25" style="3192" customWidth="1"/>
    <col min="5891" max="5893" width="13.875" style="3192" customWidth="1"/>
    <col min="5894" max="5894" width="12.5" style="3192" customWidth="1"/>
    <col min="5895" max="5895" width="7.875" style="3192" customWidth="1"/>
    <col min="5896" max="5896" width="11.125" style="3192" customWidth="1"/>
    <col min="5897" max="5898" width="9" style="3192" customWidth="1"/>
    <col min="5899" max="5900" width="10.625" style="3192" customWidth="1"/>
    <col min="5901" max="5901" width="14.375" style="3192" customWidth="1"/>
    <col min="5902" max="5902" width="6.25" style="3192" customWidth="1"/>
    <col min="5903" max="5903" width="31" style="3192" customWidth="1"/>
    <col min="5904" max="5904" width="7.875" style="3192" customWidth="1"/>
    <col min="5905" max="6144" width="9" style="3192"/>
    <col min="6145" max="6145" width="31" style="3192" customWidth="1"/>
    <col min="6146" max="6146" width="6.25" style="3192" customWidth="1"/>
    <col min="6147" max="6149" width="13.875" style="3192" customWidth="1"/>
    <col min="6150" max="6150" width="12.5" style="3192" customWidth="1"/>
    <col min="6151" max="6151" width="7.875" style="3192" customWidth="1"/>
    <col min="6152" max="6152" width="11.125" style="3192" customWidth="1"/>
    <col min="6153" max="6154" width="9" style="3192" customWidth="1"/>
    <col min="6155" max="6156" width="10.625" style="3192" customWidth="1"/>
    <col min="6157" max="6157" width="14.375" style="3192" customWidth="1"/>
    <col min="6158" max="6158" width="6.25" style="3192" customWidth="1"/>
    <col min="6159" max="6159" width="31" style="3192" customWidth="1"/>
    <col min="6160" max="6160" width="7.875" style="3192" customWidth="1"/>
    <col min="6161" max="6400" width="9" style="3192"/>
    <col min="6401" max="6401" width="31" style="3192" customWidth="1"/>
    <col min="6402" max="6402" width="6.25" style="3192" customWidth="1"/>
    <col min="6403" max="6405" width="13.875" style="3192" customWidth="1"/>
    <col min="6406" max="6406" width="12.5" style="3192" customWidth="1"/>
    <col min="6407" max="6407" width="7.875" style="3192" customWidth="1"/>
    <col min="6408" max="6408" width="11.125" style="3192" customWidth="1"/>
    <col min="6409" max="6410" width="9" style="3192" customWidth="1"/>
    <col min="6411" max="6412" width="10.625" style="3192" customWidth="1"/>
    <col min="6413" max="6413" width="14.375" style="3192" customWidth="1"/>
    <col min="6414" max="6414" width="6.25" style="3192" customWidth="1"/>
    <col min="6415" max="6415" width="31" style="3192" customWidth="1"/>
    <col min="6416" max="6416" width="7.875" style="3192" customWidth="1"/>
    <col min="6417" max="6656" width="9" style="3192"/>
    <col min="6657" max="6657" width="31" style="3192" customWidth="1"/>
    <col min="6658" max="6658" width="6.25" style="3192" customWidth="1"/>
    <col min="6659" max="6661" width="13.875" style="3192" customWidth="1"/>
    <col min="6662" max="6662" width="12.5" style="3192" customWidth="1"/>
    <col min="6663" max="6663" width="7.875" style="3192" customWidth="1"/>
    <col min="6664" max="6664" width="11.125" style="3192" customWidth="1"/>
    <col min="6665" max="6666" width="9" style="3192" customWidth="1"/>
    <col min="6667" max="6668" width="10.625" style="3192" customWidth="1"/>
    <col min="6669" max="6669" width="14.375" style="3192" customWidth="1"/>
    <col min="6670" max="6670" width="6.25" style="3192" customWidth="1"/>
    <col min="6671" max="6671" width="31" style="3192" customWidth="1"/>
    <col min="6672" max="6672" width="7.875" style="3192" customWidth="1"/>
    <col min="6673" max="6912" width="9" style="3192"/>
    <col min="6913" max="6913" width="31" style="3192" customWidth="1"/>
    <col min="6914" max="6914" width="6.25" style="3192" customWidth="1"/>
    <col min="6915" max="6917" width="13.875" style="3192" customWidth="1"/>
    <col min="6918" max="6918" width="12.5" style="3192" customWidth="1"/>
    <col min="6919" max="6919" width="7.875" style="3192" customWidth="1"/>
    <col min="6920" max="6920" width="11.125" style="3192" customWidth="1"/>
    <col min="6921" max="6922" width="9" style="3192" customWidth="1"/>
    <col min="6923" max="6924" width="10.625" style="3192" customWidth="1"/>
    <col min="6925" max="6925" width="14.375" style="3192" customWidth="1"/>
    <col min="6926" max="6926" width="6.25" style="3192" customWidth="1"/>
    <col min="6927" max="6927" width="31" style="3192" customWidth="1"/>
    <col min="6928" max="6928" width="7.875" style="3192" customWidth="1"/>
    <col min="6929" max="7168" width="9" style="3192"/>
    <col min="7169" max="7169" width="31" style="3192" customWidth="1"/>
    <col min="7170" max="7170" width="6.25" style="3192" customWidth="1"/>
    <col min="7171" max="7173" width="13.875" style="3192" customWidth="1"/>
    <col min="7174" max="7174" width="12.5" style="3192" customWidth="1"/>
    <col min="7175" max="7175" width="7.875" style="3192" customWidth="1"/>
    <col min="7176" max="7176" width="11.125" style="3192" customWidth="1"/>
    <col min="7177" max="7178" width="9" style="3192" customWidth="1"/>
    <col min="7179" max="7180" width="10.625" style="3192" customWidth="1"/>
    <col min="7181" max="7181" width="14.375" style="3192" customWidth="1"/>
    <col min="7182" max="7182" width="6.25" style="3192" customWidth="1"/>
    <col min="7183" max="7183" width="31" style="3192" customWidth="1"/>
    <col min="7184" max="7184" width="7.875" style="3192" customWidth="1"/>
    <col min="7185" max="7424" width="9" style="3192"/>
    <col min="7425" max="7425" width="31" style="3192" customWidth="1"/>
    <col min="7426" max="7426" width="6.25" style="3192" customWidth="1"/>
    <col min="7427" max="7429" width="13.875" style="3192" customWidth="1"/>
    <col min="7430" max="7430" width="12.5" style="3192" customWidth="1"/>
    <col min="7431" max="7431" width="7.875" style="3192" customWidth="1"/>
    <col min="7432" max="7432" width="11.125" style="3192" customWidth="1"/>
    <col min="7433" max="7434" width="9" style="3192" customWidth="1"/>
    <col min="7435" max="7436" width="10.625" style="3192" customWidth="1"/>
    <col min="7437" max="7437" width="14.375" style="3192" customWidth="1"/>
    <col min="7438" max="7438" width="6.25" style="3192" customWidth="1"/>
    <col min="7439" max="7439" width="31" style="3192" customWidth="1"/>
    <col min="7440" max="7440" width="7.875" style="3192" customWidth="1"/>
    <col min="7441" max="7680" width="9" style="3192"/>
    <col min="7681" max="7681" width="31" style="3192" customWidth="1"/>
    <col min="7682" max="7682" width="6.25" style="3192" customWidth="1"/>
    <col min="7683" max="7685" width="13.875" style="3192" customWidth="1"/>
    <col min="7686" max="7686" width="12.5" style="3192" customWidth="1"/>
    <col min="7687" max="7687" width="7.875" style="3192" customWidth="1"/>
    <col min="7688" max="7688" width="11.125" style="3192" customWidth="1"/>
    <col min="7689" max="7690" width="9" style="3192" customWidth="1"/>
    <col min="7691" max="7692" width="10.625" style="3192" customWidth="1"/>
    <col min="7693" max="7693" width="14.375" style="3192" customWidth="1"/>
    <col min="7694" max="7694" width="6.25" style="3192" customWidth="1"/>
    <col min="7695" max="7695" width="31" style="3192" customWidth="1"/>
    <col min="7696" max="7696" width="7.875" style="3192" customWidth="1"/>
    <col min="7697" max="7936" width="9" style="3192"/>
    <col min="7937" max="7937" width="31" style="3192" customWidth="1"/>
    <col min="7938" max="7938" width="6.25" style="3192" customWidth="1"/>
    <col min="7939" max="7941" width="13.875" style="3192" customWidth="1"/>
    <col min="7942" max="7942" width="12.5" style="3192" customWidth="1"/>
    <col min="7943" max="7943" width="7.875" style="3192" customWidth="1"/>
    <col min="7944" max="7944" width="11.125" style="3192" customWidth="1"/>
    <col min="7945" max="7946" width="9" style="3192" customWidth="1"/>
    <col min="7947" max="7948" width="10.625" style="3192" customWidth="1"/>
    <col min="7949" max="7949" width="14.375" style="3192" customWidth="1"/>
    <col min="7950" max="7950" width="6.25" style="3192" customWidth="1"/>
    <col min="7951" max="7951" width="31" style="3192" customWidth="1"/>
    <col min="7952" max="7952" width="7.875" style="3192" customWidth="1"/>
    <col min="7953" max="8192" width="9" style="3192"/>
    <col min="8193" max="8193" width="31" style="3192" customWidth="1"/>
    <col min="8194" max="8194" width="6.25" style="3192" customWidth="1"/>
    <col min="8195" max="8197" width="13.875" style="3192" customWidth="1"/>
    <col min="8198" max="8198" width="12.5" style="3192" customWidth="1"/>
    <col min="8199" max="8199" width="7.875" style="3192" customWidth="1"/>
    <col min="8200" max="8200" width="11.125" style="3192" customWidth="1"/>
    <col min="8201" max="8202" width="9" style="3192" customWidth="1"/>
    <col min="8203" max="8204" width="10.625" style="3192" customWidth="1"/>
    <col min="8205" max="8205" width="14.375" style="3192" customWidth="1"/>
    <col min="8206" max="8206" width="6.25" style="3192" customWidth="1"/>
    <col min="8207" max="8207" width="31" style="3192" customWidth="1"/>
    <col min="8208" max="8208" width="7.875" style="3192" customWidth="1"/>
    <col min="8209" max="8448" width="9" style="3192"/>
    <col min="8449" max="8449" width="31" style="3192" customWidth="1"/>
    <col min="8450" max="8450" width="6.25" style="3192" customWidth="1"/>
    <col min="8451" max="8453" width="13.875" style="3192" customWidth="1"/>
    <col min="8454" max="8454" width="12.5" style="3192" customWidth="1"/>
    <col min="8455" max="8455" width="7.875" style="3192" customWidth="1"/>
    <col min="8456" max="8456" width="11.125" style="3192" customWidth="1"/>
    <col min="8457" max="8458" width="9" style="3192" customWidth="1"/>
    <col min="8459" max="8460" width="10.625" style="3192" customWidth="1"/>
    <col min="8461" max="8461" width="14.375" style="3192" customWidth="1"/>
    <col min="8462" max="8462" width="6.25" style="3192" customWidth="1"/>
    <col min="8463" max="8463" width="31" style="3192" customWidth="1"/>
    <col min="8464" max="8464" width="7.875" style="3192" customWidth="1"/>
    <col min="8465" max="8704" width="9" style="3192"/>
    <col min="8705" max="8705" width="31" style="3192" customWidth="1"/>
    <col min="8706" max="8706" width="6.25" style="3192" customWidth="1"/>
    <col min="8707" max="8709" width="13.875" style="3192" customWidth="1"/>
    <col min="8710" max="8710" width="12.5" style="3192" customWidth="1"/>
    <col min="8711" max="8711" width="7.875" style="3192" customWidth="1"/>
    <col min="8712" max="8712" width="11.125" style="3192" customWidth="1"/>
    <col min="8713" max="8714" width="9" style="3192" customWidth="1"/>
    <col min="8715" max="8716" width="10.625" style="3192" customWidth="1"/>
    <col min="8717" max="8717" width="14.375" style="3192" customWidth="1"/>
    <col min="8718" max="8718" width="6.25" style="3192" customWidth="1"/>
    <col min="8719" max="8719" width="31" style="3192" customWidth="1"/>
    <col min="8720" max="8720" width="7.875" style="3192" customWidth="1"/>
    <col min="8721" max="8960" width="9" style="3192"/>
    <col min="8961" max="8961" width="31" style="3192" customWidth="1"/>
    <col min="8962" max="8962" width="6.25" style="3192" customWidth="1"/>
    <col min="8963" max="8965" width="13.875" style="3192" customWidth="1"/>
    <col min="8966" max="8966" width="12.5" style="3192" customWidth="1"/>
    <col min="8967" max="8967" width="7.875" style="3192" customWidth="1"/>
    <col min="8968" max="8968" width="11.125" style="3192" customWidth="1"/>
    <col min="8969" max="8970" width="9" style="3192" customWidth="1"/>
    <col min="8971" max="8972" width="10.625" style="3192" customWidth="1"/>
    <col min="8973" max="8973" width="14.375" style="3192" customWidth="1"/>
    <col min="8974" max="8974" width="6.25" style="3192" customWidth="1"/>
    <col min="8975" max="8975" width="31" style="3192" customWidth="1"/>
    <col min="8976" max="8976" width="7.875" style="3192" customWidth="1"/>
    <col min="8977" max="9216" width="9" style="3192"/>
    <col min="9217" max="9217" width="31" style="3192" customWidth="1"/>
    <col min="9218" max="9218" width="6.25" style="3192" customWidth="1"/>
    <col min="9219" max="9221" width="13.875" style="3192" customWidth="1"/>
    <col min="9222" max="9222" width="12.5" style="3192" customWidth="1"/>
    <col min="9223" max="9223" width="7.875" style="3192" customWidth="1"/>
    <col min="9224" max="9224" width="11.125" style="3192" customWidth="1"/>
    <col min="9225" max="9226" width="9" style="3192" customWidth="1"/>
    <col min="9227" max="9228" width="10.625" style="3192" customWidth="1"/>
    <col min="9229" max="9229" width="14.375" style="3192" customWidth="1"/>
    <col min="9230" max="9230" width="6.25" style="3192" customWidth="1"/>
    <col min="9231" max="9231" width="31" style="3192" customWidth="1"/>
    <col min="9232" max="9232" width="7.875" style="3192" customWidth="1"/>
    <col min="9233" max="9472" width="9" style="3192"/>
    <col min="9473" max="9473" width="31" style="3192" customWidth="1"/>
    <col min="9474" max="9474" width="6.25" style="3192" customWidth="1"/>
    <col min="9475" max="9477" width="13.875" style="3192" customWidth="1"/>
    <col min="9478" max="9478" width="12.5" style="3192" customWidth="1"/>
    <col min="9479" max="9479" width="7.875" style="3192" customWidth="1"/>
    <col min="9480" max="9480" width="11.125" style="3192" customWidth="1"/>
    <col min="9481" max="9482" width="9" style="3192" customWidth="1"/>
    <col min="9483" max="9484" width="10.625" style="3192" customWidth="1"/>
    <col min="9485" max="9485" width="14.375" style="3192" customWidth="1"/>
    <col min="9486" max="9486" width="6.25" style="3192" customWidth="1"/>
    <col min="9487" max="9487" width="31" style="3192" customWidth="1"/>
    <col min="9488" max="9488" width="7.875" style="3192" customWidth="1"/>
    <col min="9489" max="9728" width="9" style="3192"/>
    <col min="9729" max="9729" width="31" style="3192" customWidth="1"/>
    <col min="9730" max="9730" width="6.25" style="3192" customWidth="1"/>
    <col min="9731" max="9733" width="13.875" style="3192" customWidth="1"/>
    <col min="9734" max="9734" width="12.5" style="3192" customWidth="1"/>
    <col min="9735" max="9735" width="7.875" style="3192" customWidth="1"/>
    <col min="9736" max="9736" width="11.125" style="3192" customWidth="1"/>
    <col min="9737" max="9738" width="9" style="3192" customWidth="1"/>
    <col min="9739" max="9740" width="10.625" style="3192" customWidth="1"/>
    <col min="9741" max="9741" width="14.375" style="3192" customWidth="1"/>
    <col min="9742" max="9742" width="6.25" style="3192" customWidth="1"/>
    <col min="9743" max="9743" width="31" style="3192" customWidth="1"/>
    <col min="9744" max="9744" width="7.875" style="3192" customWidth="1"/>
    <col min="9745" max="9984" width="9" style="3192"/>
    <col min="9985" max="9985" width="31" style="3192" customWidth="1"/>
    <col min="9986" max="9986" width="6.25" style="3192" customWidth="1"/>
    <col min="9987" max="9989" width="13.875" style="3192" customWidth="1"/>
    <col min="9990" max="9990" width="12.5" style="3192" customWidth="1"/>
    <col min="9991" max="9991" width="7.875" style="3192" customWidth="1"/>
    <col min="9992" max="9992" width="11.125" style="3192" customWidth="1"/>
    <col min="9993" max="9994" width="9" style="3192" customWidth="1"/>
    <col min="9995" max="9996" width="10.625" style="3192" customWidth="1"/>
    <col min="9997" max="9997" width="14.375" style="3192" customWidth="1"/>
    <col min="9998" max="9998" width="6.25" style="3192" customWidth="1"/>
    <col min="9999" max="9999" width="31" style="3192" customWidth="1"/>
    <col min="10000" max="10000" width="7.875" style="3192" customWidth="1"/>
    <col min="10001" max="10240" width="9" style="3192"/>
    <col min="10241" max="10241" width="31" style="3192" customWidth="1"/>
    <col min="10242" max="10242" width="6.25" style="3192" customWidth="1"/>
    <col min="10243" max="10245" width="13.875" style="3192" customWidth="1"/>
    <col min="10246" max="10246" width="12.5" style="3192" customWidth="1"/>
    <col min="10247" max="10247" width="7.875" style="3192" customWidth="1"/>
    <col min="10248" max="10248" width="11.125" style="3192" customWidth="1"/>
    <col min="10249" max="10250" width="9" style="3192" customWidth="1"/>
    <col min="10251" max="10252" width="10.625" style="3192" customWidth="1"/>
    <col min="10253" max="10253" width="14.375" style="3192" customWidth="1"/>
    <col min="10254" max="10254" width="6.25" style="3192" customWidth="1"/>
    <col min="10255" max="10255" width="31" style="3192" customWidth="1"/>
    <col min="10256" max="10256" width="7.875" style="3192" customWidth="1"/>
    <col min="10257" max="10496" width="9" style="3192"/>
    <col min="10497" max="10497" width="31" style="3192" customWidth="1"/>
    <col min="10498" max="10498" width="6.25" style="3192" customWidth="1"/>
    <col min="10499" max="10501" width="13.875" style="3192" customWidth="1"/>
    <col min="10502" max="10502" width="12.5" style="3192" customWidth="1"/>
    <col min="10503" max="10503" width="7.875" style="3192" customWidth="1"/>
    <col min="10504" max="10504" width="11.125" style="3192" customWidth="1"/>
    <col min="10505" max="10506" width="9" style="3192" customWidth="1"/>
    <col min="10507" max="10508" width="10.625" style="3192" customWidth="1"/>
    <col min="10509" max="10509" width="14.375" style="3192" customWidth="1"/>
    <col min="10510" max="10510" width="6.25" style="3192" customWidth="1"/>
    <col min="10511" max="10511" width="31" style="3192" customWidth="1"/>
    <col min="10512" max="10512" width="7.875" style="3192" customWidth="1"/>
    <col min="10513" max="10752" width="9" style="3192"/>
    <col min="10753" max="10753" width="31" style="3192" customWidth="1"/>
    <col min="10754" max="10754" width="6.25" style="3192" customWidth="1"/>
    <col min="10755" max="10757" width="13.875" style="3192" customWidth="1"/>
    <col min="10758" max="10758" width="12.5" style="3192" customWidth="1"/>
    <col min="10759" max="10759" width="7.875" style="3192" customWidth="1"/>
    <col min="10760" max="10760" width="11.125" style="3192" customWidth="1"/>
    <col min="10761" max="10762" width="9" style="3192" customWidth="1"/>
    <col min="10763" max="10764" width="10.625" style="3192" customWidth="1"/>
    <col min="10765" max="10765" width="14.375" style="3192" customWidth="1"/>
    <col min="10766" max="10766" width="6.25" style="3192" customWidth="1"/>
    <col min="10767" max="10767" width="31" style="3192" customWidth="1"/>
    <col min="10768" max="10768" width="7.875" style="3192" customWidth="1"/>
    <col min="10769" max="11008" width="9" style="3192"/>
    <col min="11009" max="11009" width="31" style="3192" customWidth="1"/>
    <col min="11010" max="11010" width="6.25" style="3192" customWidth="1"/>
    <col min="11011" max="11013" width="13.875" style="3192" customWidth="1"/>
    <col min="11014" max="11014" width="12.5" style="3192" customWidth="1"/>
    <col min="11015" max="11015" width="7.875" style="3192" customWidth="1"/>
    <col min="11016" max="11016" width="11.125" style="3192" customWidth="1"/>
    <col min="11017" max="11018" width="9" style="3192" customWidth="1"/>
    <col min="11019" max="11020" width="10.625" style="3192" customWidth="1"/>
    <col min="11021" max="11021" width="14.375" style="3192" customWidth="1"/>
    <col min="11022" max="11022" width="6.25" style="3192" customWidth="1"/>
    <col min="11023" max="11023" width="31" style="3192" customWidth="1"/>
    <col min="11024" max="11024" width="7.875" style="3192" customWidth="1"/>
    <col min="11025" max="11264" width="9" style="3192"/>
    <col min="11265" max="11265" width="31" style="3192" customWidth="1"/>
    <col min="11266" max="11266" width="6.25" style="3192" customWidth="1"/>
    <col min="11267" max="11269" width="13.875" style="3192" customWidth="1"/>
    <col min="11270" max="11270" width="12.5" style="3192" customWidth="1"/>
    <col min="11271" max="11271" width="7.875" style="3192" customWidth="1"/>
    <col min="11272" max="11272" width="11.125" style="3192" customWidth="1"/>
    <col min="11273" max="11274" width="9" style="3192" customWidth="1"/>
    <col min="11275" max="11276" width="10.625" style="3192" customWidth="1"/>
    <col min="11277" max="11277" width="14.375" style="3192" customWidth="1"/>
    <col min="11278" max="11278" width="6.25" style="3192" customWidth="1"/>
    <col min="11279" max="11279" width="31" style="3192" customWidth="1"/>
    <col min="11280" max="11280" width="7.875" style="3192" customWidth="1"/>
    <col min="11281" max="11520" width="9" style="3192"/>
    <col min="11521" max="11521" width="31" style="3192" customWidth="1"/>
    <col min="11522" max="11522" width="6.25" style="3192" customWidth="1"/>
    <col min="11523" max="11525" width="13.875" style="3192" customWidth="1"/>
    <col min="11526" max="11526" width="12.5" style="3192" customWidth="1"/>
    <col min="11527" max="11527" width="7.875" style="3192" customWidth="1"/>
    <col min="11528" max="11528" width="11.125" style="3192" customWidth="1"/>
    <col min="11529" max="11530" width="9" style="3192" customWidth="1"/>
    <col min="11531" max="11532" width="10.625" style="3192" customWidth="1"/>
    <col min="11533" max="11533" width="14.375" style="3192" customWidth="1"/>
    <col min="11534" max="11534" width="6.25" style="3192" customWidth="1"/>
    <col min="11535" max="11535" width="31" style="3192" customWidth="1"/>
    <col min="11536" max="11536" width="7.875" style="3192" customWidth="1"/>
    <col min="11537" max="11776" width="9" style="3192"/>
    <col min="11777" max="11777" width="31" style="3192" customWidth="1"/>
    <col min="11778" max="11778" width="6.25" style="3192" customWidth="1"/>
    <col min="11779" max="11781" width="13.875" style="3192" customWidth="1"/>
    <col min="11782" max="11782" width="12.5" style="3192" customWidth="1"/>
    <col min="11783" max="11783" width="7.875" style="3192" customWidth="1"/>
    <col min="11784" max="11784" width="11.125" style="3192" customWidth="1"/>
    <col min="11785" max="11786" width="9" style="3192" customWidth="1"/>
    <col min="11787" max="11788" width="10.625" style="3192" customWidth="1"/>
    <col min="11789" max="11789" width="14.375" style="3192" customWidth="1"/>
    <col min="11790" max="11790" width="6.25" style="3192" customWidth="1"/>
    <col min="11791" max="11791" width="31" style="3192" customWidth="1"/>
    <col min="11792" max="11792" width="7.875" style="3192" customWidth="1"/>
    <col min="11793" max="12032" width="9" style="3192"/>
    <col min="12033" max="12033" width="31" style="3192" customWidth="1"/>
    <col min="12034" max="12034" width="6.25" style="3192" customWidth="1"/>
    <col min="12035" max="12037" width="13.875" style="3192" customWidth="1"/>
    <col min="12038" max="12038" width="12.5" style="3192" customWidth="1"/>
    <col min="12039" max="12039" width="7.875" style="3192" customWidth="1"/>
    <col min="12040" max="12040" width="11.125" style="3192" customWidth="1"/>
    <col min="12041" max="12042" width="9" style="3192" customWidth="1"/>
    <col min="12043" max="12044" width="10.625" style="3192" customWidth="1"/>
    <col min="12045" max="12045" width="14.375" style="3192" customWidth="1"/>
    <col min="12046" max="12046" width="6.25" style="3192" customWidth="1"/>
    <col min="12047" max="12047" width="31" style="3192" customWidth="1"/>
    <col min="12048" max="12048" width="7.875" style="3192" customWidth="1"/>
    <col min="12049" max="12288" width="9" style="3192"/>
    <col min="12289" max="12289" width="31" style="3192" customWidth="1"/>
    <col min="12290" max="12290" width="6.25" style="3192" customWidth="1"/>
    <col min="12291" max="12293" width="13.875" style="3192" customWidth="1"/>
    <col min="12294" max="12294" width="12.5" style="3192" customWidth="1"/>
    <col min="12295" max="12295" width="7.875" style="3192" customWidth="1"/>
    <col min="12296" max="12296" width="11.125" style="3192" customWidth="1"/>
    <col min="12297" max="12298" width="9" style="3192" customWidth="1"/>
    <col min="12299" max="12300" width="10.625" style="3192" customWidth="1"/>
    <col min="12301" max="12301" width="14.375" style="3192" customWidth="1"/>
    <col min="12302" max="12302" width="6.25" style="3192" customWidth="1"/>
    <col min="12303" max="12303" width="31" style="3192" customWidth="1"/>
    <col min="12304" max="12304" width="7.875" style="3192" customWidth="1"/>
    <col min="12305" max="12544" width="9" style="3192"/>
    <col min="12545" max="12545" width="31" style="3192" customWidth="1"/>
    <col min="12546" max="12546" width="6.25" style="3192" customWidth="1"/>
    <col min="12547" max="12549" width="13.875" style="3192" customWidth="1"/>
    <col min="12550" max="12550" width="12.5" style="3192" customWidth="1"/>
    <col min="12551" max="12551" width="7.875" style="3192" customWidth="1"/>
    <col min="12552" max="12552" width="11.125" style="3192" customWidth="1"/>
    <col min="12553" max="12554" width="9" style="3192" customWidth="1"/>
    <col min="12555" max="12556" width="10.625" style="3192" customWidth="1"/>
    <col min="12557" max="12557" width="14.375" style="3192" customWidth="1"/>
    <col min="12558" max="12558" width="6.25" style="3192" customWidth="1"/>
    <col min="12559" max="12559" width="31" style="3192" customWidth="1"/>
    <col min="12560" max="12560" width="7.875" style="3192" customWidth="1"/>
    <col min="12561" max="12800" width="9" style="3192"/>
    <col min="12801" max="12801" width="31" style="3192" customWidth="1"/>
    <col min="12802" max="12802" width="6.25" style="3192" customWidth="1"/>
    <col min="12803" max="12805" width="13.875" style="3192" customWidth="1"/>
    <col min="12806" max="12806" width="12.5" style="3192" customWidth="1"/>
    <col min="12807" max="12807" width="7.875" style="3192" customWidth="1"/>
    <col min="12808" max="12808" width="11.125" style="3192" customWidth="1"/>
    <col min="12809" max="12810" width="9" style="3192" customWidth="1"/>
    <col min="12811" max="12812" width="10.625" style="3192" customWidth="1"/>
    <col min="12813" max="12813" width="14.375" style="3192" customWidth="1"/>
    <col min="12814" max="12814" width="6.25" style="3192" customWidth="1"/>
    <col min="12815" max="12815" width="31" style="3192" customWidth="1"/>
    <col min="12816" max="12816" width="7.875" style="3192" customWidth="1"/>
    <col min="12817" max="13056" width="9" style="3192"/>
    <col min="13057" max="13057" width="31" style="3192" customWidth="1"/>
    <col min="13058" max="13058" width="6.25" style="3192" customWidth="1"/>
    <col min="13059" max="13061" width="13.875" style="3192" customWidth="1"/>
    <col min="13062" max="13062" width="12.5" style="3192" customWidth="1"/>
    <col min="13063" max="13063" width="7.875" style="3192" customWidth="1"/>
    <col min="13064" max="13064" width="11.125" style="3192" customWidth="1"/>
    <col min="13065" max="13066" width="9" style="3192" customWidth="1"/>
    <col min="13067" max="13068" width="10.625" style="3192" customWidth="1"/>
    <col min="13069" max="13069" width="14.375" style="3192" customWidth="1"/>
    <col min="13070" max="13070" width="6.25" style="3192" customWidth="1"/>
    <col min="13071" max="13071" width="31" style="3192" customWidth="1"/>
    <col min="13072" max="13072" width="7.875" style="3192" customWidth="1"/>
    <col min="13073" max="13312" width="9" style="3192"/>
    <col min="13313" max="13313" width="31" style="3192" customWidth="1"/>
    <col min="13314" max="13314" width="6.25" style="3192" customWidth="1"/>
    <col min="13315" max="13317" width="13.875" style="3192" customWidth="1"/>
    <col min="13318" max="13318" width="12.5" style="3192" customWidth="1"/>
    <col min="13319" max="13319" width="7.875" style="3192" customWidth="1"/>
    <col min="13320" max="13320" width="11.125" style="3192" customWidth="1"/>
    <col min="13321" max="13322" width="9" style="3192" customWidth="1"/>
    <col min="13323" max="13324" width="10.625" style="3192" customWidth="1"/>
    <col min="13325" max="13325" width="14.375" style="3192" customWidth="1"/>
    <col min="13326" max="13326" width="6.25" style="3192" customWidth="1"/>
    <col min="13327" max="13327" width="31" style="3192" customWidth="1"/>
    <col min="13328" max="13328" width="7.875" style="3192" customWidth="1"/>
    <col min="13329" max="13568" width="9" style="3192"/>
    <col min="13569" max="13569" width="31" style="3192" customWidth="1"/>
    <col min="13570" max="13570" width="6.25" style="3192" customWidth="1"/>
    <col min="13571" max="13573" width="13.875" style="3192" customWidth="1"/>
    <col min="13574" max="13574" width="12.5" style="3192" customWidth="1"/>
    <col min="13575" max="13575" width="7.875" style="3192" customWidth="1"/>
    <col min="13576" max="13576" width="11.125" style="3192" customWidth="1"/>
    <col min="13577" max="13578" width="9" style="3192" customWidth="1"/>
    <col min="13579" max="13580" width="10.625" style="3192" customWidth="1"/>
    <col min="13581" max="13581" width="14.375" style="3192" customWidth="1"/>
    <col min="13582" max="13582" width="6.25" style="3192" customWidth="1"/>
    <col min="13583" max="13583" width="31" style="3192" customWidth="1"/>
    <col min="13584" max="13584" width="7.875" style="3192" customWidth="1"/>
    <col min="13585" max="13824" width="9" style="3192"/>
    <col min="13825" max="13825" width="31" style="3192" customWidth="1"/>
    <col min="13826" max="13826" width="6.25" style="3192" customWidth="1"/>
    <col min="13827" max="13829" width="13.875" style="3192" customWidth="1"/>
    <col min="13830" max="13830" width="12.5" style="3192" customWidth="1"/>
    <col min="13831" max="13831" width="7.875" style="3192" customWidth="1"/>
    <col min="13832" max="13832" width="11.125" style="3192" customWidth="1"/>
    <col min="13833" max="13834" width="9" style="3192" customWidth="1"/>
    <col min="13835" max="13836" width="10.625" style="3192" customWidth="1"/>
    <col min="13837" max="13837" width="14.375" style="3192" customWidth="1"/>
    <col min="13838" max="13838" width="6.25" style="3192" customWidth="1"/>
    <col min="13839" max="13839" width="31" style="3192" customWidth="1"/>
    <col min="13840" max="13840" width="7.875" style="3192" customWidth="1"/>
    <col min="13841" max="14080" width="9" style="3192"/>
    <col min="14081" max="14081" width="31" style="3192" customWidth="1"/>
    <col min="14082" max="14082" width="6.25" style="3192" customWidth="1"/>
    <col min="14083" max="14085" width="13.875" style="3192" customWidth="1"/>
    <col min="14086" max="14086" width="12.5" style="3192" customWidth="1"/>
    <col min="14087" max="14087" width="7.875" style="3192" customWidth="1"/>
    <col min="14088" max="14088" width="11.125" style="3192" customWidth="1"/>
    <col min="14089" max="14090" width="9" style="3192" customWidth="1"/>
    <col min="14091" max="14092" width="10.625" style="3192" customWidth="1"/>
    <col min="14093" max="14093" width="14.375" style="3192" customWidth="1"/>
    <col min="14094" max="14094" width="6.25" style="3192" customWidth="1"/>
    <col min="14095" max="14095" width="31" style="3192" customWidth="1"/>
    <col min="14096" max="14096" width="7.875" style="3192" customWidth="1"/>
    <col min="14097" max="14336" width="9" style="3192"/>
    <col min="14337" max="14337" width="31" style="3192" customWidth="1"/>
    <col min="14338" max="14338" width="6.25" style="3192" customWidth="1"/>
    <col min="14339" max="14341" width="13.875" style="3192" customWidth="1"/>
    <col min="14342" max="14342" width="12.5" style="3192" customWidth="1"/>
    <col min="14343" max="14343" width="7.875" style="3192" customWidth="1"/>
    <col min="14344" max="14344" width="11.125" style="3192" customWidth="1"/>
    <col min="14345" max="14346" width="9" style="3192" customWidth="1"/>
    <col min="14347" max="14348" width="10.625" style="3192" customWidth="1"/>
    <col min="14349" max="14349" width="14.375" style="3192" customWidth="1"/>
    <col min="14350" max="14350" width="6.25" style="3192" customWidth="1"/>
    <col min="14351" max="14351" width="31" style="3192" customWidth="1"/>
    <col min="14352" max="14352" width="7.875" style="3192" customWidth="1"/>
    <col min="14353" max="14592" width="9" style="3192"/>
    <col min="14593" max="14593" width="31" style="3192" customWidth="1"/>
    <col min="14594" max="14594" width="6.25" style="3192" customWidth="1"/>
    <col min="14595" max="14597" width="13.875" style="3192" customWidth="1"/>
    <col min="14598" max="14598" width="12.5" style="3192" customWidth="1"/>
    <col min="14599" max="14599" width="7.875" style="3192" customWidth="1"/>
    <col min="14600" max="14600" width="11.125" style="3192" customWidth="1"/>
    <col min="14601" max="14602" width="9" style="3192" customWidth="1"/>
    <col min="14603" max="14604" width="10.625" style="3192" customWidth="1"/>
    <col min="14605" max="14605" width="14.375" style="3192" customWidth="1"/>
    <col min="14606" max="14606" width="6.25" style="3192" customWidth="1"/>
    <col min="14607" max="14607" width="31" style="3192" customWidth="1"/>
    <col min="14608" max="14608" width="7.875" style="3192" customWidth="1"/>
    <col min="14609" max="14848" width="9" style="3192"/>
    <col min="14849" max="14849" width="31" style="3192" customWidth="1"/>
    <col min="14850" max="14850" width="6.25" style="3192" customWidth="1"/>
    <col min="14851" max="14853" width="13.875" style="3192" customWidth="1"/>
    <col min="14854" max="14854" width="12.5" style="3192" customWidth="1"/>
    <col min="14855" max="14855" width="7.875" style="3192" customWidth="1"/>
    <col min="14856" max="14856" width="11.125" style="3192" customWidth="1"/>
    <col min="14857" max="14858" width="9" style="3192" customWidth="1"/>
    <col min="14859" max="14860" width="10.625" style="3192" customWidth="1"/>
    <col min="14861" max="14861" width="14.375" style="3192" customWidth="1"/>
    <col min="14862" max="14862" width="6.25" style="3192" customWidth="1"/>
    <col min="14863" max="14863" width="31" style="3192" customWidth="1"/>
    <col min="14864" max="14864" width="7.875" style="3192" customWidth="1"/>
    <col min="14865" max="15104" width="9" style="3192"/>
    <col min="15105" max="15105" width="31" style="3192" customWidth="1"/>
    <col min="15106" max="15106" width="6.25" style="3192" customWidth="1"/>
    <col min="15107" max="15109" width="13.875" style="3192" customWidth="1"/>
    <col min="15110" max="15110" width="12.5" style="3192" customWidth="1"/>
    <col min="15111" max="15111" width="7.875" style="3192" customWidth="1"/>
    <col min="15112" max="15112" width="11.125" style="3192" customWidth="1"/>
    <col min="15113" max="15114" width="9" style="3192" customWidth="1"/>
    <col min="15115" max="15116" width="10.625" style="3192" customWidth="1"/>
    <col min="15117" max="15117" width="14.375" style="3192" customWidth="1"/>
    <col min="15118" max="15118" width="6.25" style="3192" customWidth="1"/>
    <col min="15119" max="15119" width="31" style="3192" customWidth="1"/>
    <col min="15120" max="15120" width="7.875" style="3192" customWidth="1"/>
    <col min="15121" max="15360" width="9" style="3192"/>
    <col min="15361" max="15361" width="31" style="3192" customWidth="1"/>
    <col min="15362" max="15362" width="6.25" style="3192" customWidth="1"/>
    <col min="15363" max="15365" width="13.875" style="3192" customWidth="1"/>
    <col min="15366" max="15366" width="12.5" style="3192" customWidth="1"/>
    <col min="15367" max="15367" width="7.875" style="3192" customWidth="1"/>
    <col min="15368" max="15368" width="11.125" style="3192" customWidth="1"/>
    <col min="15369" max="15370" width="9" style="3192" customWidth="1"/>
    <col min="15371" max="15372" width="10.625" style="3192" customWidth="1"/>
    <col min="15373" max="15373" width="14.375" style="3192" customWidth="1"/>
    <col min="15374" max="15374" width="6.25" style="3192" customWidth="1"/>
    <col min="15375" max="15375" width="31" style="3192" customWidth="1"/>
    <col min="15376" max="15376" width="7.875" style="3192" customWidth="1"/>
    <col min="15377" max="15616" width="9" style="3192"/>
    <col min="15617" max="15617" width="31" style="3192" customWidth="1"/>
    <col min="15618" max="15618" width="6.25" style="3192" customWidth="1"/>
    <col min="15619" max="15621" width="13.875" style="3192" customWidth="1"/>
    <col min="15622" max="15622" width="12.5" style="3192" customWidth="1"/>
    <col min="15623" max="15623" width="7.875" style="3192" customWidth="1"/>
    <col min="15624" max="15624" width="11.125" style="3192" customWidth="1"/>
    <col min="15625" max="15626" width="9" style="3192" customWidth="1"/>
    <col min="15627" max="15628" width="10.625" style="3192" customWidth="1"/>
    <col min="15629" max="15629" width="14.375" style="3192" customWidth="1"/>
    <col min="15630" max="15630" width="6.25" style="3192" customWidth="1"/>
    <col min="15631" max="15631" width="31" style="3192" customWidth="1"/>
    <col min="15632" max="15632" width="7.875" style="3192" customWidth="1"/>
    <col min="15633" max="15872" width="9" style="3192"/>
    <col min="15873" max="15873" width="31" style="3192" customWidth="1"/>
    <col min="15874" max="15874" width="6.25" style="3192" customWidth="1"/>
    <col min="15875" max="15877" width="13.875" style="3192" customWidth="1"/>
    <col min="15878" max="15878" width="12.5" style="3192" customWidth="1"/>
    <col min="15879" max="15879" width="7.875" style="3192" customWidth="1"/>
    <col min="15880" max="15880" width="11.125" style="3192" customWidth="1"/>
    <col min="15881" max="15882" width="9" style="3192" customWidth="1"/>
    <col min="15883" max="15884" width="10.625" style="3192" customWidth="1"/>
    <col min="15885" max="15885" width="14.375" style="3192" customWidth="1"/>
    <col min="15886" max="15886" width="6.25" style="3192" customWidth="1"/>
    <col min="15887" max="15887" width="31" style="3192" customWidth="1"/>
    <col min="15888" max="15888" width="7.875" style="3192" customWidth="1"/>
    <col min="15889" max="16128" width="9" style="3192"/>
    <col min="16129" max="16129" width="31" style="3192" customWidth="1"/>
    <col min="16130" max="16130" width="6.25" style="3192" customWidth="1"/>
    <col min="16131" max="16133" width="13.875" style="3192" customWidth="1"/>
    <col min="16134" max="16134" width="12.5" style="3192" customWidth="1"/>
    <col min="16135" max="16135" width="7.875" style="3192" customWidth="1"/>
    <col min="16136" max="16136" width="11.125" style="3192" customWidth="1"/>
    <col min="16137" max="16138" width="9" style="3192" customWidth="1"/>
    <col min="16139" max="16140" width="10.625" style="3192" customWidth="1"/>
    <col min="16141" max="16141" width="14.375" style="3192" customWidth="1"/>
    <col min="16142" max="16142" width="6.25" style="3192" customWidth="1"/>
    <col min="16143" max="16143" width="31" style="3192" customWidth="1"/>
    <col min="16144" max="16144" width="7.875" style="3192" customWidth="1"/>
    <col min="16145" max="16384" width="9" style="3192"/>
  </cols>
  <sheetData>
    <row r="1" spans="1:16">
      <c r="A1" s="3192" t="s">
        <v>3037</v>
      </c>
      <c r="B1" s="3192" t="s">
        <v>3038</v>
      </c>
      <c r="C1" s="3192" t="s">
        <v>3039</v>
      </c>
      <c r="D1" s="3192" t="s">
        <v>3040</v>
      </c>
      <c r="E1" s="3192" t="s">
        <v>3041</v>
      </c>
      <c r="F1" s="3192" t="s">
        <v>2024</v>
      </c>
      <c r="G1" s="3192" t="s">
        <v>3042</v>
      </c>
      <c r="H1" s="3192" t="s">
        <v>3043</v>
      </c>
      <c r="I1" s="3192" t="s">
        <v>3044</v>
      </c>
      <c r="J1" s="3192" t="s">
        <v>3045</v>
      </c>
      <c r="K1" s="3192" t="s">
        <v>3046</v>
      </c>
      <c r="L1" s="3192" t="s">
        <v>3047</v>
      </c>
      <c r="M1" s="3192" t="s">
        <v>3048</v>
      </c>
      <c r="N1" s="3192" t="s">
        <v>3049</v>
      </c>
      <c r="O1" s="3192" t="s">
        <v>3050</v>
      </c>
      <c r="P1" s="3192" t="s">
        <v>3051</v>
      </c>
    </row>
    <row r="2" spans="1:16">
      <c r="A2" s="3192" t="s">
        <v>3052</v>
      </c>
      <c r="B2" s="3192" t="s">
        <v>3053</v>
      </c>
      <c r="C2" s="3192" t="s">
        <v>3054</v>
      </c>
      <c r="D2" s="3192">
        <v>70297</v>
      </c>
      <c r="E2" s="3192">
        <v>154653.4</v>
      </c>
      <c r="F2" s="3192" t="s">
        <v>3055</v>
      </c>
      <c r="G2" s="3192" t="s">
        <v>3056</v>
      </c>
      <c r="H2" s="3192" t="s">
        <v>3057</v>
      </c>
      <c r="I2" s="3192" t="s">
        <v>3058</v>
      </c>
      <c r="J2" s="3192" t="s">
        <v>3058</v>
      </c>
      <c r="K2" s="3192">
        <v>105500</v>
      </c>
      <c r="L2" s="3192">
        <v>142500</v>
      </c>
      <c r="M2" s="3192">
        <v>9214.14</v>
      </c>
      <c r="N2" s="3192">
        <v>35.07</v>
      </c>
      <c r="O2" s="3192" t="s">
        <v>3059</v>
      </c>
      <c r="P2" s="3192" t="s">
        <v>3060</v>
      </c>
    </row>
    <row r="3" spans="1:16">
      <c r="A3" s="3192" t="s">
        <v>3061</v>
      </c>
      <c r="B3" s="3192" t="s">
        <v>3053</v>
      </c>
      <c r="C3" s="3192" t="s">
        <v>3062</v>
      </c>
      <c r="D3" s="3192">
        <v>44679</v>
      </c>
      <c r="E3" s="3192">
        <v>111697.5</v>
      </c>
      <c r="F3" s="3192" t="s">
        <v>3063</v>
      </c>
      <c r="G3" s="3192" t="s">
        <v>3056</v>
      </c>
      <c r="H3" s="3192" t="s">
        <v>3064</v>
      </c>
      <c r="I3" s="3192" t="s">
        <v>3065</v>
      </c>
      <c r="J3" s="3192" t="s">
        <v>3065</v>
      </c>
      <c r="K3" s="3192">
        <v>40200</v>
      </c>
      <c r="L3" s="3192">
        <v>73800</v>
      </c>
      <c r="M3" s="3192">
        <v>6607.13</v>
      </c>
      <c r="N3" s="3192">
        <v>83.58</v>
      </c>
      <c r="O3" s="3192" t="s">
        <v>3066</v>
      </c>
      <c r="P3" s="3192" t="s">
        <v>3067</v>
      </c>
    </row>
    <row r="4" spans="1:16">
      <c r="A4" s="3192" t="s">
        <v>3068</v>
      </c>
      <c r="B4" s="3192" t="s">
        <v>3053</v>
      </c>
      <c r="C4" s="3192" t="s">
        <v>3054</v>
      </c>
      <c r="D4" s="3192">
        <v>58093</v>
      </c>
      <c r="E4" s="3192">
        <v>104567.4</v>
      </c>
      <c r="F4" s="3192" t="s">
        <v>3069</v>
      </c>
      <c r="G4" s="3192" t="s">
        <v>3070</v>
      </c>
      <c r="H4" s="3192" t="s">
        <v>3057</v>
      </c>
      <c r="I4" s="3192" t="s">
        <v>3071</v>
      </c>
      <c r="J4" s="3192" t="s">
        <v>3071</v>
      </c>
      <c r="K4" s="3192">
        <v>52300</v>
      </c>
      <c r="L4" s="3192">
        <v>72300</v>
      </c>
      <c r="M4" s="3192">
        <v>6914.19</v>
      </c>
      <c r="N4" s="3192">
        <v>38.24</v>
      </c>
      <c r="O4" s="3192" t="s">
        <v>3072</v>
      </c>
      <c r="P4" s="3192" t="s">
        <v>3067</v>
      </c>
    </row>
    <row r="5" spans="1:16">
      <c r="A5" s="3192" t="s">
        <v>3073</v>
      </c>
      <c r="B5" s="3192" t="s">
        <v>3053</v>
      </c>
      <c r="C5" s="3192" t="s">
        <v>3062</v>
      </c>
      <c r="D5" s="3192">
        <v>35088</v>
      </c>
      <c r="E5" s="3192">
        <v>70176</v>
      </c>
      <c r="F5" s="3192" t="s">
        <v>3074</v>
      </c>
      <c r="G5" s="3192" t="s">
        <v>3056</v>
      </c>
      <c r="H5" s="3192" t="s">
        <v>3062</v>
      </c>
      <c r="I5" s="3192" t="s">
        <v>3075</v>
      </c>
      <c r="J5" s="3192" t="s">
        <v>3075</v>
      </c>
      <c r="K5" s="3192">
        <v>42100</v>
      </c>
      <c r="L5" s="3192">
        <v>90500</v>
      </c>
      <c r="M5" s="3192">
        <v>12896.14</v>
      </c>
      <c r="N5" s="3192">
        <v>114.96</v>
      </c>
      <c r="O5" s="3192" t="s">
        <v>3076</v>
      </c>
      <c r="P5" s="3192" t="s">
        <v>3077</v>
      </c>
    </row>
    <row r="6" spans="1:16">
      <c r="A6" s="3192" t="s">
        <v>3078</v>
      </c>
      <c r="B6" s="3192" t="s">
        <v>3053</v>
      </c>
      <c r="C6" s="3192" t="s">
        <v>3062</v>
      </c>
      <c r="D6" s="3192">
        <v>23927</v>
      </c>
      <c r="E6" s="3192">
        <v>35890.5</v>
      </c>
      <c r="F6" s="3192" t="s">
        <v>3079</v>
      </c>
      <c r="G6" s="3192" t="s">
        <v>3056</v>
      </c>
      <c r="H6" s="3192" t="s">
        <v>3062</v>
      </c>
      <c r="I6" s="3192" t="s">
        <v>3075</v>
      </c>
      <c r="J6" s="3192" t="s">
        <v>3075</v>
      </c>
      <c r="K6" s="3192">
        <v>28700</v>
      </c>
      <c r="L6" s="3192">
        <v>40400</v>
      </c>
      <c r="M6" s="3192">
        <v>11256.45</v>
      </c>
      <c r="N6" s="3192">
        <v>40.770000000000003</v>
      </c>
      <c r="O6" s="3192" t="s">
        <v>3076</v>
      </c>
      <c r="P6" s="3192" t="s">
        <v>3067</v>
      </c>
    </row>
    <row r="7" spans="1:16" s="3209" customFormat="1">
      <c r="A7" s="3209" t="s">
        <v>3080</v>
      </c>
      <c r="B7" s="3209" t="s">
        <v>3053</v>
      </c>
      <c r="C7" s="3209" t="s">
        <v>3062</v>
      </c>
      <c r="D7" s="3209">
        <v>53338</v>
      </c>
      <c r="E7" s="3209">
        <v>106676</v>
      </c>
      <c r="F7" s="3209" t="s">
        <v>3081</v>
      </c>
      <c r="G7" s="3209" t="s">
        <v>3056</v>
      </c>
      <c r="H7" s="3209" t="s">
        <v>3062</v>
      </c>
      <c r="I7" s="3209" t="s">
        <v>3075</v>
      </c>
      <c r="J7" s="3209" t="s">
        <v>3075</v>
      </c>
      <c r="K7" s="3209">
        <v>48000</v>
      </c>
      <c r="L7" s="3209">
        <v>65500</v>
      </c>
      <c r="M7" s="3209">
        <v>6140.09</v>
      </c>
      <c r="N7" s="3209">
        <v>36.46</v>
      </c>
      <c r="O7" s="3209" t="s">
        <v>3082</v>
      </c>
      <c r="P7" s="3209" t="s">
        <v>3067</v>
      </c>
    </row>
    <row r="8" spans="1:16">
      <c r="A8" s="3192" t="s">
        <v>3083</v>
      </c>
      <c r="B8" s="3192" t="s">
        <v>3053</v>
      </c>
      <c r="C8" s="3192" t="s">
        <v>3062</v>
      </c>
      <c r="D8" s="3192">
        <v>29701</v>
      </c>
      <c r="E8" s="3192">
        <v>59402</v>
      </c>
      <c r="F8" s="3192" t="s">
        <v>3081</v>
      </c>
      <c r="G8" s="3192" t="s">
        <v>3056</v>
      </c>
      <c r="H8" s="3192" t="s">
        <v>3062</v>
      </c>
      <c r="I8" s="3192" t="s">
        <v>3084</v>
      </c>
      <c r="J8" s="3192" t="s">
        <v>3084</v>
      </c>
      <c r="K8" s="3192">
        <v>8000</v>
      </c>
      <c r="L8" s="3192">
        <v>9760</v>
      </c>
      <c r="M8" s="3192">
        <v>1643.03</v>
      </c>
      <c r="N8" s="3192">
        <v>22</v>
      </c>
      <c r="O8" s="3192" t="s">
        <v>3085</v>
      </c>
      <c r="P8" s="3192" t="s">
        <v>3067</v>
      </c>
    </row>
    <row r="9" spans="1:16" s="3193" customFormat="1">
      <c r="A9" s="3193" t="s">
        <v>3086</v>
      </c>
      <c r="B9" s="3193" t="s">
        <v>3053</v>
      </c>
      <c r="C9" s="3193" t="s">
        <v>3062</v>
      </c>
      <c r="D9" s="3193">
        <v>34307</v>
      </c>
      <c r="E9" s="3193">
        <v>61752.6</v>
      </c>
      <c r="F9" s="3193" t="s">
        <v>3087</v>
      </c>
      <c r="G9" s="3193" t="s">
        <v>3056</v>
      </c>
      <c r="H9" s="3193" t="s">
        <v>3062</v>
      </c>
      <c r="I9" s="3193" t="s">
        <v>3084</v>
      </c>
      <c r="J9" s="3193" t="s">
        <v>3084</v>
      </c>
      <c r="K9" s="3193">
        <v>23200</v>
      </c>
      <c r="L9" s="3193">
        <v>35600</v>
      </c>
      <c r="M9" s="3193">
        <v>5764.93</v>
      </c>
      <c r="N9" s="3193">
        <v>53.45</v>
      </c>
      <c r="O9" s="3193" t="s">
        <v>3088</v>
      </c>
      <c r="P9" s="3193" t="s">
        <v>3089</v>
      </c>
    </row>
    <row r="10" spans="1:16">
      <c r="A10" s="3192" t="s">
        <v>3090</v>
      </c>
      <c r="B10" s="3192" t="s">
        <v>3053</v>
      </c>
      <c r="C10" s="3192" t="s">
        <v>3062</v>
      </c>
      <c r="D10" s="3192">
        <v>10359</v>
      </c>
      <c r="E10" s="3192">
        <v>15538.5</v>
      </c>
      <c r="F10" s="3192" t="s">
        <v>3091</v>
      </c>
      <c r="G10" s="3192" t="s">
        <v>3056</v>
      </c>
      <c r="H10" s="3192" t="s">
        <v>3064</v>
      </c>
      <c r="I10" s="3192" t="s">
        <v>3092</v>
      </c>
      <c r="J10" s="3192" t="s">
        <v>3092</v>
      </c>
      <c r="K10" s="3192">
        <v>7000</v>
      </c>
      <c r="L10" s="3192">
        <v>7700</v>
      </c>
      <c r="M10" s="3192">
        <v>4955.43</v>
      </c>
      <c r="N10" s="3192">
        <v>10</v>
      </c>
      <c r="O10" s="3192" t="s">
        <v>3093</v>
      </c>
      <c r="P10" s="3192" t="s">
        <v>3077</v>
      </c>
    </row>
    <row r="11" spans="1:16">
      <c r="A11" s="3192" t="s">
        <v>3094</v>
      </c>
      <c r="B11" s="3192" t="s">
        <v>3053</v>
      </c>
      <c r="C11" s="3192" t="s">
        <v>3062</v>
      </c>
      <c r="D11" s="3192">
        <v>75343</v>
      </c>
      <c r="E11" s="3192">
        <v>150686</v>
      </c>
      <c r="F11" s="3192" t="s">
        <v>3095</v>
      </c>
      <c r="G11" s="3192" t="s">
        <v>3056</v>
      </c>
      <c r="H11" s="3192" t="s">
        <v>3064</v>
      </c>
      <c r="I11" s="3192" t="s">
        <v>3092</v>
      </c>
      <c r="J11" s="3192" t="s">
        <v>3092</v>
      </c>
      <c r="K11" s="3192">
        <v>113000</v>
      </c>
      <c r="L11" s="3192">
        <v>211000</v>
      </c>
      <c r="M11" s="3192">
        <v>14002.62</v>
      </c>
      <c r="N11" s="3192">
        <v>86.73</v>
      </c>
      <c r="O11" s="3192" t="s">
        <v>3096</v>
      </c>
      <c r="P11" s="3192" t="s">
        <v>3067</v>
      </c>
    </row>
    <row r="12" spans="1:16">
      <c r="A12" s="3192" t="s">
        <v>3097</v>
      </c>
      <c r="B12" s="3192" t="s">
        <v>3053</v>
      </c>
      <c r="C12" s="3192" t="s">
        <v>3054</v>
      </c>
      <c r="D12" s="3192">
        <v>87705</v>
      </c>
      <c r="E12" s="3192">
        <v>192951</v>
      </c>
      <c r="F12" s="3192" t="s">
        <v>3098</v>
      </c>
      <c r="G12" s="3192" t="s">
        <v>3056</v>
      </c>
      <c r="H12" s="3192" t="s">
        <v>3057</v>
      </c>
      <c r="I12" s="3192" t="s">
        <v>3099</v>
      </c>
      <c r="J12" s="3192" t="s">
        <v>3099</v>
      </c>
      <c r="K12" s="3192">
        <v>132000</v>
      </c>
      <c r="L12" s="3192">
        <v>195000</v>
      </c>
      <c r="M12" s="3192">
        <v>10106.19</v>
      </c>
      <c r="N12" s="3192">
        <v>47.73</v>
      </c>
      <c r="O12" s="3192" t="s">
        <v>3100</v>
      </c>
      <c r="P12" s="3192" t="s">
        <v>3060</v>
      </c>
    </row>
    <row r="13" spans="1:16" s="3193" customFormat="1">
      <c r="A13" s="3193" t="s">
        <v>3101</v>
      </c>
      <c r="B13" s="3193" t="s">
        <v>3053</v>
      </c>
      <c r="C13" s="3193" t="s">
        <v>3062</v>
      </c>
      <c r="D13" s="3193">
        <v>68563</v>
      </c>
      <c r="E13" s="3193">
        <v>137126</v>
      </c>
      <c r="F13" s="3193" t="s">
        <v>3081</v>
      </c>
      <c r="G13" s="3193" t="s">
        <v>3056</v>
      </c>
      <c r="H13" s="3193" t="s">
        <v>3064</v>
      </c>
      <c r="I13" s="3193" t="s">
        <v>3102</v>
      </c>
      <c r="J13" s="3193" t="s">
        <v>3102</v>
      </c>
      <c r="K13" s="3193">
        <v>48400</v>
      </c>
      <c r="L13" s="3193">
        <v>57400</v>
      </c>
      <c r="M13" s="3193">
        <v>4185.93</v>
      </c>
      <c r="N13" s="3193">
        <v>18.600000000000001</v>
      </c>
      <c r="O13" s="3193" t="s">
        <v>3103</v>
      </c>
      <c r="P13" s="3193" t="s">
        <v>3077</v>
      </c>
    </row>
    <row r="14" spans="1:16">
      <c r="A14" s="3192" t="s">
        <v>3104</v>
      </c>
      <c r="B14" s="3192" t="s">
        <v>3053</v>
      </c>
      <c r="C14" s="3192" t="s">
        <v>3062</v>
      </c>
      <c r="D14" s="3192">
        <v>40087</v>
      </c>
      <c r="E14" s="3192">
        <v>60130.5</v>
      </c>
      <c r="F14" s="3192" t="s">
        <v>3079</v>
      </c>
      <c r="G14" s="3192" t="s">
        <v>3056</v>
      </c>
      <c r="H14" s="3192" t="s">
        <v>3062</v>
      </c>
      <c r="I14" s="3192" t="s">
        <v>3105</v>
      </c>
      <c r="J14" s="3192" t="s">
        <v>3105</v>
      </c>
      <c r="K14" s="3192">
        <v>57100</v>
      </c>
      <c r="L14" s="3192">
        <v>89500</v>
      </c>
      <c r="M14" s="3192">
        <v>14884.29</v>
      </c>
      <c r="N14" s="3192">
        <v>56.74</v>
      </c>
      <c r="O14" s="3192" t="s">
        <v>3106</v>
      </c>
      <c r="P14" s="3192" t="s">
        <v>3060</v>
      </c>
    </row>
    <row r="15" spans="1:16">
      <c r="A15" s="3192" t="s">
        <v>3107</v>
      </c>
      <c r="B15" s="3192" t="s">
        <v>3053</v>
      </c>
      <c r="C15" s="3192" t="s">
        <v>3062</v>
      </c>
      <c r="D15" s="3192">
        <v>55052</v>
      </c>
      <c r="E15" s="3192">
        <v>121114.4</v>
      </c>
      <c r="F15" s="3192" t="s">
        <v>3108</v>
      </c>
      <c r="G15" s="3192" t="s">
        <v>3056</v>
      </c>
      <c r="H15" s="3192" t="s">
        <v>3062</v>
      </c>
      <c r="I15" s="3192" t="s">
        <v>3105</v>
      </c>
      <c r="J15" s="3192" t="s">
        <v>3105</v>
      </c>
      <c r="K15" s="3192">
        <v>66100</v>
      </c>
      <c r="L15" s="3192">
        <v>99000</v>
      </c>
      <c r="M15" s="3192">
        <v>8174.09</v>
      </c>
      <c r="N15" s="3192">
        <v>49.77</v>
      </c>
      <c r="O15" s="3192" t="s">
        <v>3109</v>
      </c>
      <c r="P15" s="3192" t="s">
        <v>3060</v>
      </c>
    </row>
    <row r="16" spans="1:16">
      <c r="A16" s="3192" t="s">
        <v>3110</v>
      </c>
      <c r="B16" s="3192" t="s">
        <v>3053</v>
      </c>
      <c r="C16" s="3192" t="s">
        <v>3054</v>
      </c>
      <c r="D16" s="3192">
        <v>19543</v>
      </c>
      <c r="E16" s="3192">
        <v>35177.4</v>
      </c>
      <c r="F16" s="3192" t="s">
        <v>3087</v>
      </c>
      <c r="G16" s="3192" t="s">
        <v>3056</v>
      </c>
      <c r="H16" s="3192" t="s">
        <v>3111</v>
      </c>
      <c r="I16" s="3192" t="s">
        <v>3112</v>
      </c>
      <c r="J16" s="3192" t="s">
        <v>3112</v>
      </c>
      <c r="K16" s="3192">
        <v>3590</v>
      </c>
      <c r="L16" s="3192">
        <v>3740</v>
      </c>
      <c r="M16" s="3192">
        <v>1063.18</v>
      </c>
      <c r="N16" s="3192">
        <v>4.18</v>
      </c>
      <c r="O16" s="3192" t="s">
        <v>3113</v>
      </c>
      <c r="P16" s="3192" t="s">
        <v>3077</v>
      </c>
    </row>
    <row r="17" spans="1:16">
      <c r="A17" s="3192" t="s">
        <v>3114</v>
      </c>
      <c r="B17" s="3192" t="s">
        <v>3053</v>
      </c>
      <c r="C17" s="3192" t="s">
        <v>3054</v>
      </c>
      <c r="D17" s="3192">
        <v>23395</v>
      </c>
      <c r="E17" s="3192">
        <v>51469</v>
      </c>
      <c r="F17" s="3192" t="s">
        <v>3108</v>
      </c>
      <c r="G17" s="3192" t="s">
        <v>3056</v>
      </c>
      <c r="H17" s="3192" t="s">
        <v>3111</v>
      </c>
      <c r="I17" s="3192" t="s">
        <v>3112</v>
      </c>
      <c r="J17" s="3192" t="s">
        <v>3112</v>
      </c>
      <c r="K17" s="3192">
        <v>22800</v>
      </c>
      <c r="L17" s="3192">
        <v>39600</v>
      </c>
      <c r="M17" s="3192">
        <v>7693.94</v>
      </c>
      <c r="N17" s="3192">
        <v>73.680000000000007</v>
      </c>
      <c r="O17" s="3192" t="s">
        <v>3115</v>
      </c>
      <c r="P17" s="3192" t="s">
        <v>3067</v>
      </c>
    </row>
    <row r="18" spans="1:16">
      <c r="A18" s="3192" t="s">
        <v>3116</v>
      </c>
      <c r="B18" s="3192" t="s">
        <v>3053</v>
      </c>
      <c r="C18" s="3192" t="s">
        <v>3054</v>
      </c>
      <c r="D18" s="3192">
        <v>17051</v>
      </c>
      <c r="E18" s="3192">
        <v>28986.7</v>
      </c>
      <c r="F18" s="3192" t="s">
        <v>3117</v>
      </c>
      <c r="G18" s="3192" t="s">
        <v>3056</v>
      </c>
      <c r="H18" s="3192" t="s">
        <v>3111</v>
      </c>
      <c r="I18" s="3192" t="s">
        <v>3112</v>
      </c>
      <c r="J18" s="3192" t="s">
        <v>3112</v>
      </c>
      <c r="K18" s="3192">
        <v>12800</v>
      </c>
      <c r="L18" s="3192">
        <v>15000</v>
      </c>
      <c r="M18" s="3192">
        <v>5174.78</v>
      </c>
      <c r="N18" s="3192">
        <v>17.190000000000001</v>
      </c>
      <c r="O18" s="3192" t="s">
        <v>3118</v>
      </c>
      <c r="P18" s="3192" t="s">
        <v>3067</v>
      </c>
    </row>
    <row r="19" spans="1:16">
      <c r="A19" s="3192" t="s">
        <v>3119</v>
      </c>
      <c r="B19" s="3192" t="s">
        <v>3053</v>
      </c>
      <c r="C19" s="3192" t="s">
        <v>3054</v>
      </c>
      <c r="D19" s="3192">
        <v>93717</v>
      </c>
      <c r="E19" s="3192">
        <v>206177.4</v>
      </c>
      <c r="F19" s="3192" t="s">
        <v>3055</v>
      </c>
      <c r="G19" s="3192" t="s">
        <v>3056</v>
      </c>
      <c r="H19" s="3192" t="s">
        <v>3057</v>
      </c>
      <c r="I19" s="3192" t="s">
        <v>3120</v>
      </c>
      <c r="J19" s="3192" t="s">
        <v>3120</v>
      </c>
      <c r="K19" s="3192">
        <v>85000</v>
      </c>
      <c r="L19" s="3192">
        <v>125000</v>
      </c>
      <c r="M19" s="3192">
        <v>6062.73</v>
      </c>
      <c r="N19" s="3192">
        <v>47.06</v>
      </c>
      <c r="O19" s="3192" t="s">
        <v>3121</v>
      </c>
      <c r="P19" s="3192" t="s">
        <v>3067</v>
      </c>
    </row>
    <row r="20" spans="1:16">
      <c r="A20" s="3192" t="s">
        <v>3122</v>
      </c>
      <c r="B20" s="3192" t="s">
        <v>3053</v>
      </c>
      <c r="C20" s="3192" t="s">
        <v>3062</v>
      </c>
      <c r="D20" s="3192">
        <v>42506.400000000001</v>
      </c>
      <c r="E20" s="3192">
        <v>85012.800000000003</v>
      </c>
      <c r="F20" s="3192" t="s">
        <v>3081</v>
      </c>
      <c r="G20" s="3192" t="s">
        <v>3056</v>
      </c>
      <c r="H20" s="3192" t="s">
        <v>3064</v>
      </c>
      <c r="I20" s="3192" t="s">
        <v>3123</v>
      </c>
      <c r="J20" s="3192" t="s">
        <v>3123</v>
      </c>
      <c r="K20" s="3192">
        <v>25500</v>
      </c>
      <c r="L20" s="3192">
        <v>38700</v>
      </c>
      <c r="M20" s="3192">
        <v>4552.26</v>
      </c>
      <c r="N20" s="3192">
        <v>51.76</v>
      </c>
      <c r="O20" s="3192" t="s">
        <v>3124</v>
      </c>
      <c r="P20" s="3192" t="s">
        <v>3077</v>
      </c>
    </row>
    <row r="21" spans="1:16">
      <c r="A21" s="3192" t="s">
        <v>3125</v>
      </c>
      <c r="B21" s="3192" t="s">
        <v>3053</v>
      </c>
      <c r="C21" s="3192" t="s">
        <v>3062</v>
      </c>
      <c r="D21" s="3192">
        <v>28855</v>
      </c>
      <c r="E21" s="3192">
        <v>57710</v>
      </c>
      <c r="F21" s="3192" t="s">
        <v>3081</v>
      </c>
      <c r="G21" s="3192" t="s">
        <v>3056</v>
      </c>
      <c r="H21" s="3192" t="s">
        <v>3064</v>
      </c>
      <c r="I21" s="3192" t="s">
        <v>3126</v>
      </c>
      <c r="J21" s="3192" t="s">
        <v>3126</v>
      </c>
      <c r="K21" s="3192">
        <v>28200</v>
      </c>
      <c r="L21" s="3192">
        <v>33700</v>
      </c>
      <c r="M21" s="3192">
        <v>5839.53</v>
      </c>
      <c r="N21" s="3192">
        <v>19.5</v>
      </c>
      <c r="O21" s="3192" t="s">
        <v>3127</v>
      </c>
      <c r="P21" s="3192" t="s">
        <v>3077</v>
      </c>
    </row>
    <row r="22" spans="1:16">
      <c r="A22" s="3192" t="s">
        <v>3128</v>
      </c>
      <c r="B22" s="3192" t="s">
        <v>3053</v>
      </c>
      <c r="C22" s="3192" t="s">
        <v>3062</v>
      </c>
      <c r="D22" s="3192">
        <v>39787</v>
      </c>
      <c r="E22" s="3192">
        <v>79574</v>
      </c>
      <c r="F22" s="3192" t="s">
        <v>3081</v>
      </c>
      <c r="G22" s="3192" t="s">
        <v>3056</v>
      </c>
      <c r="H22" s="3192" t="s">
        <v>3064</v>
      </c>
      <c r="I22" s="3192" t="s">
        <v>3126</v>
      </c>
      <c r="J22" s="3192" t="s">
        <v>3126</v>
      </c>
      <c r="K22" s="3192">
        <v>38800</v>
      </c>
      <c r="L22" s="3192">
        <v>45800</v>
      </c>
      <c r="M22" s="3192">
        <v>5755.64</v>
      </c>
      <c r="N22" s="3192">
        <v>18.04</v>
      </c>
      <c r="O22" s="3192" t="s">
        <v>3129</v>
      </c>
      <c r="P22" s="3192" t="s">
        <v>3077</v>
      </c>
    </row>
    <row r="23" spans="1:16">
      <c r="A23" s="3192" t="s">
        <v>3130</v>
      </c>
      <c r="B23" s="3192" t="s">
        <v>3053</v>
      </c>
      <c r="C23" s="3192" t="s">
        <v>3054</v>
      </c>
      <c r="D23" s="3192">
        <v>67402</v>
      </c>
      <c r="E23" s="3192">
        <v>148284.4</v>
      </c>
      <c r="F23" s="3192" t="s">
        <v>3098</v>
      </c>
      <c r="G23" s="3192" t="s">
        <v>3056</v>
      </c>
      <c r="H23" s="3192" t="s">
        <v>3057</v>
      </c>
      <c r="I23" s="3192" t="s">
        <v>3131</v>
      </c>
      <c r="J23" s="3192" t="s">
        <v>3131</v>
      </c>
      <c r="K23" s="3192">
        <v>57400</v>
      </c>
      <c r="L23" s="3192">
        <v>58900</v>
      </c>
      <c r="M23" s="3192">
        <v>3972.09</v>
      </c>
      <c r="N23" s="3192">
        <v>2.61</v>
      </c>
      <c r="O23" s="3192" t="s">
        <v>3132</v>
      </c>
      <c r="P23" s="3192" t="s">
        <v>3067</v>
      </c>
    </row>
    <row r="24" spans="1:16">
      <c r="A24" s="3192" t="s">
        <v>3133</v>
      </c>
      <c r="B24" s="3192" t="s">
        <v>3053</v>
      </c>
      <c r="C24" s="3192" t="s">
        <v>3062</v>
      </c>
      <c r="D24" s="3192">
        <v>107822.7</v>
      </c>
      <c r="E24" s="3192">
        <v>161734.1</v>
      </c>
      <c r="F24" s="3192" t="s">
        <v>3134</v>
      </c>
      <c r="G24" s="3192" t="s">
        <v>3056</v>
      </c>
      <c r="H24" s="3192" t="s">
        <v>3064</v>
      </c>
      <c r="I24" s="3192" t="s">
        <v>3135</v>
      </c>
      <c r="J24" s="3192" t="s">
        <v>3135</v>
      </c>
      <c r="K24" s="3192">
        <v>154000</v>
      </c>
      <c r="L24" s="3192">
        <v>209000</v>
      </c>
      <c r="M24" s="3192">
        <v>12922.44</v>
      </c>
      <c r="N24" s="3192">
        <v>35.71</v>
      </c>
      <c r="O24" s="3192" t="s">
        <v>3088</v>
      </c>
      <c r="P24" s="3192" t="s">
        <v>3060</v>
      </c>
    </row>
    <row r="25" spans="1:16">
      <c r="A25" s="3192" t="s">
        <v>3136</v>
      </c>
      <c r="B25" s="3192" t="s">
        <v>3053</v>
      </c>
      <c r="C25" s="3192" t="s">
        <v>3062</v>
      </c>
      <c r="D25" s="3192">
        <v>86935</v>
      </c>
      <c r="E25" s="3192">
        <v>191257</v>
      </c>
      <c r="F25" s="3192" t="s">
        <v>3137</v>
      </c>
      <c r="G25" s="3192" t="s">
        <v>3056</v>
      </c>
      <c r="H25" s="3192" t="s">
        <v>3064</v>
      </c>
      <c r="I25" s="3192" t="s">
        <v>3138</v>
      </c>
      <c r="J25" s="3192" t="s">
        <v>3138</v>
      </c>
      <c r="K25" s="3192">
        <v>85000</v>
      </c>
      <c r="L25" s="3192">
        <v>112000</v>
      </c>
      <c r="M25" s="3192">
        <v>5855.98</v>
      </c>
      <c r="N25" s="3192">
        <v>31.76</v>
      </c>
      <c r="O25" s="3192" t="s">
        <v>3139</v>
      </c>
      <c r="P25" s="3192" t="s">
        <v>3067</v>
      </c>
    </row>
    <row r="26" spans="1:16" s="3193" customFormat="1">
      <c r="A26" s="3193" t="s">
        <v>3140</v>
      </c>
      <c r="B26" s="3193" t="s">
        <v>3053</v>
      </c>
      <c r="C26" s="3193" t="s">
        <v>3062</v>
      </c>
      <c r="D26" s="3193">
        <v>176055</v>
      </c>
      <c r="E26" s="3193">
        <v>369715.5</v>
      </c>
      <c r="F26" s="3193" t="s">
        <v>3141</v>
      </c>
      <c r="G26" s="3193" t="s">
        <v>3056</v>
      </c>
      <c r="H26" s="3193" t="s">
        <v>3064</v>
      </c>
      <c r="I26" s="3193" t="s">
        <v>3142</v>
      </c>
      <c r="J26" s="3193" t="s">
        <v>3142</v>
      </c>
      <c r="K26" s="3193">
        <v>159000</v>
      </c>
      <c r="L26" s="3193">
        <v>245000</v>
      </c>
      <c r="M26" s="3193">
        <v>6626.72</v>
      </c>
      <c r="N26" s="3193">
        <v>54.09</v>
      </c>
      <c r="O26" s="3193" t="s">
        <v>3143</v>
      </c>
      <c r="P26" s="3193" t="s">
        <v>3077</v>
      </c>
    </row>
    <row r="27" spans="1:16">
      <c r="A27" s="3192" t="s">
        <v>3144</v>
      </c>
      <c r="B27" s="3192" t="s">
        <v>3053</v>
      </c>
      <c r="C27" s="3192" t="s">
        <v>3054</v>
      </c>
      <c r="D27" s="3192">
        <v>141724</v>
      </c>
      <c r="E27" s="3192">
        <v>283448</v>
      </c>
      <c r="F27" s="3192" t="s">
        <v>3145</v>
      </c>
      <c r="G27" s="3192" t="s">
        <v>3056</v>
      </c>
      <c r="H27" s="3192" t="s">
        <v>3057</v>
      </c>
      <c r="I27" s="3192" t="s">
        <v>3146</v>
      </c>
      <c r="J27" s="3192" t="s">
        <v>3146</v>
      </c>
      <c r="K27" s="3192">
        <v>192000</v>
      </c>
      <c r="L27" s="3192">
        <v>262000</v>
      </c>
      <c r="M27" s="3192">
        <v>9243.31</v>
      </c>
      <c r="N27" s="3192">
        <v>36.46</v>
      </c>
      <c r="O27" s="3192" t="s">
        <v>3147</v>
      </c>
      <c r="P27" s="3192" t="s">
        <v>3148</v>
      </c>
    </row>
    <row r="28" spans="1:16">
      <c r="A28" s="3192" t="s">
        <v>3149</v>
      </c>
      <c r="B28" s="3192" t="s">
        <v>3053</v>
      </c>
      <c r="C28" s="3192" t="s">
        <v>3054</v>
      </c>
      <c r="D28" s="3192">
        <v>33349</v>
      </c>
      <c r="E28" s="3192">
        <v>73367.8</v>
      </c>
      <c r="F28" s="3192" t="s">
        <v>3150</v>
      </c>
      <c r="G28" s="3192" t="s">
        <v>3056</v>
      </c>
      <c r="H28" s="3192" t="s">
        <v>3057</v>
      </c>
      <c r="I28" s="3192" t="s">
        <v>3146</v>
      </c>
      <c r="J28" s="3192" t="s">
        <v>3146</v>
      </c>
      <c r="K28" s="3192">
        <v>23000</v>
      </c>
      <c r="L28" s="3192">
        <v>34700</v>
      </c>
      <c r="M28" s="3192">
        <v>4729.6000000000004</v>
      </c>
      <c r="N28" s="3192">
        <v>50.87</v>
      </c>
      <c r="O28" s="3192" t="s">
        <v>3151</v>
      </c>
      <c r="P28" s="3192" t="s">
        <v>3077</v>
      </c>
    </row>
    <row r="29" spans="1:16">
      <c r="A29" s="3192" t="s">
        <v>3152</v>
      </c>
      <c r="B29" s="3192" t="s">
        <v>3053</v>
      </c>
      <c r="C29" s="3192" t="s">
        <v>3054</v>
      </c>
      <c r="D29" s="3192">
        <v>26709</v>
      </c>
      <c r="E29" s="3192">
        <v>58759.8</v>
      </c>
      <c r="F29" s="3192" t="s">
        <v>3150</v>
      </c>
      <c r="G29" s="3192" t="s">
        <v>3056</v>
      </c>
      <c r="H29" s="3192" t="s">
        <v>3057</v>
      </c>
      <c r="I29" s="3192" t="s">
        <v>3146</v>
      </c>
      <c r="J29" s="3192" t="s">
        <v>3146</v>
      </c>
      <c r="K29" s="3192">
        <v>36000</v>
      </c>
      <c r="L29" s="3192">
        <v>48000</v>
      </c>
      <c r="M29" s="3192">
        <v>8168.85</v>
      </c>
      <c r="N29" s="3192">
        <v>33.33</v>
      </c>
      <c r="O29" s="3192" t="s">
        <v>3153</v>
      </c>
      <c r="P29" s="3192" t="s">
        <v>3060</v>
      </c>
    </row>
    <row r="30" spans="1:16">
      <c r="A30" s="3192" t="s">
        <v>3154</v>
      </c>
      <c r="B30" s="3192" t="s">
        <v>3053</v>
      </c>
      <c r="C30" s="3192" t="s">
        <v>3054</v>
      </c>
      <c r="D30" s="3192">
        <v>60579</v>
      </c>
      <c r="E30" s="3192">
        <v>133273.79999999999</v>
      </c>
      <c r="F30" s="3192" t="s">
        <v>3155</v>
      </c>
      <c r="G30" s="3192" t="s">
        <v>3056</v>
      </c>
      <c r="H30" s="3192" t="s">
        <v>3111</v>
      </c>
      <c r="I30" s="3192" t="s">
        <v>3156</v>
      </c>
      <c r="J30" s="3192" t="s">
        <v>3156</v>
      </c>
      <c r="K30" s="3192">
        <v>82000</v>
      </c>
      <c r="L30" s="3192">
        <v>117000</v>
      </c>
      <c r="M30" s="3192">
        <v>8778.92</v>
      </c>
      <c r="N30" s="3192">
        <v>42.68</v>
      </c>
      <c r="O30" s="3192" t="s">
        <v>3157</v>
      </c>
      <c r="P30" s="3192" t="s">
        <v>3148</v>
      </c>
    </row>
    <row r="31" spans="1:16">
      <c r="A31" s="3192" t="s">
        <v>3158</v>
      </c>
      <c r="B31" s="3192" t="s">
        <v>3053</v>
      </c>
      <c r="C31" s="3192" t="s">
        <v>3062</v>
      </c>
      <c r="D31" s="3192">
        <v>111718</v>
      </c>
      <c r="E31" s="3192">
        <v>245779.6</v>
      </c>
      <c r="F31" s="3192" t="s">
        <v>3155</v>
      </c>
      <c r="G31" s="3192" t="s">
        <v>3056</v>
      </c>
      <c r="H31" s="3192" t="s">
        <v>3064</v>
      </c>
      <c r="I31" s="3192" t="s">
        <v>3159</v>
      </c>
      <c r="J31" s="3192" t="s">
        <v>3159</v>
      </c>
      <c r="K31" s="3192">
        <v>139100</v>
      </c>
      <c r="L31" s="3192">
        <v>221100</v>
      </c>
      <c r="M31" s="3192">
        <v>8995.86</v>
      </c>
      <c r="N31" s="3192">
        <v>58.95</v>
      </c>
      <c r="O31" s="3192" t="s">
        <v>3160</v>
      </c>
      <c r="P31" s="3192" t="s">
        <v>3060</v>
      </c>
    </row>
    <row r="32" spans="1:16">
      <c r="A32" s="3192" t="s">
        <v>3161</v>
      </c>
      <c r="B32" s="3192" t="s">
        <v>3053</v>
      </c>
      <c r="C32" s="3192" t="s">
        <v>3062</v>
      </c>
      <c r="D32" s="3192">
        <v>27590</v>
      </c>
      <c r="E32" s="3192">
        <v>49662</v>
      </c>
      <c r="F32" s="3192" t="s">
        <v>3162</v>
      </c>
      <c r="G32" s="3192" t="s">
        <v>3056</v>
      </c>
      <c r="H32" s="3192" t="s">
        <v>3064</v>
      </c>
      <c r="I32" s="3192" t="s">
        <v>3159</v>
      </c>
      <c r="J32" s="3192" t="s">
        <v>3159</v>
      </c>
      <c r="K32" s="3192">
        <v>14500</v>
      </c>
      <c r="L32" s="3192">
        <v>22700</v>
      </c>
      <c r="M32" s="3192">
        <v>4570.8900000000003</v>
      </c>
      <c r="N32" s="3192">
        <v>56.55</v>
      </c>
      <c r="O32" s="3192" t="s">
        <v>3163</v>
      </c>
      <c r="P32" s="3192" t="s">
        <v>3067</v>
      </c>
    </row>
    <row r="33" spans="1:16">
      <c r="A33" s="3192" t="s">
        <v>3164</v>
      </c>
      <c r="B33" s="3192" t="s">
        <v>3053</v>
      </c>
      <c r="C33" s="3192" t="s">
        <v>3062</v>
      </c>
      <c r="D33" s="3192">
        <v>77282.91</v>
      </c>
      <c r="E33" s="3192">
        <v>170022.39999999999</v>
      </c>
      <c r="F33" s="3192" t="s">
        <v>3155</v>
      </c>
      <c r="G33" s="3192" t="s">
        <v>3056</v>
      </c>
      <c r="H33" s="3192" t="s">
        <v>3064</v>
      </c>
      <c r="I33" s="3192" t="s">
        <v>3165</v>
      </c>
      <c r="J33" s="3192" t="s">
        <v>3165</v>
      </c>
      <c r="K33" s="3192">
        <v>75400</v>
      </c>
      <c r="L33" s="3192">
        <v>117000</v>
      </c>
      <c r="M33" s="3192">
        <v>6881.44</v>
      </c>
      <c r="N33" s="3192">
        <v>55.17</v>
      </c>
      <c r="O33" s="3192" t="s">
        <v>3147</v>
      </c>
      <c r="P33" s="3192" t="s">
        <v>3067</v>
      </c>
    </row>
    <row r="34" spans="1:16">
      <c r="A34" s="3192" t="s">
        <v>3166</v>
      </c>
      <c r="B34" s="3192" t="s">
        <v>3053</v>
      </c>
      <c r="C34" s="3192" t="s">
        <v>3062</v>
      </c>
      <c r="D34" s="3192">
        <v>112678</v>
      </c>
      <c r="E34" s="3192">
        <v>281695</v>
      </c>
      <c r="F34" s="3192" t="s">
        <v>3167</v>
      </c>
      <c r="G34" s="3192" t="s">
        <v>3056</v>
      </c>
      <c r="H34" s="3192" t="s">
        <v>3168</v>
      </c>
      <c r="I34" s="3192" t="s">
        <v>3169</v>
      </c>
      <c r="J34" s="3192" t="s">
        <v>3169</v>
      </c>
      <c r="K34" s="3192">
        <v>44000</v>
      </c>
      <c r="L34" s="3192">
        <v>61200</v>
      </c>
      <c r="M34" s="3192">
        <v>2172.5500000000002</v>
      </c>
      <c r="N34" s="3192">
        <v>39.090000000000003</v>
      </c>
      <c r="O34" s="3192" t="s">
        <v>3170</v>
      </c>
      <c r="P34" s="3192" t="s">
        <v>3060</v>
      </c>
    </row>
    <row r="35" spans="1:16">
      <c r="A35" s="3192" t="s">
        <v>3171</v>
      </c>
      <c r="B35" s="3192" t="s">
        <v>3053</v>
      </c>
      <c r="C35" s="3192" t="s">
        <v>3062</v>
      </c>
      <c r="D35" s="3192">
        <v>38108</v>
      </c>
      <c r="E35" s="3192">
        <v>83837.600000000006</v>
      </c>
      <c r="F35" s="3192" t="s">
        <v>3150</v>
      </c>
      <c r="G35" s="3192" t="s">
        <v>3056</v>
      </c>
      <c r="H35" s="3192" t="s">
        <v>3168</v>
      </c>
      <c r="I35" s="3192" t="s">
        <v>3169</v>
      </c>
      <c r="J35" s="3192" t="s">
        <v>3169</v>
      </c>
      <c r="K35" s="3192">
        <v>20100</v>
      </c>
      <c r="L35" s="3192">
        <v>20300</v>
      </c>
      <c r="M35" s="3192">
        <v>2421.34</v>
      </c>
      <c r="N35" s="3192">
        <v>1</v>
      </c>
      <c r="O35" s="3192" t="s">
        <v>3160</v>
      </c>
      <c r="P35" s="3192" t="s">
        <v>3077</v>
      </c>
    </row>
    <row r="36" spans="1:16">
      <c r="A36" s="3192" t="s">
        <v>3172</v>
      </c>
      <c r="B36" s="3192" t="s">
        <v>3053</v>
      </c>
      <c r="C36" s="3192" t="s">
        <v>3054</v>
      </c>
      <c r="D36" s="3192">
        <v>68681</v>
      </c>
      <c r="E36" s="3192">
        <v>151098.20000000001</v>
      </c>
      <c r="F36" s="3192" t="s">
        <v>3150</v>
      </c>
      <c r="G36" s="3192" t="s">
        <v>3056</v>
      </c>
      <c r="H36" s="3192" t="s">
        <v>3111</v>
      </c>
      <c r="I36" s="3192" t="s">
        <v>3173</v>
      </c>
      <c r="J36" s="3192" t="s">
        <v>3173</v>
      </c>
      <c r="K36" s="3192">
        <v>103000</v>
      </c>
      <c r="L36" s="3192">
        <v>104000</v>
      </c>
      <c r="M36" s="3192">
        <v>6882.93</v>
      </c>
      <c r="N36" s="3192">
        <v>0.97</v>
      </c>
      <c r="O36" s="3192" t="s">
        <v>3174</v>
      </c>
      <c r="P36" s="3192" t="s">
        <v>3060</v>
      </c>
    </row>
    <row r="37" spans="1:16">
      <c r="A37" s="3192" t="s">
        <v>3175</v>
      </c>
      <c r="B37" s="3192" t="s">
        <v>3053</v>
      </c>
      <c r="C37" s="3192" t="s">
        <v>3054</v>
      </c>
      <c r="D37" s="3192">
        <v>69048.67</v>
      </c>
      <c r="E37" s="3192">
        <v>138097.29999999999</v>
      </c>
      <c r="F37" s="3192" t="s">
        <v>3145</v>
      </c>
      <c r="G37" s="3192" t="s">
        <v>3056</v>
      </c>
      <c r="H37" s="3192" t="s">
        <v>3111</v>
      </c>
      <c r="I37" s="3192" t="s">
        <v>3176</v>
      </c>
      <c r="J37" s="3192" t="s">
        <v>3176</v>
      </c>
      <c r="K37" s="3192">
        <v>30036.16</v>
      </c>
      <c r="L37" s="3192">
        <v>30136.16</v>
      </c>
      <c r="M37" s="3192">
        <v>2182.23</v>
      </c>
      <c r="N37" s="3192">
        <v>0.33</v>
      </c>
      <c r="O37" s="3192" t="s">
        <v>3177</v>
      </c>
      <c r="P37" s="3192" t="s">
        <v>3067</v>
      </c>
    </row>
    <row r="38" spans="1:16">
      <c r="A38" s="3192" t="s">
        <v>3178</v>
      </c>
      <c r="B38" s="3192" t="s">
        <v>3053</v>
      </c>
      <c r="C38" s="3192" t="s">
        <v>3062</v>
      </c>
      <c r="D38" s="3192">
        <v>41024.199999999997</v>
      </c>
      <c r="E38" s="3192">
        <v>82048.399999999994</v>
      </c>
      <c r="F38" s="3192" t="s">
        <v>3145</v>
      </c>
      <c r="G38" s="3192" t="s">
        <v>3056</v>
      </c>
      <c r="H38" s="3192" t="s">
        <v>3168</v>
      </c>
      <c r="I38" s="3192" t="s">
        <v>3179</v>
      </c>
      <c r="J38" s="3192" t="s">
        <v>3179</v>
      </c>
      <c r="K38" s="3192">
        <v>24700</v>
      </c>
      <c r="L38" s="3192">
        <v>24900</v>
      </c>
      <c r="M38" s="3192">
        <v>3034.78</v>
      </c>
      <c r="N38" s="3192">
        <v>0.81</v>
      </c>
      <c r="O38" s="3192" t="s">
        <v>3180</v>
      </c>
      <c r="P38" s="3192" t="s">
        <v>3077</v>
      </c>
    </row>
    <row r="39" spans="1:16">
      <c r="A39" s="3192" t="s">
        <v>3181</v>
      </c>
      <c r="B39" s="3192" t="s">
        <v>3053</v>
      </c>
      <c r="C39" s="3192" t="s">
        <v>3062</v>
      </c>
      <c r="D39" s="3192">
        <v>37558</v>
      </c>
      <c r="E39" s="3192">
        <v>75116</v>
      </c>
      <c r="F39" s="3192" t="s">
        <v>3145</v>
      </c>
      <c r="G39" s="3192" t="s">
        <v>3056</v>
      </c>
      <c r="H39" s="3192" t="s">
        <v>2808</v>
      </c>
      <c r="I39" s="3192" t="s">
        <v>3182</v>
      </c>
      <c r="J39" s="3192" t="s">
        <v>3182</v>
      </c>
      <c r="K39" s="3192">
        <v>22600</v>
      </c>
      <c r="L39" s="3192">
        <v>22800</v>
      </c>
      <c r="M39" s="3192">
        <v>3035.3</v>
      </c>
      <c r="N39" s="3192">
        <v>0.88</v>
      </c>
      <c r="O39" s="3192" t="s">
        <v>3183</v>
      </c>
      <c r="P39" s="3192" t="s">
        <v>3077</v>
      </c>
    </row>
    <row r="40" spans="1:16">
      <c r="A40" s="3192" t="s">
        <v>3184</v>
      </c>
      <c r="B40" s="3192" t="s">
        <v>3053</v>
      </c>
      <c r="C40" s="3192" t="s">
        <v>3054</v>
      </c>
      <c r="D40" s="3192">
        <v>14835</v>
      </c>
      <c r="E40" s="3192">
        <v>32637</v>
      </c>
      <c r="F40" s="3192" t="s">
        <v>3150</v>
      </c>
      <c r="G40" s="3192" t="s">
        <v>3056</v>
      </c>
      <c r="H40" s="3192" t="s">
        <v>3111</v>
      </c>
      <c r="I40" s="3192" t="s">
        <v>3185</v>
      </c>
      <c r="J40" s="3192" t="s">
        <v>3185</v>
      </c>
      <c r="K40" s="3192">
        <v>13400</v>
      </c>
      <c r="L40" s="3192">
        <v>17400</v>
      </c>
      <c r="M40" s="3192">
        <v>5331.36</v>
      </c>
      <c r="N40" s="3192">
        <v>29.85</v>
      </c>
      <c r="O40" s="3192" t="s">
        <v>3186</v>
      </c>
      <c r="P40" s="3192" t="s">
        <v>3067</v>
      </c>
    </row>
    <row r="41" spans="1:16" s="3208" customFormat="1">
      <c r="A41" s="3208" t="s">
        <v>3187</v>
      </c>
      <c r="B41" s="3208" t="s">
        <v>3053</v>
      </c>
      <c r="C41" s="3208" t="s">
        <v>3062</v>
      </c>
      <c r="D41" s="3208">
        <v>15728</v>
      </c>
      <c r="E41" s="3208">
        <v>34601.599999999999</v>
      </c>
      <c r="F41" s="3208" t="s">
        <v>3150</v>
      </c>
      <c r="G41" s="3208" t="s">
        <v>3056</v>
      </c>
      <c r="H41" s="3208" t="s">
        <v>3168</v>
      </c>
      <c r="I41" s="3208" t="s">
        <v>3188</v>
      </c>
      <c r="J41" s="3208" t="s">
        <v>3188</v>
      </c>
      <c r="K41" s="3208">
        <v>15400</v>
      </c>
      <c r="L41" s="3208">
        <v>16900</v>
      </c>
      <c r="M41" s="3208">
        <v>4884.17</v>
      </c>
      <c r="N41" s="3208">
        <v>9.74</v>
      </c>
      <c r="O41" s="3208" t="s">
        <v>3147</v>
      </c>
      <c r="P41" s="3208" t="s">
        <v>3067</v>
      </c>
    </row>
    <row r="42" spans="1:16">
      <c r="A42" s="3192" t="s">
        <v>3189</v>
      </c>
      <c r="B42" s="3192" t="s">
        <v>3053</v>
      </c>
      <c r="C42" s="3192" t="s">
        <v>3062</v>
      </c>
      <c r="D42" s="3192">
        <v>5702</v>
      </c>
      <c r="E42" s="3192">
        <v>8553</v>
      </c>
      <c r="F42" s="3192" t="s">
        <v>3091</v>
      </c>
      <c r="G42" s="3192" t="s">
        <v>3056</v>
      </c>
      <c r="H42" s="3192" t="s">
        <v>3168</v>
      </c>
      <c r="I42" s="3192" t="s">
        <v>3190</v>
      </c>
      <c r="J42" s="3192" t="s">
        <v>3190</v>
      </c>
      <c r="K42" s="3192">
        <v>3848.84</v>
      </c>
      <c r="L42" s="3192">
        <v>3898.84</v>
      </c>
      <c r="M42" s="3192">
        <v>4558.46</v>
      </c>
      <c r="N42" s="3192">
        <v>1.3</v>
      </c>
      <c r="O42" s="3192" t="s">
        <v>3076</v>
      </c>
      <c r="P42" s="3192" t="s">
        <v>3060</v>
      </c>
    </row>
    <row r="43" spans="1:16" s="3208" customFormat="1">
      <c r="A43" s="3208" t="s">
        <v>3191</v>
      </c>
      <c r="B43" s="3208" t="s">
        <v>3053</v>
      </c>
      <c r="C43" s="3208" t="s">
        <v>3062</v>
      </c>
      <c r="D43" s="3208">
        <v>43063.14</v>
      </c>
      <c r="E43" s="3208">
        <v>77513.649999999994</v>
      </c>
      <c r="F43" s="3208" t="s">
        <v>3192</v>
      </c>
      <c r="G43" s="3208" t="s">
        <v>3056</v>
      </c>
      <c r="H43" s="3208" t="s">
        <v>3168</v>
      </c>
      <c r="I43" s="3208" t="s">
        <v>3193</v>
      </c>
      <c r="J43" s="3208" t="s">
        <v>3193</v>
      </c>
      <c r="K43" s="3208">
        <v>38800</v>
      </c>
      <c r="L43" s="3208">
        <v>45600</v>
      </c>
      <c r="M43" s="3208">
        <v>5882.82</v>
      </c>
      <c r="N43" s="3208">
        <v>17.53</v>
      </c>
      <c r="O43" s="3208" t="s">
        <v>3194</v>
      </c>
      <c r="P43" s="3208" t="s">
        <v>3067</v>
      </c>
    </row>
    <row r="44" spans="1:16">
      <c r="A44" s="3192" t="s">
        <v>3195</v>
      </c>
      <c r="B44" s="3192" t="s">
        <v>3053</v>
      </c>
      <c r="C44" s="3192" t="s">
        <v>3062</v>
      </c>
      <c r="D44" s="3192">
        <v>87867</v>
      </c>
      <c r="E44" s="3192">
        <v>193307.4</v>
      </c>
      <c r="F44" s="3192" t="s">
        <v>3196</v>
      </c>
      <c r="G44" s="3192" t="s">
        <v>3056</v>
      </c>
      <c r="H44" s="3192" t="s">
        <v>3168</v>
      </c>
      <c r="I44" s="3192" t="s">
        <v>3197</v>
      </c>
      <c r="J44" s="3192" t="s">
        <v>3197</v>
      </c>
      <c r="K44" s="3192">
        <v>106000</v>
      </c>
      <c r="L44" s="3192">
        <v>123000</v>
      </c>
      <c r="M44" s="3192">
        <v>6362.92</v>
      </c>
      <c r="N44" s="3192">
        <v>16.04</v>
      </c>
      <c r="O44" s="3192" t="s">
        <v>3198</v>
      </c>
      <c r="P44" s="3192" t="s">
        <v>3148</v>
      </c>
    </row>
    <row r="45" spans="1:16">
      <c r="A45" s="3192" t="s">
        <v>3199</v>
      </c>
      <c r="B45" s="3192" t="s">
        <v>3053</v>
      </c>
      <c r="C45" s="3192" t="s">
        <v>3054</v>
      </c>
      <c r="D45" s="3192">
        <v>137836</v>
      </c>
      <c r="E45" s="3192">
        <v>198483.8</v>
      </c>
      <c r="F45" s="3192" t="s">
        <v>3200</v>
      </c>
      <c r="G45" s="3192" t="s">
        <v>3056</v>
      </c>
      <c r="H45" s="3192" t="s">
        <v>3168</v>
      </c>
      <c r="I45" s="3192" t="s">
        <v>3201</v>
      </c>
      <c r="J45" s="3192" t="s">
        <v>3201</v>
      </c>
      <c r="K45" s="3192">
        <v>197000</v>
      </c>
      <c r="L45" s="3192">
        <v>217000</v>
      </c>
      <c r="M45" s="3192">
        <v>10932.87</v>
      </c>
      <c r="N45" s="3192">
        <v>10.15</v>
      </c>
      <c r="O45" s="3192" t="s">
        <v>3202</v>
      </c>
      <c r="P45" s="3192" t="s">
        <v>3060</v>
      </c>
    </row>
    <row r="46" spans="1:16">
      <c r="A46" s="3192" t="s">
        <v>3203</v>
      </c>
      <c r="B46" s="3192" t="s">
        <v>3053</v>
      </c>
      <c r="C46" s="3192" t="s">
        <v>3062</v>
      </c>
      <c r="D46" s="3192">
        <v>65474</v>
      </c>
      <c r="E46" s="3192">
        <v>144042.79999999999</v>
      </c>
      <c r="F46" s="3192" t="s">
        <v>3204</v>
      </c>
      <c r="G46" s="3192" t="s">
        <v>3056</v>
      </c>
      <c r="H46" s="3192" t="s">
        <v>920</v>
      </c>
      <c r="I46" s="3192" t="s">
        <v>3205</v>
      </c>
      <c r="J46" s="3192" t="s">
        <v>3205</v>
      </c>
      <c r="K46" s="3192">
        <v>79000</v>
      </c>
      <c r="L46" s="3192">
        <v>95500</v>
      </c>
      <c r="M46" s="3192">
        <v>6629.97</v>
      </c>
      <c r="N46" s="3192">
        <v>20.89</v>
      </c>
      <c r="O46" s="3192" t="s">
        <v>3202</v>
      </c>
      <c r="P46" s="3192" t="s">
        <v>3067</v>
      </c>
    </row>
    <row r="47" spans="1:16" s="3208" customFormat="1">
      <c r="A47" s="3208" t="s">
        <v>3206</v>
      </c>
      <c r="B47" s="3208" t="s">
        <v>3053</v>
      </c>
      <c r="C47" s="3208" t="s">
        <v>3062</v>
      </c>
      <c r="D47" s="3208">
        <v>66938.75</v>
      </c>
      <c r="E47" s="3208">
        <v>120489.8</v>
      </c>
      <c r="F47" s="3208" t="s">
        <v>3207</v>
      </c>
      <c r="G47" s="3208" t="s">
        <v>3056</v>
      </c>
      <c r="H47" s="3208" t="s">
        <v>920</v>
      </c>
      <c r="I47" s="3208" t="s">
        <v>3208</v>
      </c>
      <c r="J47" s="3208" t="s">
        <v>3208</v>
      </c>
      <c r="K47" s="3208">
        <v>40163.25</v>
      </c>
      <c r="L47" s="3208">
        <v>68667.13</v>
      </c>
      <c r="M47" s="3208">
        <v>5699</v>
      </c>
      <c r="N47" s="3208">
        <v>70.97</v>
      </c>
      <c r="O47" s="3208" t="s">
        <v>3209</v>
      </c>
      <c r="P47" s="3208" t="s">
        <v>3077</v>
      </c>
    </row>
    <row r="48" spans="1:16">
      <c r="A48" s="3192" t="s">
        <v>3210</v>
      </c>
      <c r="B48" s="3192" t="s">
        <v>3053</v>
      </c>
      <c r="C48" s="3192" t="s">
        <v>3062</v>
      </c>
      <c r="D48" s="3192">
        <v>69261</v>
      </c>
      <c r="E48" s="3192">
        <v>124669.8</v>
      </c>
      <c r="F48" s="3192" t="s">
        <v>3207</v>
      </c>
      <c r="G48" s="3192" t="s">
        <v>3056</v>
      </c>
      <c r="H48" s="3192" t="s">
        <v>3211</v>
      </c>
      <c r="I48" s="3192" t="s">
        <v>3212</v>
      </c>
      <c r="J48" s="3192" t="s">
        <v>3212</v>
      </c>
      <c r="K48" s="3192">
        <v>36362.019999999997</v>
      </c>
      <c r="L48" s="3192">
        <v>39362.019999999997</v>
      </c>
      <c r="M48" s="3192">
        <v>3157.3</v>
      </c>
      <c r="N48" s="3192">
        <v>8.25</v>
      </c>
      <c r="O48" s="3192" t="s">
        <v>3213</v>
      </c>
      <c r="P48" s="3192" t="s">
        <v>3067</v>
      </c>
    </row>
    <row r="49" spans="1:16">
      <c r="A49" s="3192" t="s">
        <v>3214</v>
      </c>
      <c r="B49" s="3192" t="s">
        <v>3053</v>
      </c>
      <c r="C49" s="3192" t="s">
        <v>3054</v>
      </c>
      <c r="D49" s="3192">
        <v>24312</v>
      </c>
      <c r="E49" s="3192">
        <v>60780</v>
      </c>
      <c r="F49" s="3192" t="s">
        <v>3167</v>
      </c>
      <c r="G49" s="3192" t="s">
        <v>3056</v>
      </c>
      <c r="H49" s="3192" t="s">
        <v>3111</v>
      </c>
      <c r="I49" s="3192" t="s">
        <v>3215</v>
      </c>
      <c r="J49" s="3192" t="s">
        <v>3215</v>
      </c>
      <c r="K49" s="3192">
        <v>21200</v>
      </c>
      <c r="L49" s="3192">
        <v>21400</v>
      </c>
      <c r="M49" s="3192">
        <v>3520.9</v>
      </c>
      <c r="N49" s="3192">
        <v>0.94</v>
      </c>
      <c r="O49" s="3192" t="s">
        <v>3216</v>
      </c>
      <c r="P49" s="3192" t="s">
        <v>3077</v>
      </c>
    </row>
    <row r="50" spans="1:16">
      <c r="A50" s="3192" t="s">
        <v>3217</v>
      </c>
      <c r="B50" s="3192" t="s">
        <v>3053</v>
      </c>
      <c r="C50" s="3192" t="s">
        <v>3062</v>
      </c>
      <c r="D50" s="3192">
        <v>62167</v>
      </c>
      <c r="E50" s="3192">
        <v>155417.5</v>
      </c>
      <c r="F50" s="3192" t="s">
        <v>3167</v>
      </c>
      <c r="G50" s="3192" t="s">
        <v>3056</v>
      </c>
      <c r="H50" s="3192" t="s">
        <v>3168</v>
      </c>
      <c r="I50" s="3192" t="s">
        <v>3215</v>
      </c>
      <c r="J50" s="3192" t="s">
        <v>3215</v>
      </c>
      <c r="K50" s="3192">
        <v>14000</v>
      </c>
      <c r="L50" s="3192">
        <v>14200</v>
      </c>
      <c r="M50" s="3192">
        <v>913.66</v>
      </c>
      <c r="N50" s="3192">
        <v>1.43</v>
      </c>
      <c r="O50" s="3192" t="s">
        <v>3218</v>
      </c>
      <c r="P50" s="3192" t="s">
        <v>3067</v>
      </c>
    </row>
    <row r="51" spans="1:16">
      <c r="A51" s="3192" t="s">
        <v>3219</v>
      </c>
      <c r="B51" s="3192" t="s">
        <v>3053</v>
      </c>
      <c r="C51" s="3192" t="s">
        <v>3062</v>
      </c>
      <c r="D51" s="3192">
        <v>40967</v>
      </c>
      <c r="E51" s="3192">
        <v>73740.600000000006</v>
      </c>
      <c r="F51" s="3192" t="s">
        <v>3207</v>
      </c>
      <c r="G51" s="3192" t="s">
        <v>3056</v>
      </c>
      <c r="H51" s="3192" t="s">
        <v>3211</v>
      </c>
      <c r="I51" s="3192" t="s">
        <v>3220</v>
      </c>
      <c r="J51" s="3192" t="s">
        <v>3220</v>
      </c>
      <c r="K51" s="3192">
        <v>15362.62</v>
      </c>
      <c r="L51" s="3192">
        <v>24162.63</v>
      </c>
      <c r="M51" s="3192">
        <v>3276.71</v>
      </c>
      <c r="N51" s="3192">
        <v>57.28</v>
      </c>
      <c r="O51" s="3192" t="s">
        <v>3221</v>
      </c>
      <c r="P51" s="3192" t="s">
        <v>3077</v>
      </c>
    </row>
    <row r="52" spans="1:16">
      <c r="A52" s="3192" t="s">
        <v>3222</v>
      </c>
      <c r="B52" s="3192" t="s">
        <v>3053</v>
      </c>
      <c r="C52" s="3192" t="s">
        <v>3062</v>
      </c>
      <c r="D52" s="3192">
        <v>31155.74</v>
      </c>
      <c r="E52" s="3192">
        <v>68542.63</v>
      </c>
      <c r="F52" s="3192" t="s">
        <v>3204</v>
      </c>
      <c r="G52" s="3192" t="s">
        <v>3056</v>
      </c>
      <c r="H52" s="3192" t="s">
        <v>3223</v>
      </c>
      <c r="I52" s="3192" t="s">
        <v>3224</v>
      </c>
      <c r="J52" s="3192" t="s">
        <v>3224</v>
      </c>
      <c r="K52" s="3192">
        <v>23600</v>
      </c>
      <c r="L52" s="3192">
        <v>24500</v>
      </c>
      <c r="M52" s="3192">
        <v>3574.42</v>
      </c>
      <c r="N52" s="3192">
        <v>3.81</v>
      </c>
      <c r="O52" s="3192" t="s">
        <v>3225</v>
      </c>
      <c r="P52" s="3192" t="s">
        <v>3067</v>
      </c>
    </row>
    <row r="53" spans="1:16">
      <c r="A53" s="3192" t="s">
        <v>3226</v>
      </c>
      <c r="B53" s="3192" t="s">
        <v>3053</v>
      </c>
      <c r="C53" s="3192" t="s">
        <v>3062</v>
      </c>
      <c r="D53" s="3192">
        <v>49119.7</v>
      </c>
      <c r="E53" s="3192">
        <v>88415.46</v>
      </c>
      <c r="F53" s="3192" t="s">
        <v>3227</v>
      </c>
      <c r="G53" s="3192" t="s">
        <v>3056</v>
      </c>
      <c r="H53" s="3192" t="s">
        <v>920</v>
      </c>
      <c r="I53" s="3192" t="s">
        <v>3228</v>
      </c>
      <c r="J53" s="3192" t="s">
        <v>3228</v>
      </c>
      <c r="K53" s="3192">
        <v>48000</v>
      </c>
      <c r="L53" s="3192">
        <v>55000</v>
      </c>
      <c r="M53" s="3192">
        <v>6220.63</v>
      </c>
      <c r="N53" s="3192">
        <v>14.58</v>
      </c>
      <c r="O53" s="3192" t="s">
        <v>3229</v>
      </c>
      <c r="P53" s="3192" t="s">
        <v>3077</v>
      </c>
    </row>
    <row r="54" spans="1:16">
      <c r="A54" s="3192" t="s">
        <v>3230</v>
      </c>
      <c r="B54" s="3192" t="s">
        <v>3053</v>
      </c>
      <c r="C54" s="3192" t="s">
        <v>3062</v>
      </c>
      <c r="D54" s="3192">
        <v>2793.63</v>
      </c>
      <c r="E54" s="3192">
        <v>4190.45</v>
      </c>
      <c r="F54" s="3192" t="s">
        <v>3231</v>
      </c>
      <c r="G54" s="3192" t="s">
        <v>3056</v>
      </c>
      <c r="H54" s="3192" t="s">
        <v>2808</v>
      </c>
      <c r="I54" s="3192" t="s">
        <v>3232</v>
      </c>
      <c r="J54" s="3192" t="s">
        <v>3232</v>
      </c>
      <c r="K54" s="3192">
        <v>1550.46</v>
      </c>
      <c r="L54" s="3192">
        <v>1565.46</v>
      </c>
      <c r="M54" s="3192">
        <v>3735.78</v>
      </c>
      <c r="N54" s="3192">
        <v>0.97</v>
      </c>
      <c r="O54" s="3192" t="s">
        <v>3233</v>
      </c>
      <c r="P54" s="3192" t="s">
        <v>3060</v>
      </c>
    </row>
    <row r="55" spans="1:16">
      <c r="A55" s="3192" t="s">
        <v>3234</v>
      </c>
      <c r="B55" s="3192" t="s">
        <v>3053</v>
      </c>
      <c r="C55" s="3192" t="s">
        <v>3062</v>
      </c>
      <c r="D55" s="3192">
        <v>14805.6</v>
      </c>
      <c r="E55" s="3192">
        <v>37014</v>
      </c>
      <c r="F55" s="3192" t="s">
        <v>3235</v>
      </c>
      <c r="G55" s="3192" t="s">
        <v>3056</v>
      </c>
      <c r="H55" s="3192" t="s">
        <v>920</v>
      </c>
      <c r="I55" s="3192" t="s">
        <v>3236</v>
      </c>
      <c r="J55" s="3192" t="s">
        <v>3236</v>
      </c>
      <c r="K55" s="3192">
        <v>13325.04</v>
      </c>
      <c r="L55" s="3192">
        <v>13425.04</v>
      </c>
      <c r="M55" s="3192">
        <v>3627.01</v>
      </c>
      <c r="N55" s="3192">
        <v>0.75</v>
      </c>
      <c r="O55" s="3192" t="s">
        <v>3237</v>
      </c>
      <c r="P55" s="3192" t="s">
        <v>3077</v>
      </c>
    </row>
    <row r="56" spans="1:16">
      <c r="A56" s="3192" t="s">
        <v>3238</v>
      </c>
      <c r="B56" s="3192" t="s">
        <v>3053</v>
      </c>
      <c r="C56" s="3192" t="s">
        <v>3062</v>
      </c>
      <c r="D56" s="3192">
        <v>45437</v>
      </c>
      <c r="E56" s="3192">
        <v>113592.5</v>
      </c>
      <c r="F56" s="3192" t="s">
        <v>3235</v>
      </c>
      <c r="G56" s="3192" t="s">
        <v>3056</v>
      </c>
      <c r="H56" s="3192" t="s">
        <v>920</v>
      </c>
      <c r="I56" s="3192" t="s">
        <v>3239</v>
      </c>
      <c r="J56" s="3192" t="s">
        <v>3239</v>
      </c>
      <c r="K56" s="3192">
        <v>8200</v>
      </c>
      <c r="L56" s="3192">
        <v>15600</v>
      </c>
      <c r="M56" s="3192">
        <v>1373.32</v>
      </c>
      <c r="N56" s="3192">
        <v>90.24</v>
      </c>
      <c r="O56" s="3192" t="s">
        <v>3218</v>
      </c>
      <c r="P56" s="3192" t="s">
        <v>3067</v>
      </c>
    </row>
    <row r="57" spans="1:16">
      <c r="A57" s="3192" t="s">
        <v>3240</v>
      </c>
      <c r="B57" s="3192" t="s">
        <v>3053</v>
      </c>
      <c r="C57" s="3192" t="s">
        <v>3062</v>
      </c>
      <c r="D57" s="3192">
        <v>17569</v>
      </c>
      <c r="E57" s="3192">
        <v>26353.5</v>
      </c>
      <c r="F57" s="3192" t="s">
        <v>3231</v>
      </c>
      <c r="G57" s="3192" t="s">
        <v>3056</v>
      </c>
      <c r="H57" s="3192" t="s">
        <v>920</v>
      </c>
      <c r="I57" s="3192" t="s">
        <v>3239</v>
      </c>
      <c r="J57" s="3192" t="s">
        <v>3239</v>
      </c>
      <c r="K57" s="3192">
        <v>3200</v>
      </c>
      <c r="L57" s="3192">
        <v>3550</v>
      </c>
      <c r="M57" s="3192">
        <v>1347.06</v>
      </c>
      <c r="N57" s="3192">
        <v>10.94</v>
      </c>
      <c r="O57" s="3192" t="s">
        <v>3218</v>
      </c>
      <c r="P57" s="3192" t="s">
        <v>3077</v>
      </c>
    </row>
    <row r="58" spans="1:16">
      <c r="A58" s="3192" t="s">
        <v>3241</v>
      </c>
      <c r="B58" s="3192" t="s">
        <v>3053</v>
      </c>
      <c r="C58" s="3192" t="s">
        <v>3062</v>
      </c>
      <c r="D58" s="3192">
        <v>34858</v>
      </c>
      <c r="E58" s="3192">
        <v>111545.60000000001</v>
      </c>
      <c r="F58" s="3192" t="s">
        <v>3242</v>
      </c>
      <c r="G58" s="3192" t="s">
        <v>3056</v>
      </c>
      <c r="H58" s="3192" t="s">
        <v>920</v>
      </c>
      <c r="I58" s="3192" t="s">
        <v>3239</v>
      </c>
      <c r="J58" s="3192" t="s">
        <v>3239</v>
      </c>
      <c r="K58" s="3192">
        <v>13100</v>
      </c>
      <c r="L58" s="3192">
        <v>18500</v>
      </c>
      <c r="M58" s="3192">
        <v>1658.5</v>
      </c>
      <c r="N58" s="3192">
        <v>41.22</v>
      </c>
      <c r="O58" s="3192" t="s">
        <v>3174</v>
      </c>
      <c r="P58" s="3192" t="s">
        <v>3067</v>
      </c>
    </row>
    <row r="59" spans="1:16">
      <c r="A59" s="3192" t="s">
        <v>3243</v>
      </c>
      <c r="B59" s="3192" t="s">
        <v>3053</v>
      </c>
      <c r="C59" s="3192" t="s">
        <v>3062</v>
      </c>
      <c r="D59" s="3192">
        <v>101745</v>
      </c>
      <c r="E59" s="3192">
        <v>254362.5</v>
      </c>
      <c r="F59" s="3192" t="s">
        <v>3235</v>
      </c>
      <c r="G59" s="3192" t="s">
        <v>3056</v>
      </c>
      <c r="H59" s="3192" t="s">
        <v>920</v>
      </c>
      <c r="I59" s="3192" t="s">
        <v>3239</v>
      </c>
      <c r="J59" s="3192" t="s">
        <v>3239</v>
      </c>
      <c r="K59" s="3192">
        <v>19100</v>
      </c>
      <c r="L59" s="3192">
        <v>36200</v>
      </c>
      <c r="M59" s="3192">
        <v>1423.17</v>
      </c>
      <c r="N59" s="3192">
        <v>89.53</v>
      </c>
      <c r="O59" s="3192" t="s">
        <v>3244</v>
      </c>
      <c r="P59" s="3192" t="s">
        <v>3077</v>
      </c>
    </row>
    <row r="60" spans="1:16">
      <c r="A60" s="3192" t="s">
        <v>3245</v>
      </c>
      <c r="B60" s="3192" t="s">
        <v>3053</v>
      </c>
      <c r="C60" s="3192" t="s">
        <v>3054</v>
      </c>
      <c r="D60" s="3192">
        <v>64088</v>
      </c>
      <c r="E60" s="3192">
        <v>153811.20000000001</v>
      </c>
      <c r="F60" s="3192" t="s">
        <v>3246</v>
      </c>
      <c r="G60" s="3192" t="s">
        <v>3056</v>
      </c>
      <c r="H60" s="3192" t="s">
        <v>3111</v>
      </c>
      <c r="I60" s="3192" t="s">
        <v>3247</v>
      </c>
      <c r="J60" s="3192" t="s">
        <v>3247</v>
      </c>
      <c r="K60" s="3192">
        <v>57700</v>
      </c>
      <c r="L60" s="3192">
        <v>105699.1</v>
      </c>
      <c r="M60" s="3192">
        <v>6872</v>
      </c>
      <c r="N60" s="3192">
        <v>83.19</v>
      </c>
      <c r="O60" s="3192" t="s">
        <v>3248</v>
      </c>
      <c r="P60" s="3192" t="s">
        <v>3060</v>
      </c>
    </row>
  </sheetData>
  <phoneticPr fontId="228" type="noConversion"/>
  <pageMargins left="0.75" right="0.75" top="1" bottom="1" header="0.5" footer="0.5"/>
  <pageSetup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38"/>
  <sheetViews>
    <sheetView workbookViewId="0">
      <selection activeCell="D8" sqref="D8:E8"/>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645"/>
      <c r="C1" s="2086"/>
      <c r="D1" s="2086"/>
      <c r="E1" s="2086"/>
      <c r="F1" s="2086"/>
      <c r="G1" s="2086"/>
      <c r="H1" s="2086"/>
      <c r="I1" s="2086"/>
      <c r="J1" s="2086"/>
      <c r="K1" s="421">
        <f>MATCH(B1,'数据-取费表'!A6:A16,0)+5</f>
        <v>13</v>
      </c>
    </row>
    <row r="2" spans="1:31" s="2023" customFormat="1" ht="18" customHeight="1">
      <c r="A2" s="2083" t="s">
        <v>467</v>
      </c>
      <c r="B2" s="2087">
        <f ca="1">C36</f>
        <v>207991</v>
      </c>
      <c r="C2" s="2086"/>
      <c r="D2" s="2086"/>
      <c r="E2" s="2086"/>
      <c r="F2" s="2086"/>
      <c r="G2" s="2086"/>
      <c r="H2" s="2086"/>
      <c r="I2" s="2086"/>
      <c r="J2" s="2086"/>
      <c r="K2" s="2086"/>
    </row>
    <row r="3" spans="1:31" s="2023" customFormat="1" ht="18" customHeight="1">
      <c r="A3" s="2088" t="s">
        <v>1678</v>
      </c>
      <c r="B3" s="2089">
        <f ca="1">ROUND(B2*10000/IF(B1="",'数据-汇总表'!E3,INDIRECT("'数据-取费表'!K"&amp;$K$1)),0)</f>
        <v>4406</v>
      </c>
      <c r="C3" s="2086"/>
      <c r="D3" s="2086"/>
      <c r="E3" s="2086"/>
      <c r="F3" s="2086"/>
      <c r="G3" s="2086"/>
      <c r="H3" s="2086"/>
      <c r="I3" s="2086"/>
      <c r="J3" s="2086"/>
      <c r="K3" s="2086"/>
    </row>
    <row r="4" spans="1:31" s="2023" customFormat="1" ht="18" customHeight="1">
      <c r="A4" s="425" t="s">
        <v>468</v>
      </c>
      <c r="B4" s="426">
        <f ca="1">ROUND(B2*10000/IF(B1="",'数据-汇总表'!D3,INDIRECT("'数据-取费表'!R"&amp;$K$1)),0)</f>
        <v>11738</v>
      </c>
      <c r="C4" s="427"/>
      <c r="D4" s="421"/>
      <c r="E4" s="421"/>
      <c r="F4" s="421"/>
      <c r="G4" s="421"/>
      <c r="H4" s="421"/>
      <c r="I4" s="421"/>
      <c r="J4" s="421"/>
      <c r="K4" s="421"/>
    </row>
    <row r="5" spans="1:31" s="2023" customFormat="1" ht="18" customHeight="1" thickBot="1">
      <c r="A5" s="428"/>
      <c r="B5" s="429">
        <f ca="1">ROUND(B2/(IF(B1="",'数据-汇总表'!D3,INDIRECT("'数据-取费表'!R"&amp;$K$1))/666.67),0)</f>
        <v>783</v>
      </c>
      <c r="C5" s="430" t="s">
        <v>469</v>
      </c>
      <c r="D5" s="421"/>
      <c r="E5" s="421"/>
      <c r="F5" s="421"/>
      <c r="G5" s="421"/>
      <c r="H5" s="421"/>
      <c r="I5" s="421"/>
      <c r="J5" s="421"/>
      <c r="K5" s="421"/>
    </row>
    <row r="6" spans="1:31" s="2093" customFormat="1" ht="16.5" customHeight="1">
      <c r="A6" s="2664" t="s">
        <v>1836</v>
      </c>
      <c r="B6" s="2665"/>
      <c r="C6" s="2666">
        <f ca="1">SUM(C10:K10)</f>
        <v>484736.69034799997</v>
      </c>
      <c r="D6" s="2665"/>
      <c r="E6" s="2665"/>
      <c r="F6" s="2665"/>
      <c r="G6" s="2665"/>
      <c r="H6" s="2665"/>
      <c r="I6" s="2665"/>
      <c r="J6" s="2665"/>
      <c r="K6" s="2667"/>
    </row>
    <row r="7" spans="1:31" s="2095" customFormat="1" ht="15">
      <c r="A7" s="2668" t="s">
        <v>470</v>
      </c>
      <c r="B7" s="2669" t="s">
        <v>471</v>
      </c>
      <c r="C7" s="435" t="s">
        <v>3017</v>
      </c>
      <c r="D7" s="435" t="s">
        <v>3009</v>
      </c>
      <c r="E7" s="435" t="s">
        <v>3011</v>
      </c>
      <c r="F7" s="435" t="s">
        <v>2996</v>
      </c>
      <c r="G7" s="435" t="s">
        <v>1674</v>
      </c>
      <c r="H7" s="435" t="s">
        <v>2997</v>
      </c>
      <c r="I7" s="435" t="s">
        <v>3024</v>
      </c>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1839</v>
      </c>
      <c r="B8" s="260" t="s">
        <v>472</v>
      </c>
      <c r="C8" s="2670">
        <f>'不动产比较法-住宅'!C48</f>
        <v>14939</v>
      </c>
      <c r="D8" s="2670">
        <f>典型户型修正!R25</f>
        <v>19421</v>
      </c>
      <c r="E8" s="2670">
        <f>典型户型修正!R26</f>
        <v>29878</v>
      </c>
      <c r="F8" s="2670">
        <f ca="1">不动产收益法商业!B3</f>
        <v>15365</v>
      </c>
      <c r="G8" s="2670">
        <f ca="1">不动产收益法办公!B3</f>
        <v>8049</v>
      </c>
      <c r="H8" s="2670">
        <f ca="1">不动产收益法车库!B3</f>
        <v>987</v>
      </c>
      <c r="I8" s="2670">
        <v>0</v>
      </c>
      <c r="J8" s="2670"/>
      <c r="K8" s="2671"/>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1840</v>
      </c>
      <c r="B9" s="260" t="s">
        <v>473</v>
      </c>
      <c r="C9" s="440">
        <f>SUMIF('数据-汇总表'!$C19:$C33,'剩余法-待开发'!C7,'数据-汇总表'!$E19:$E33)</f>
        <v>195457.31999999998</v>
      </c>
      <c r="D9" s="440">
        <f>SUMIF('数据-汇总表'!$C19:$C33,'剩余法-待开发'!D7,'数据-汇总表'!$E19:$E33)</f>
        <v>41200.360000000008</v>
      </c>
      <c r="E9" s="440">
        <f>SUMIF('数据-汇总表'!$C19:$C33,'剩余法-待开发'!E7,'数据-汇总表'!$E19:$E33)</f>
        <v>13269.76</v>
      </c>
      <c r="F9" s="440">
        <f>SUMIF('数据-汇总表'!$C19:$C33,'剩余法-待开发'!F7,'数据-汇总表'!$E19:$E33)</f>
        <v>11647.55</v>
      </c>
      <c r="G9" s="440">
        <f>SUMIF('数据-汇总表'!$C19:$C33,'剩余法-待开发'!G7,'数据-汇总表'!$E19:$E33)</f>
        <v>55077.55</v>
      </c>
      <c r="H9" s="440">
        <f>SUMIF('数据-汇总表'!$C19:$C33,'剩余法-待开发'!H7,'数据-汇总表'!$E19:$E33)</f>
        <v>109970</v>
      </c>
      <c r="I9" s="440">
        <f>SUMIF('数据-汇总表'!$C19:$C33,'剩余法-待开发'!I7,'数据-汇总表'!$E19:$E33)</f>
        <v>7729.71</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672" t="s">
        <v>1841</v>
      </c>
      <c r="B10" s="2658" t="s">
        <v>474</v>
      </c>
      <c r="C10" s="2861">
        <f>C8*C9/10000</f>
        <v>291993.69034799997</v>
      </c>
      <c r="D10" s="2861">
        <f>典型户型修正!S25</f>
        <v>80015</v>
      </c>
      <c r="E10" s="2861">
        <f>典型户型修正!S26</f>
        <v>39647</v>
      </c>
      <c r="F10" s="2673">
        <f ca="1">不动产收益法商业!B2</f>
        <v>17896</v>
      </c>
      <c r="G10" s="2673">
        <f ca="1">不动产收益法办公!B2</f>
        <v>44332</v>
      </c>
      <c r="H10" s="2673">
        <f ca="1">不动产收益法车库!B2</f>
        <v>10853</v>
      </c>
      <c r="I10" s="2673">
        <f>I8*I9</f>
        <v>0</v>
      </c>
      <c r="J10" s="2673"/>
      <c r="K10" s="2674"/>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675" t="s">
        <v>1837</v>
      </c>
      <c r="B11" s="2665"/>
      <c r="C11" s="2665"/>
      <c r="D11" s="2665"/>
      <c r="E11" s="2665"/>
      <c r="F11" s="2665"/>
      <c r="G11" s="2665"/>
      <c r="H11" s="2665"/>
      <c r="I11" s="2665"/>
      <c r="J11" s="2665"/>
      <c r="K11" s="2667"/>
    </row>
    <row r="12" spans="1:31" s="2067" customFormat="1" ht="13.5" customHeight="1">
      <c r="A12" s="2676" t="s">
        <v>470</v>
      </c>
      <c r="B12" s="2648" t="s">
        <v>471</v>
      </c>
      <c r="C12" s="2677" t="s">
        <v>475</v>
      </c>
      <c r="D12" s="2644" t="s">
        <v>476</v>
      </c>
      <c r="E12" s="2644" t="s">
        <v>477</v>
      </c>
      <c r="F12" s="2644" t="s">
        <v>478</v>
      </c>
      <c r="G12" s="2648"/>
      <c r="H12" s="2649"/>
      <c r="I12" s="2649"/>
      <c r="J12" s="2649"/>
      <c r="K12" s="2650"/>
    </row>
    <row r="13" spans="1:31" s="2098" customFormat="1" ht="13.5" customHeight="1">
      <c r="A13" s="2678" t="s">
        <v>1842</v>
      </c>
      <c r="B13" s="2679" t="s">
        <v>479</v>
      </c>
      <c r="C13" s="449">
        <f ca="1">IF(B1="",'数据-取费表'!P16,INDIRECT("'数据-取费表'!p"&amp;$K$1)+INDIRECT("'数据-取费表'!t"&amp;$K$1))</f>
        <v>119391</v>
      </c>
      <c r="D13" s="2680"/>
      <c r="E13" s="2681"/>
      <c r="F13" s="2682"/>
      <c r="G13" s="2648"/>
      <c r="H13" s="2649"/>
      <c r="I13" s="2649"/>
      <c r="J13" s="2649"/>
      <c r="K13" s="2650"/>
    </row>
    <row r="14" spans="1:31" s="2098" customFormat="1" ht="13.5" customHeight="1">
      <c r="A14" s="2678" t="s">
        <v>1843</v>
      </c>
      <c r="B14" s="2679" t="s">
        <v>480</v>
      </c>
      <c r="C14" s="53">
        <f ca="1">ROUND(C13*F14,0)</f>
        <v>3582</v>
      </c>
      <c r="D14" s="2680"/>
      <c r="E14" s="2681"/>
      <c r="F14" s="2683">
        <f>'数据-取费表'!B33</f>
        <v>0.03</v>
      </c>
      <c r="G14" s="2648" t="s">
        <v>481</v>
      </c>
      <c r="H14" s="2649"/>
      <c r="I14" s="2649"/>
      <c r="J14" s="2649"/>
      <c r="K14" s="2650"/>
    </row>
    <row r="15" spans="1:31" s="2098" customFormat="1" ht="13.5" customHeight="1">
      <c r="A15" s="2678" t="s">
        <v>1844</v>
      </c>
      <c r="B15" s="2679" t="s">
        <v>482</v>
      </c>
      <c r="C15" s="53">
        <f ca="1">ROUND(IF(B1="",SUMIF('数据-取费表'!C:C,"住宅",'数据-取费表'!P:P)*F15,IF(INDIRECT("'数据-取费表'!c"&amp;$K$1)="住宅",INDIRECT("'数据-取费表'!P"&amp;$K$1)*F15,0)),0)</f>
        <v>3209</v>
      </c>
      <c r="D15" s="2680"/>
      <c r="E15" s="2681"/>
      <c r="F15" s="2683">
        <f>'数据-取费表'!B34</f>
        <v>0.05</v>
      </c>
      <c r="G15" s="2648" t="s">
        <v>483</v>
      </c>
      <c r="H15" s="2649"/>
      <c r="I15" s="2649"/>
      <c r="J15" s="2649"/>
      <c r="K15" s="2650"/>
    </row>
    <row r="16" spans="1:31" s="2099" customFormat="1" ht="13.5" customHeight="1">
      <c r="A16" s="2678" t="s">
        <v>1845</v>
      </c>
      <c r="B16" s="2679" t="s">
        <v>484</v>
      </c>
      <c r="C16" s="53">
        <f ca="1">ROUND(D16*E16/10000,0)</f>
        <v>8498</v>
      </c>
      <c r="D16" s="2680">
        <f ca="1">IF(B1="",'数据-汇总表'!E3,INDIRECT("'数据-取费表'!K"&amp;$K$1)+INDIRECT("'数据-取费表'!S"&amp;$K$1))</f>
        <v>472085.52</v>
      </c>
      <c r="E16" s="53">
        <f>'数据-取费表'!B35</f>
        <v>180</v>
      </c>
      <c r="F16" s="2683"/>
      <c r="G16" s="2648"/>
      <c r="H16" s="2649"/>
      <c r="I16" s="2649"/>
      <c r="J16" s="2649"/>
      <c r="K16" s="2650"/>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678" t="s">
        <v>1846</v>
      </c>
      <c r="B17" s="2679" t="s">
        <v>485</v>
      </c>
      <c r="C17" s="2684">
        <f ca="1">ROUND(C13*F17,0)</f>
        <v>1791</v>
      </c>
      <c r="D17" s="474"/>
      <c r="E17" s="2684"/>
      <c r="F17" s="2685">
        <f>'数据-取费表'!B36</f>
        <v>1.4999999999999999E-2</v>
      </c>
      <c r="G17" s="260" t="s">
        <v>486</v>
      </c>
      <c r="H17" s="2651"/>
      <c r="I17" s="2651"/>
      <c r="J17" s="2651"/>
      <c r="K17" s="278"/>
    </row>
    <row r="18" spans="1:14" s="2098" customFormat="1" ht="13.5" customHeight="1">
      <c r="A18" s="2686" t="s">
        <v>1847</v>
      </c>
      <c r="B18" s="2687" t="s">
        <v>487</v>
      </c>
      <c r="C18" s="2688">
        <f ca="1">SUM(C13:C17)</f>
        <v>136471</v>
      </c>
      <c r="D18" s="2689"/>
      <c r="E18" s="467"/>
      <c r="F18" s="467"/>
      <c r="G18" s="2652" t="s">
        <v>2421</v>
      </c>
      <c r="H18" s="2653"/>
      <c r="I18" s="2653"/>
      <c r="J18" s="2653"/>
      <c r="K18" s="2654"/>
    </row>
    <row r="19" spans="1:14" s="2098" customFormat="1" ht="13.5" customHeight="1">
      <c r="A19" s="2686" t="s">
        <v>1848</v>
      </c>
      <c r="B19" s="2687" t="s">
        <v>488</v>
      </c>
      <c r="C19" s="2644">
        <f ca="1">ROUND(D19*E19/10000,0)</f>
        <v>0</v>
      </c>
      <c r="D19" s="2690">
        <f ca="1">D16</f>
        <v>472085.52</v>
      </c>
      <c r="E19" s="2644">
        <f>'数据-取费表'!B32</f>
        <v>0</v>
      </c>
      <c r="F19" s="467"/>
      <c r="G19" s="2648" t="s">
        <v>489</v>
      </c>
      <c r="H19" s="2649"/>
      <c r="I19" s="2653"/>
      <c r="J19" s="2653"/>
      <c r="K19" s="2654"/>
    </row>
    <row r="20" spans="1:14" s="2098" customFormat="1" ht="13.5" customHeight="1">
      <c r="A20" s="2686" t="s">
        <v>1849</v>
      </c>
      <c r="B20" s="2687" t="s">
        <v>490</v>
      </c>
      <c r="C20" s="2644">
        <f ca="1">C21+C22-IF(B1="",'数据-取费表'!B29,IF(G20="已全部缴纳",C21+C22,H20))</f>
        <v>4956</v>
      </c>
      <c r="D20" s="2690"/>
      <c r="E20" s="2644"/>
      <c r="F20" s="2691"/>
      <c r="G20" s="2914"/>
      <c r="H20" s="2646"/>
      <c r="I20" s="2647" t="s">
        <v>2641</v>
      </c>
      <c r="J20" s="2653"/>
      <c r="K20" s="2654"/>
    </row>
    <row r="21" spans="1:14" s="2098" customFormat="1" ht="13.5" customHeight="1">
      <c r="A21" s="2678" t="s">
        <v>1850</v>
      </c>
      <c r="B21" s="2679" t="s">
        <v>491</v>
      </c>
      <c r="C21" s="53">
        <f ca="1">ROUND(D21*E21/10000,0)</f>
        <v>2705</v>
      </c>
      <c r="D21" s="2680">
        <f ca="1">IF(B1="",'数据-汇总表'!E5,IF(INDIRECT("'数据-取费表'!c"&amp;$K$1)="住宅",INDIRECT("'数据-取费表'!k"&amp;$K$1),0))</f>
        <v>257657.15</v>
      </c>
      <c r="E21" s="53">
        <f>'数据-取费表'!B27</f>
        <v>105</v>
      </c>
      <c r="F21" s="2683"/>
      <c r="G21" s="26"/>
      <c r="H21" s="51"/>
      <c r="I21" s="51"/>
      <c r="J21" s="51"/>
      <c r="K21" s="2655"/>
    </row>
    <row r="22" spans="1:14" s="2098" customFormat="1" ht="13.5" customHeight="1">
      <c r="A22" s="2678" t="s">
        <v>1851</v>
      </c>
      <c r="B22" s="2679" t="s">
        <v>492</v>
      </c>
      <c r="C22" s="53">
        <f ca="1">ROUND(D22*E22/10000,0)</f>
        <v>2251</v>
      </c>
      <c r="D22" s="2680">
        <f ca="1">IF(B1="",'数据-汇总表'!E6,IF(INDIRECT("'数据-取费表'!c"&amp;$K$1)="住宅",INDIRECT("'数据-取费表'!s"&amp;$K$1),INDIRECT("'数据-取费表'!k"&amp;$K$1)+INDIRECT("'数据-取费表'!s"&amp;$K$1)))</f>
        <v>214428.37000000002</v>
      </c>
      <c r="E22" s="53">
        <f>'数据-取费表'!B28</f>
        <v>105</v>
      </c>
      <c r="F22" s="2683"/>
      <c r="G22" s="26"/>
      <c r="H22" s="51"/>
      <c r="I22" s="51"/>
      <c r="J22" s="51"/>
      <c r="K22" s="2655"/>
    </row>
    <row r="23" spans="1:14" s="2098" customFormat="1" ht="13.5" customHeight="1">
      <c r="A23" s="2686" t="s">
        <v>1852</v>
      </c>
      <c r="B23" s="2867" t="s">
        <v>2824</v>
      </c>
      <c r="C23" s="2688">
        <f ca="1">ROUND((C18+C19+C20)*F23,0)</f>
        <v>2829</v>
      </c>
      <c r="D23" s="467"/>
      <c r="E23" s="467"/>
      <c r="F23" s="2692">
        <f>'数据-取费表'!B37</f>
        <v>0.02</v>
      </c>
      <c r="G23" s="2648" t="s">
        <v>2422</v>
      </c>
      <c r="H23" s="2649"/>
      <c r="I23" s="2649"/>
      <c r="J23" s="2649"/>
      <c r="K23" s="2650"/>
      <c r="L23" s="2100"/>
      <c r="M23" s="2100"/>
      <c r="N23" s="2100"/>
    </row>
    <row r="24" spans="1:14" s="2098" customFormat="1" ht="13.5" customHeight="1">
      <c r="A24" s="2686" t="s">
        <v>1853</v>
      </c>
      <c r="B24" s="2867" t="s">
        <v>2827</v>
      </c>
      <c r="C24" s="2688">
        <f ca="1">ROUND(C6*F24,0)</f>
        <v>9695</v>
      </c>
      <c r="D24" s="474"/>
      <c r="E24" s="472"/>
      <c r="F24" s="2692">
        <f>'数据-取费表'!B38</f>
        <v>0.02</v>
      </c>
      <c r="G24" s="2657" t="s">
        <v>499</v>
      </c>
      <c r="H24" s="2651"/>
      <c r="I24" s="2651"/>
      <c r="J24" s="2651"/>
      <c r="K24" s="278"/>
      <c r="L24" s="2100"/>
      <c r="M24" s="2100"/>
      <c r="N24" s="2100"/>
    </row>
    <row r="25" spans="1:14" s="2101" customFormat="1" ht="13.5" customHeight="1">
      <c r="A25" s="2686" t="s">
        <v>1854</v>
      </c>
      <c r="B25" s="2867" t="s">
        <v>2825</v>
      </c>
      <c r="C25" s="466">
        <f>ROUND(F25/(1+'数据-取费表'!C42),4)</f>
        <v>2.9000000000000001E-2</v>
      </c>
      <c r="D25" s="461" t="s">
        <v>2819</v>
      </c>
      <c r="E25" s="468"/>
      <c r="F25" s="2692">
        <f>IF(项目基本情况!B8="出让",0,'数据-取费表'!B48+'数据-取费表'!B49)</f>
        <v>3.0499999999999999E-2</v>
      </c>
      <c r="G25" s="2656" t="s">
        <v>2280</v>
      </c>
      <c r="H25" s="2649"/>
      <c r="I25" s="2649"/>
      <c r="J25" s="2649"/>
      <c r="K25" s="2650"/>
    </row>
    <row r="26" spans="1:14" s="2100" customFormat="1" ht="13.5" customHeight="1">
      <c r="A26" s="2686" t="s">
        <v>1855</v>
      </c>
      <c r="B26" s="2868" t="s">
        <v>2826</v>
      </c>
      <c r="C26" s="2693">
        <f ca="1">C28</f>
        <v>11098</v>
      </c>
      <c r="D26" s="466">
        <f ca="1">C27</f>
        <v>0.1537</v>
      </c>
      <c r="E26" s="468" t="s">
        <v>495</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653"/>
      <c r="I26" s="2653"/>
      <c r="J26" s="2653"/>
      <c r="K26" s="2654"/>
    </row>
    <row r="27" spans="1:14" s="2102" customFormat="1" ht="13.5" customHeight="1">
      <c r="A27" s="802" t="s">
        <v>1850</v>
      </c>
      <c r="B27" s="2694" t="s">
        <v>496</v>
      </c>
      <c r="C27" s="2695">
        <f ca="1">ROUND(IF('数据-取费表'!B22&lt;=1,(1+C25)*F26*'数据-取费表'!B24,(1+C25)*(POWER((1+F26),'数据-取费表'!B24)-1)),4)</f>
        <v>0.1537</v>
      </c>
      <c r="D27" s="471"/>
      <c r="E27" s="472"/>
      <c r="F27" s="473"/>
      <c r="G27" s="2533" t="str">
        <f>IF('数据-取费表'!B22&lt;=1,"（1+取得税费率/(1+5%)）×年利率×建设期","（1+取得税费率）/(1+5%)×((1+年利率)^建设期-1)")</f>
        <v>（1+取得税费率）/(1+5%)×((1+年利率)^建设期-1)</v>
      </c>
      <c r="H27" s="2651"/>
      <c r="I27" s="2651"/>
      <c r="J27" s="2651"/>
      <c r="K27" s="278"/>
    </row>
    <row r="28" spans="1:14" s="2102" customFormat="1" ht="13.5" customHeight="1">
      <c r="A28" s="802" t="s">
        <v>1851</v>
      </c>
      <c r="B28" s="2694" t="s">
        <v>2828</v>
      </c>
      <c r="C28" s="2696">
        <f ca="1">ROUND(IF('数据-取费表'!B22&lt;=1,(C18+C19+C20+C23+C24)*F26*'数据-取费表'!B24/2,(C18+C19+C20+C23+C24)*(POWER((1+F26),'数据-取费表'!B24/2)-1)),0)</f>
        <v>11098</v>
      </c>
      <c r="D28" s="471"/>
      <c r="E28" s="472"/>
      <c r="F28" s="473"/>
      <c r="G28" s="2533" t="str">
        <f>IF('数据-取费表'!B22&lt;=1,"（1）-（4）项×年利率×建设期÷2","（1）-（4）项×((1+年利率)^(建设期÷2)-1)")</f>
        <v>（1）-（4）项×((1+年利率)^(建设期÷2)-1)</v>
      </c>
      <c r="H28" s="2651"/>
      <c r="I28" s="2651"/>
      <c r="J28" s="2651"/>
      <c r="K28" s="278"/>
    </row>
    <row r="29" spans="1:14" s="2102" customFormat="1" ht="13.5" customHeight="1">
      <c r="A29" s="2697" t="s">
        <v>1856</v>
      </c>
      <c r="B29" s="2687" t="s">
        <v>497</v>
      </c>
      <c r="C29" s="2688">
        <f ca="1">ROUND(C6*F29/(1+'数据-取费表'!C42),0)</f>
        <v>25853</v>
      </c>
      <c r="D29" s="467"/>
      <c r="E29" s="467"/>
      <c r="F29" s="2869">
        <f>'数据-取费表'!B41</f>
        <v>5.6000000000000001E-2</v>
      </c>
      <c r="G29" s="2657" t="s">
        <v>498</v>
      </c>
      <c r="H29" s="2649"/>
      <c r="I29" s="2649"/>
      <c r="J29" s="2649"/>
      <c r="K29" s="2650"/>
    </row>
    <row r="30" spans="1:14" s="2103" customFormat="1" ht="13.5" customHeight="1">
      <c r="A30" s="1617" t="s">
        <v>1857</v>
      </c>
      <c r="B30" s="2698" t="s">
        <v>500</v>
      </c>
      <c r="C30" s="2693">
        <f ca="1">C31</f>
        <v>190902</v>
      </c>
      <c r="D30" s="476">
        <f ca="1">C32</f>
        <v>0.1827</v>
      </c>
      <c r="E30" s="468" t="s">
        <v>495</v>
      </c>
      <c r="F30" s="470"/>
      <c r="G30" s="2656" t="s">
        <v>2961</v>
      </c>
      <c r="H30" s="2649"/>
      <c r="I30" s="2649"/>
      <c r="J30" s="2649"/>
      <c r="K30" s="2650"/>
    </row>
    <row r="31" spans="1:14" s="2102" customFormat="1" ht="13.5" customHeight="1">
      <c r="A31" s="802" t="s">
        <v>1850</v>
      </c>
      <c r="B31" s="2694"/>
      <c r="C31" s="449">
        <f ca="1">C18+C19+C20+C23+C24+C26+C29</f>
        <v>190902</v>
      </c>
      <c r="D31" s="471"/>
      <c r="E31" s="472"/>
      <c r="F31" s="473"/>
      <c r="G31" s="260"/>
      <c r="H31" s="2651"/>
      <c r="I31" s="2651"/>
      <c r="J31" s="2651"/>
      <c r="K31" s="278"/>
    </row>
    <row r="32" spans="1:14" s="2102" customFormat="1" ht="13.5" customHeight="1">
      <c r="A32" s="802" t="s">
        <v>1851</v>
      </c>
      <c r="B32" s="2694"/>
      <c r="C32" s="53">
        <f ca="1">ROUND(C25+D26,4)</f>
        <v>0.1827</v>
      </c>
      <c r="D32" s="471"/>
      <c r="E32" s="472"/>
      <c r="F32" s="473"/>
      <c r="G32" s="260"/>
      <c r="H32" s="2651"/>
      <c r="I32" s="2651"/>
      <c r="J32" s="2651"/>
      <c r="K32" s="278"/>
    </row>
    <row r="33" spans="1:11" s="2104" customFormat="1" ht="13.5" customHeight="1">
      <c r="A33" s="2866" t="s">
        <v>2823</v>
      </c>
      <c r="B33" s="2864" t="s">
        <v>2821</v>
      </c>
      <c r="C33" s="477">
        <f ca="1">C35</f>
        <v>20014</v>
      </c>
      <c r="D33" s="466">
        <f ca="1">C34</f>
        <v>0.1338</v>
      </c>
      <c r="E33" s="468" t="s">
        <v>495</v>
      </c>
      <c r="F33" s="478">
        <f ca="1">IF(B1="",'数据-取费表'!Q16,INDIRECT("'数据-取费表'!q"&amp;$K$1))</f>
        <v>0.13</v>
      </c>
      <c r="G33" s="2652"/>
      <c r="H33" s="2653"/>
      <c r="I33" s="2653"/>
      <c r="J33" s="2653"/>
      <c r="K33" s="2654"/>
    </row>
    <row r="34" spans="1:11" s="2105" customFormat="1" ht="13.5" customHeight="1">
      <c r="A34" s="374" t="s">
        <v>1850</v>
      </c>
      <c r="B34" s="2699" t="s">
        <v>501</v>
      </c>
      <c r="C34" s="471">
        <f ca="1">ROUND((1+C25)*F33,4)</f>
        <v>0.1338</v>
      </c>
      <c r="D34" s="471"/>
      <c r="E34" s="472"/>
      <c r="F34" s="479"/>
      <c r="G34" s="260" t="s">
        <v>2281</v>
      </c>
      <c r="H34" s="2651"/>
      <c r="I34" s="2651"/>
      <c r="J34" s="2651"/>
      <c r="K34" s="278"/>
    </row>
    <row r="35" spans="1:11" s="2105" customFormat="1" ht="13.5" customHeight="1" thickBot="1">
      <c r="A35" s="1618" t="s">
        <v>1851</v>
      </c>
      <c r="B35" s="2865" t="s">
        <v>2829</v>
      </c>
      <c r="C35" s="1610">
        <f ca="1">ROUND((C18+C19+C20+C23+C24)*F33,0)</f>
        <v>20014</v>
      </c>
      <c r="D35" s="1611"/>
      <c r="E35" s="2700"/>
      <c r="F35" s="1612"/>
      <c r="G35" s="2658"/>
      <c r="H35" s="2659"/>
      <c r="I35" s="2659"/>
      <c r="J35" s="2659"/>
      <c r="K35" s="2660"/>
    </row>
    <row r="36" spans="1:11" s="2067" customFormat="1" ht="13.5" customHeight="1" thickBot="1">
      <c r="A36" s="283" t="s">
        <v>1838</v>
      </c>
      <c r="B36" s="2662"/>
      <c r="C36" s="2701">
        <f ca="1">ROUND((C6-C30-C33)/(1+D30+D33),0)</f>
        <v>207991</v>
      </c>
      <c r="D36" s="2662"/>
      <c r="E36" s="2662"/>
      <c r="F36" s="2662"/>
      <c r="G36" s="2661" t="s">
        <v>2830</v>
      </c>
      <c r="H36" s="2662"/>
      <c r="I36" s="2662"/>
      <c r="J36" s="2662"/>
      <c r="K36" s="26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0" t="s">
        <v>466</v>
      </c>
      <c r="B1" s="2645"/>
      <c r="C1" s="2086"/>
      <c r="D1" s="2086"/>
      <c r="E1" s="2086"/>
      <c r="F1" s="2086"/>
      <c r="G1" s="2086"/>
      <c r="H1" s="2086"/>
      <c r="I1" s="2086"/>
      <c r="J1" s="2086"/>
      <c r="K1" s="421">
        <f>MATCH(B1,'数据-取费表'!A6:A16,0)+5</f>
        <v>13</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2" t="s">
        <v>1678</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2642</v>
      </c>
      <c r="B6" s="432"/>
      <c r="C6" s="1605">
        <f>SUM(C10:K10)</f>
        <v>0</v>
      </c>
      <c r="D6" s="2091"/>
      <c r="E6" s="2091"/>
      <c r="F6" s="2091"/>
      <c r="G6" s="2091"/>
      <c r="H6" s="2091"/>
      <c r="I6" s="2091"/>
      <c r="J6" s="2091"/>
      <c r="K6" s="2092"/>
    </row>
    <row r="7" spans="1:41" s="2095" customFormat="1" ht="15">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1839</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1840</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1841</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1858</v>
      </c>
      <c r="B11" s="1603"/>
      <c r="C11" s="1603"/>
      <c r="D11" s="1603"/>
      <c r="E11" s="1603"/>
      <c r="F11" s="1603"/>
      <c r="G11" s="1603"/>
      <c r="H11" s="1603"/>
      <c r="I11" s="1603"/>
      <c r="J11" s="1603"/>
      <c r="K11" s="1604"/>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5" t="s">
        <v>1842</v>
      </c>
      <c r="B13" s="448" t="s">
        <v>479</v>
      </c>
      <c r="C13" s="449">
        <f ca="1">IF(B1="",'数据-取费表'!M16,INDIRECT("'数据-取费表'!M"&amp;$K$1)+INDIRECT("'数据-取费表'!t"&amp;$K$1))</f>
        <v>119391</v>
      </c>
      <c r="D13" s="450"/>
      <c r="E13" s="364"/>
      <c r="F13" s="451"/>
      <c r="G13" s="443"/>
      <c r="H13" s="446"/>
      <c r="I13" s="446"/>
      <c r="J13" s="446"/>
      <c r="K13" s="447"/>
    </row>
    <row r="14" spans="1:41" s="2098" customFormat="1" ht="13.5" customHeight="1">
      <c r="A14" s="1615" t="s">
        <v>1843</v>
      </c>
      <c r="B14" s="448" t="s">
        <v>480</v>
      </c>
      <c r="C14" s="53">
        <f ca="1">ROUND(C13*F14,0)</f>
        <v>3582</v>
      </c>
      <c r="D14" s="450"/>
      <c r="E14" s="364"/>
      <c r="F14" s="452">
        <f>'数据-取费表'!B33</f>
        <v>0.03</v>
      </c>
      <c r="G14" s="443" t="s">
        <v>502</v>
      </c>
      <c r="H14" s="446"/>
      <c r="I14" s="446"/>
      <c r="J14" s="446"/>
      <c r="K14" s="447"/>
    </row>
    <row r="15" spans="1:41" s="2098" customFormat="1" ht="13.5" customHeight="1">
      <c r="A15" s="1615" t="s">
        <v>1844</v>
      </c>
      <c r="B15" s="448" t="s">
        <v>482</v>
      </c>
      <c r="C15" s="53">
        <f ca="1">ROUND(IF(B1="",SUMIF('数据-取费表'!C:C,"住宅",'数据-取费表'!M:M)*F15,IF(INDIRECT("'数据-取费表'!c"&amp;$K$1)="住宅",INDIRECT("'数据-取费表'!M"&amp;$K$1)*F15,0)),0)</f>
        <v>3209</v>
      </c>
      <c r="D15" s="450"/>
      <c r="E15" s="364"/>
      <c r="F15" s="452">
        <f>'数据-取费表'!B34</f>
        <v>0.05</v>
      </c>
      <c r="G15" s="443" t="s">
        <v>502</v>
      </c>
      <c r="H15" s="446"/>
      <c r="I15" s="446"/>
      <c r="J15" s="446"/>
      <c r="K15" s="447"/>
    </row>
    <row r="16" spans="1:41" s="2099" customFormat="1" ht="13.5" customHeight="1">
      <c r="A16" s="1615" t="s">
        <v>1845</v>
      </c>
      <c r="B16" s="448" t="s">
        <v>484</v>
      </c>
      <c r="C16" s="53">
        <f ca="1">ROUND(D16*E16/10000,0)</f>
        <v>8498</v>
      </c>
      <c r="D16" s="450">
        <f ca="1">IF(B1="",'数据-汇总表'!E3,INDIRECT("'数据-取费表'!K"&amp;$K$1)+INDIRECT("'数据-取费表'!S"&amp;$K$1))</f>
        <v>472085.52</v>
      </c>
      <c r="E16" s="53">
        <f>'数据-取费表'!B35</f>
        <v>180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1846</v>
      </c>
      <c r="B17" s="448" t="s">
        <v>485</v>
      </c>
      <c r="C17" s="453">
        <f ca="1">ROUND(C13*F17,0)</f>
        <v>1791</v>
      </c>
      <c r="D17" s="454"/>
      <c r="E17" s="453"/>
      <c r="F17" s="455">
        <f>'数据-取费表'!B36</f>
        <v>1.4999999999999999E-2</v>
      </c>
      <c r="G17" s="443" t="s">
        <v>502</v>
      </c>
      <c r="H17" s="456"/>
      <c r="I17" s="456"/>
      <c r="J17" s="456"/>
      <c r="K17" s="457"/>
    </row>
    <row r="18" spans="1:14" s="2101" customFormat="1" ht="13.5" customHeight="1">
      <c r="A18" s="1616" t="s">
        <v>1847</v>
      </c>
      <c r="B18" s="458" t="s">
        <v>487</v>
      </c>
      <c r="C18" s="459">
        <f ca="1">SUM(C13:C17)</f>
        <v>136471</v>
      </c>
      <c r="D18" s="460"/>
      <c r="E18" s="461"/>
      <c r="F18" s="461"/>
      <c r="G18" s="1321" t="s">
        <v>2423</v>
      </c>
      <c r="H18" s="446"/>
      <c r="I18" s="446"/>
      <c r="J18" s="446"/>
      <c r="K18" s="447"/>
    </row>
    <row r="19" spans="1:14" s="2101" customFormat="1" ht="13.5" customHeight="1">
      <c r="A19" s="1616" t="s">
        <v>1848</v>
      </c>
      <c r="B19" s="458" t="s">
        <v>493</v>
      </c>
      <c r="C19" s="459">
        <f ca="1">ROUND(C18*F19,0)</f>
        <v>2729</v>
      </c>
      <c r="D19" s="461"/>
      <c r="E19" s="461"/>
      <c r="F19" s="465">
        <f>'数据-取费表'!B37</f>
        <v>0.02</v>
      </c>
      <c r="G19" s="443" t="s">
        <v>503</v>
      </c>
      <c r="H19" s="446"/>
      <c r="I19" s="446"/>
      <c r="J19" s="446"/>
      <c r="K19" s="447"/>
      <c r="L19" s="2103"/>
      <c r="M19" s="2103"/>
      <c r="N19" s="2103"/>
    </row>
    <row r="20" spans="1:14" s="2101" customFormat="1" ht="13.5" customHeight="1">
      <c r="A20" s="1616" t="s">
        <v>1849</v>
      </c>
      <c r="B20" s="458" t="s">
        <v>504</v>
      </c>
      <c r="C20" s="2862">
        <f>F20</f>
        <v>0.02</v>
      </c>
      <c r="D20" s="468" t="s">
        <v>505</v>
      </c>
      <c r="E20" s="468"/>
      <c r="F20" s="485">
        <f>'数据-取费表'!B38</f>
        <v>0.02</v>
      </c>
      <c r="G20" s="1321" t="s">
        <v>506</v>
      </c>
      <c r="H20" s="446"/>
      <c r="I20" s="446"/>
      <c r="J20" s="446"/>
      <c r="K20" s="447"/>
      <c r="L20" s="2103"/>
      <c r="M20" s="2103"/>
      <c r="N20" s="2103"/>
    </row>
    <row r="21" spans="1:14" s="2103" customFormat="1" ht="13.5" customHeight="1">
      <c r="A21" s="1616" t="s">
        <v>1852</v>
      </c>
      <c r="B21" s="460" t="s">
        <v>494</v>
      </c>
      <c r="C21" s="469">
        <f ca="1">C22</f>
        <v>10035</v>
      </c>
      <c r="D21" s="466">
        <f ca="1">C23</f>
        <v>1.4E-3</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0" t="s">
        <v>2445</v>
      </c>
    </row>
    <row r="22" spans="1:14" s="2102" customFormat="1" ht="13.5" customHeight="1">
      <c r="A22" s="1615" t="s">
        <v>1842</v>
      </c>
      <c r="B22" s="1322" t="s">
        <v>2426</v>
      </c>
      <c r="C22" s="486">
        <f ca="1">ROUND(IF('数据-取费表'!B22&lt;=1,(C18+C19)*F21*'数据-取费表'!B20/2,(C18+C19)*(POWER((1+F21),'数据-取费表'!B20/2)-1)),0)</f>
        <v>10035</v>
      </c>
      <c r="D22" s="471"/>
      <c r="E22" s="472"/>
      <c r="F22" s="473"/>
      <c r="G22" s="2528" t="str">
        <f>IF('数据-取费表'!B22&lt;=1,"((1)+(2))×年利率×建设期÷2","((1)+(2))×((1+年利率)^(建设期÷2)-1)")</f>
        <v>((1)+(2))×((1+年利率)^(建设期÷2)-1)</v>
      </c>
      <c r="H22" s="456"/>
      <c r="I22" s="456"/>
      <c r="J22" s="456"/>
      <c r="K22" s="457"/>
    </row>
    <row r="23" spans="1:14" s="2102" customFormat="1" ht="13.5" customHeight="1">
      <c r="A23" s="1615" t="s">
        <v>1843</v>
      </c>
      <c r="B23" s="1322" t="s">
        <v>508</v>
      </c>
      <c r="C23" s="487">
        <f ca="1">ROUND(IF('数据-取费表'!B22&lt;=1,F20*F21*'数据-取费表'!B20/2,F20*(POWER((1+F21),'数据-取费表'!B20/2)-1)),4)</f>
        <v>1.4E-3</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6" t="s">
        <v>1853</v>
      </c>
      <c r="B24" s="2864" t="s">
        <v>2822</v>
      </c>
      <c r="C24" s="477">
        <f ca="1">C25</f>
        <v>18096</v>
      </c>
      <c r="D24" s="488">
        <f ca="1">C26</f>
        <v>2.5999999999999999E-3</v>
      </c>
      <c r="E24" s="468" t="s">
        <v>507</v>
      </c>
      <c r="F24" s="478">
        <f ca="1">IF(B1="",'数据-取费表'!Q16,INDIRECT("'数据-取费表'!q"&amp;$K$1))</f>
        <v>0.13</v>
      </c>
      <c r="G24" s="443"/>
      <c r="H24" s="446"/>
      <c r="I24" s="446"/>
      <c r="J24" s="446"/>
      <c r="K24" s="447"/>
    </row>
    <row r="25" spans="1:14" s="2102" customFormat="1" ht="13.5" customHeight="1">
      <c r="A25" s="1615" t="s">
        <v>1842</v>
      </c>
      <c r="B25" s="1322" t="s">
        <v>2427</v>
      </c>
      <c r="C25" s="489">
        <f ca="1">ROUND((C18+C19)*F24,0)</f>
        <v>18096</v>
      </c>
      <c r="D25" s="471"/>
      <c r="E25" s="472"/>
      <c r="F25" s="479"/>
      <c r="G25" s="1320" t="s">
        <v>2424</v>
      </c>
      <c r="H25" s="456"/>
      <c r="I25" s="456"/>
      <c r="J25" s="456"/>
      <c r="K25" s="457"/>
    </row>
    <row r="26" spans="1:14" s="2102" customFormat="1" ht="13.5" customHeight="1">
      <c r="A26" s="1615" t="s">
        <v>1843</v>
      </c>
      <c r="B26" s="1322" t="s">
        <v>509</v>
      </c>
      <c r="C26" s="490">
        <f ca="1">ROUND(F20*F24,4)</f>
        <v>2.5999999999999999E-3</v>
      </c>
      <c r="D26" s="471"/>
      <c r="E26" s="480"/>
      <c r="F26" s="479"/>
      <c r="G26" s="1320" t="s">
        <v>510</v>
      </c>
      <c r="H26" s="456"/>
      <c r="I26" s="456"/>
      <c r="J26" s="456"/>
      <c r="K26" s="457"/>
    </row>
    <row r="27" spans="1:14" s="2102" customFormat="1" ht="13.5" customHeight="1">
      <c r="A27" s="1619" t="s">
        <v>1861</v>
      </c>
      <c r="B27" s="458" t="s">
        <v>511</v>
      </c>
      <c r="C27" s="2863">
        <f>ROUND(F27/(1+'数据-取费表'!C42),4)</f>
        <v>5.33E-2</v>
      </c>
      <c r="D27" s="461" t="s">
        <v>2820</v>
      </c>
      <c r="E27" s="461"/>
      <c r="F27" s="465">
        <f>'数据-取费表'!B41</f>
        <v>5.6000000000000001E-2</v>
      </c>
      <c r="G27" s="1942" t="s">
        <v>2282</v>
      </c>
      <c r="H27" s="446"/>
      <c r="I27" s="446"/>
      <c r="J27" s="446"/>
      <c r="K27" s="447"/>
    </row>
    <row r="28" spans="1:14" s="2103" customFormat="1" ht="13.5" customHeight="1">
      <c r="A28" s="1619" t="s">
        <v>1862</v>
      </c>
      <c r="B28" s="475" t="s">
        <v>512</v>
      </c>
      <c r="C28" s="469">
        <f ca="1">ROUND((C18+C19+C21+C24)/(1-C20-D21-D24-C27),0)</f>
        <v>181349</v>
      </c>
      <c r="D28" s="476"/>
      <c r="E28" s="468"/>
      <c r="F28" s="470"/>
      <c r="G28" s="1321" t="s">
        <v>2425</v>
      </c>
      <c r="H28" s="446"/>
      <c r="I28" s="446"/>
      <c r="J28" s="446"/>
      <c r="K28" s="447"/>
    </row>
    <row r="29" spans="1:14" s="2103" customFormat="1" ht="13.5" customHeight="1">
      <c r="A29" s="1619" t="s">
        <v>1863</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3" t="s">
        <v>515</v>
      </c>
      <c r="H30" s="495"/>
      <c r="I30" s="495"/>
      <c r="J30" s="446"/>
      <c r="K30" s="447"/>
    </row>
    <row r="31" spans="1:14" s="2108" customFormat="1" ht="13.5" customHeight="1">
      <c r="A31" s="2443" t="s">
        <v>1859</v>
      </c>
      <c r="B31" s="1324"/>
      <c r="C31" s="499">
        <f>ROUND(C6*F31/(1+'数据-取费表'!C42),0)</f>
        <v>0</v>
      </c>
      <c r="D31" s="1325"/>
      <c r="E31" s="1325"/>
      <c r="F31" s="500">
        <f>'数据-取费表'!B41</f>
        <v>5.6000000000000001E-2</v>
      </c>
      <c r="G31" s="1326"/>
      <c r="H31" s="1326"/>
      <c r="I31" s="1326"/>
      <c r="J31" s="1327"/>
      <c r="K31" s="1328"/>
    </row>
    <row r="32" spans="1:14" s="2067" customFormat="1" ht="13.5" customHeight="1" thickBot="1">
      <c r="A32" s="481" t="s">
        <v>1860</v>
      </c>
      <c r="B32" s="482"/>
      <c r="C32" s="483">
        <f ca="1">IF('数据-取费表'!B20&lt;=1,(C6-C30-C31)/(1+F21*'数据-取费表'!B20+F24)/(1+'数据-取费表'!B48+'数据-取费表'!B49),(C6-C30-C31)/(1+(POWER((1+F21),'数据-取费表'!B20)-1)+F24)/(1+'数据-取费表'!B48+'数据-取费表'!B49))</f>
        <v>0</v>
      </c>
      <c r="D32" s="482"/>
      <c r="E32" s="482"/>
      <c r="F32" s="482"/>
      <c r="G32" s="2444" t="s">
        <v>2962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467</v>
      </c>
      <c r="B2" s="507"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1679</v>
      </c>
      <c r="B3" s="509"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7"/>
      <c r="AC3" s="427"/>
    </row>
    <row r="4" spans="1:29" s="1330" customFormat="1" ht="28.5" customHeight="1">
      <c r="A4" s="510" t="s">
        <v>520</v>
      </c>
      <c r="B4" s="426"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29" s="1330"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7"/>
    </row>
    <row r="6" spans="1:29" ht="15">
      <c r="A6" s="511" t="s">
        <v>521</v>
      </c>
      <c r="B6" s="512"/>
      <c r="C6" s="3410" t="s">
        <v>522</v>
      </c>
      <c r="D6" s="3411"/>
      <c r="E6" s="3434" t="s">
        <v>523</v>
      </c>
      <c r="F6" s="3435"/>
      <c r="G6" s="3410" t="s">
        <v>524</v>
      </c>
      <c r="H6" s="3411"/>
      <c r="I6" s="3410" t="s">
        <v>525</v>
      </c>
      <c r="J6" s="3411"/>
      <c r="K6" s="513" t="s">
        <v>526</v>
      </c>
      <c r="L6" s="2115"/>
      <c r="M6" s="2116"/>
      <c r="N6" s="2116"/>
      <c r="O6" s="2116"/>
      <c r="P6" s="3412" t="s">
        <v>527</v>
      </c>
      <c r="Q6" s="3413"/>
      <c r="R6" s="3398" t="s">
        <v>523</v>
      </c>
      <c r="S6" s="3399"/>
      <c r="T6" s="3398" t="s">
        <v>524</v>
      </c>
      <c r="U6" s="3399"/>
      <c r="V6" s="3418" t="s">
        <v>525</v>
      </c>
      <c r="W6" s="3418"/>
      <c r="X6" s="1550"/>
      <c r="Y6" s="3398" t="s">
        <v>527</v>
      </c>
      <c r="Z6" s="3399"/>
      <c r="AA6" s="3393" t="s">
        <v>523</v>
      </c>
      <c r="AB6" s="3394" t="s">
        <v>524</v>
      </c>
      <c r="AC6" s="3393" t="s">
        <v>525</v>
      </c>
    </row>
    <row r="7" spans="1:29" ht="15">
      <c r="A7" s="514"/>
      <c r="B7" s="515"/>
      <c r="C7" s="3421" t="s">
        <v>2919</v>
      </c>
      <c r="D7" s="3422"/>
      <c r="E7" s="3436" t="s">
        <v>2920</v>
      </c>
      <c r="F7" s="3437"/>
      <c r="G7" s="3421" t="s">
        <v>2921</v>
      </c>
      <c r="H7" s="3422"/>
      <c r="I7" s="3421" t="s">
        <v>2922</v>
      </c>
      <c r="J7" s="3422"/>
      <c r="K7" s="513"/>
      <c r="L7" s="2115"/>
      <c r="M7" s="2116"/>
      <c r="N7" s="2116"/>
      <c r="O7" s="2116"/>
      <c r="P7" s="3414"/>
      <c r="Q7" s="3415"/>
      <c r="R7" s="3400"/>
      <c r="S7" s="3401"/>
      <c r="T7" s="3400"/>
      <c r="U7" s="3401"/>
      <c r="V7" s="3418"/>
      <c r="W7" s="3418"/>
      <c r="X7" s="1550"/>
      <c r="Y7" s="3400"/>
      <c r="Z7" s="3401"/>
      <c r="AA7" s="3394"/>
      <c r="AB7" s="3394"/>
      <c r="AC7" s="3394"/>
    </row>
    <row r="8" spans="1:29" ht="15.75" thickBot="1">
      <c r="A8" s="516"/>
      <c r="B8" s="517"/>
      <c r="C8" s="3419" t="s">
        <v>2923</v>
      </c>
      <c r="D8" s="3420"/>
      <c r="E8" s="3438" t="s">
        <v>2923</v>
      </c>
      <c r="F8" s="3439"/>
      <c r="G8" s="3419" t="s">
        <v>2923</v>
      </c>
      <c r="H8" s="3420"/>
      <c r="I8" s="3419" t="s">
        <v>2923</v>
      </c>
      <c r="J8" s="3420"/>
      <c r="K8" s="513" t="s">
        <v>528</v>
      </c>
      <c r="L8" s="2115"/>
      <c r="M8" s="2116"/>
      <c r="N8" s="2116"/>
      <c r="O8" s="2116"/>
      <c r="P8" s="3416"/>
      <c r="Q8" s="3417"/>
      <c r="R8" s="3400"/>
      <c r="S8" s="3401"/>
      <c r="T8" s="3402"/>
      <c r="U8" s="3403"/>
      <c r="V8" s="3418"/>
      <c r="W8" s="3418"/>
      <c r="X8" s="1550"/>
      <c r="Y8" s="3402"/>
      <c r="Z8" s="3403"/>
      <c r="AA8" s="3395"/>
      <c r="AB8" s="3395"/>
      <c r="AC8" s="3395"/>
    </row>
    <row r="9" spans="1:29" s="1214" customFormat="1" ht="15.75" thickBot="1">
      <c r="A9" s="2748"/>
      <c r="B9" s="2755" t="s">
        <v>529</v>
      </c>
      <c r="C9" s="518">
        <f>'数据-取费表'!B2</f>
        <v>44050</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396" t="s">
        <v>530</v>
      </c>
      <c r="Q9" s="3405"/>
      <c r="R9" s="1551" t="s">
        <v>8</v>
      </c>
      <c r="S9" s="1552">
        <f t="shared" ref="S9:S17" si="0">F9</f>
        <v>0</v>
      </c>
      <c r="T9" s="1551" t="s">
        <v>8</v>
      </c>
      <c r="U9" s="1552">
        <f t="shared" ref="U9:U17" si="1">H9</f>
        <v>0</v>
      </c>
      <c r="V9" s="1551" t="s">
        <v>8</v>
      </c>
      <c r="W9" s="1552">
        <f t="shared" ref="W9:W17" si="2">J9</f>
        <v>0</v>
      </c>
      <c r="X9" s="1553"/>
      <c r="Y9" s="3396" t="s">
        <v>530</v>
      </c>
      <c r="Z9" s="3397"/>
      <c r="AA9" s="1554" t="e">
        <f>D9/F9</f>
        <v>#DIV/0!</v>
      </c>
      <c r="AB9" s="1554" t="e">
        <f>D9/H9</f>
        <v>#DIV/0!</v>
      </c>
      <c r="AC9" s="1554" t="e">
        <f>D9/J9</f>
        <v>#DIV/0!</v>
      </c>
    </row>
    <row r="10" spans="1:29" s="1214" customFormat="1" ht="15.75" thickBot="1">
      <c r="A10" s="2749"/>
      <c r="B10" s="275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396" t="s">
        <v>533</v>
      </c>
      <c r="Q10" s="3397"/>
      <c r="R10" s="1551" t="s">
        <v>8</v>
      </c>
      <c r="S10" s="1552">
        <f t="shared" si="0"/>
        <v>0</v>
      </c>
      <c r="T10" s="1551" t="s">
        <v>8</v>
      </c>
      <c r="U10" s="1552">
        <f t="shared" si="1"/>
        <v>0</v>
      </c>
      <c r="V10" s="1551" t="s">
        <v>8</v>
      </c>
      <c r="W10" s="1552">
        <f t="shared" si="2"/>
        <v>0</v>
      </c>
      <c r="X10" s="1553"/>
      <c r="Y10" s="3396" t="s">
        <v>533</v>
      </c>
      <c r="Z10" s="3397"/>
      <c r="AA10" s="1554" t="e">
        <f t="shared" ref="AA10:AA42" si="3">D10/F10</f>
        <v>#DIV/0!</v>
      </c>
      <c r="AB10" s="1554" t="e">
        <f t="shared" ref="AB10:AB42" si="4">D10/H10</f>
        <v>#DIV/0!</v>
      </c>
      <c r="AC10" s="1554" t="e">
        <f t="shared" ref="AC10:AC42" si="5">D10/J10</f>
        <v>#DIV/0!</v>
      </c>
    </row>
    <row r="11" spans="1:29" s="1214" customFormat="1" ht="15">
      <c r="A11" s="2750"/>
      <c r="B11" s="2757" t="s">
        <v>2746</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404" t="s">
        <v>535</v>
      </c>
      <c r="Q11" s="1145" t="str">
        <f t="shared" ref="Q11:Q17" si="6">B11</f>
        <v>用途</v>
      </c>
      <c r="R11" s="1551" t="s">
        <v>8</v>
      </c>
      <c r="S11" s="1552">
        <f t="shared" si="0"/>
        <v>100</v>
      </c>
      <c r="T11" s="1551" t="s">
        <v>8</v>
      </c>
      <c r="U11" s="1552">
        <f t="shared" si="1"/>
        <v>100</v>
      </c>
      <c r="V11" s="1551" t="s">
        <v>8</v>
      </c>
      <c r="W11" s="1552">
        <f t="shared" si="2"/>
        <v>100</v>
      </c>
      <c r="X11" s="1553"/>
      <c r="Y11" s="3358" t="s">
        <v>536</v>
      </c>
      <c r="Z11" s="1144" t="str">
        <f t="shared" ref="Z11:Z17" si="7">Q11</f>
        <v>用途</v>
      </c>
      <c r="AA11" s="1554">
        <f t="shared" si="3"/>
        <v>1</v>
      </c>
      <c r="AB11" s="1554">
        <f t="shared" si="4"/>
        <v>1</v>
      </c>
      <c r="AC11" s="1554">
        <f t="shared" si="5"/>
        <v>1</v>
      </c>
    </row>
    <row r="12" spans="1:29" s="1332" customFormat="1" ht="27">
      <c r="A12" s="2751"/>
      <c r="B12" s="2756" t="s">
        <v>2747</v>
      </c>
      <c r="C12" s="527"/>
      <c r="D12" s="254">
        <v>100</v>
      </c>
      <c r="E12" s="527"/>
      <c r="F12" s="254">
        <f>ROUND(100/'数据-取费表'!G16,0)</f>
        <v>104</v>
      </c>
      <c r="G12" s="527"/>
      <c r="H12" s="254">
        <f>ROUND(100/'数据-取费表'!G16,0)</f>
        <v>104</v>
      </c>
      <c r="I12" s="527"/>
      <c r="J12" s="254">
        <f>ROUND(100/'数据-取费表'!G16,0)</f>
        <v>104</v>
      </c>
      <c r="K12" s="530"/>
      <c r="L12" s="2120"/>
      <c r="M12" s="2160"/>
      <c r="N12" s="2160"/>
      <c r="O12" s="2121"/>
      <c r="P12" s="3404"/>
      <c r="Q12" s="1145" t="str">
        <f t="shared" si="6"/>
        <v>土地使用年限（年）</v>
      </c>
      <c r="R12" s="1551" t="s">
        <v>8</v>
      </c>
      <c r="S12" s="1552">
        <f t="shared" si="0"/>
        <v>104</v>
      </c>
      <c r="T12" s="1551" t="s">
        <v>8</v>
      </c>
      <c r="U12" s="1552">
        <f t="shared" si="1"/>
        <v>104</v>
      </c>
      <c r="V12" s="1551" t="s">
        <v>8</v>
      </c>
      <c r="W12" s="1552">
        <f t="shared" si="2"/>
        <v>104</v>
      </c>
      <c r="X12" s="1553"/>
      <c r="Y12" s="3358"/>
      <c r="Z12" s="1144" t="str">
        <f t="shared" si="7"/>
        <v>土地使用年限（年）</v>
      </c>
      <c r="AA12" s="1554">
        <f t="shared" si="3"/>
        <v>0.96153846153846156</v>
      </c>
      <c r="AB12" s="1554">
        <f t="shared" si="4"/>
        <v>0.96153846153846156</v>
      </c>
      <c r="AC12" s="1554">
        <f t="shared" si="5"/>
        <v>0.96153846153846156</v>
      </c>
    </row>
    <row r="13" spans="1:29" ht="15">
      <c r="A13" s="2752"/>
      <c r="B13" s="2756" t="s">
        <v>2748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404"/>
      <c r="Q13" s="1145" t="str">
        <f t="shared" si="6"/>
        <v>容积率</v>
      </c>
      <c r="R13" s="1551" t="s">
        <v>8</v>
      </c>
      <c r="S13" s="1552" t="e">
        <f t="shared" si="0"/>
        <v>#N/A</v>
      </c>
      <c r="T13" s="1551" t="s">
        <v>8</v>
      </c>
      <c r="U13" s="1552" t="e">
        <f t="shared" si="1"/>
        <v>#N/A</v>
      </c>
      <c r="V13" s="1551" t="s">
        <v>8</v>
      </c>
      <c r="W13" s="1552" t="e">
        <f t="shared" si="2"/>
        <v>#N/A</v>
      </c>
      <c r="X13" s="1553"/>
      <c r="Y13" s="3358"/>
      <c r="Z13" s="1144" t="str">
        <f t="shared" si="7"/>
        <v>容积率</v>
      </c>
      <c r="AA13" s="1554" t="e">
        <f t="shared" si="3"/>
        <v>#N/A</v>
      </c>
      <c r="AB13" s="1554" t="e">
        <f t="shared" si="4"/>
        <v>#N/A</v>
      </c>
      <c r="AC13" s="1554" t="e">
        <f t="shared" si="5"/>
        <v>#N/A</v>
      </c>
    </row>
    <row r="14" spans="1:29" s="1214" customFormat="1" ht="15">
      <c r="A14" s="2753"/>
      <c r="B14" s="2759">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404"/>
      <c r="Q14" s="1145">
        <f t="shared" si="6"/>
        <v>111</v>
      </c>
      <c r="R14" s="1551" t="s">
        <v>8</v>
      </c>
      <c r="S14" s="1552">
        <f t="shared" si="0"/>
        <v>100</v>
      </c>
      <c r="T14" s="1551" t="s">
        <v>8</v>
      </c>
      <c r="U14" s="1552">
        <f t="shared" si="1"/>
        <v>100</v>
      </c>
      <c r="V14" s="1551" t="s">
        <v>8</v>
      </c>
      <c r="W14" s="1552">
        <f t="shared" si="2"/>
        <v>100</v>
      </c>
      <c r="X14" s="1553"/>
      <c r="Y14" s="3358"/>
      <c r="Z14" s="1144">
        <f t="shared" si="7"/>
        <v>111</v>
      </c>
      <c r="AA14" s="1554">
        <f>D14/F14</f>
        <v>1</v>
      </c>
      <c r="AB14" s="1554">
        <f>D14/H14</f>
        <v>1</v>
      </c>
      <c r="AC14" s="1554">
        <f>D14/J14</f>
        <v>1</v>
      </c>
    </row>
    <row r="15" spans="1:29" ht="15">
      <c r="A15" s="2753"/>
      <c r="B15" s="2759">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404"/>
      <c r="Q15" s="1145">
        <f t="shared" si="6"/>
        <v>111</v>
      </c>
      <c r="R15" s="1551" t="s">
        <v>8</v>
      </c>
      <c r="S15" s="1552">
        <f t="shared" si="0"/>
        <v>100</v>
      </c>
      <c r="T15" s="1551" t="s">
        <v>8</v>
      </c>
      <c r="U15" s="1552">
        <f t="shared" si="1"/>
        <v>100</v>
      </c>
      <c r="V15" s="1551" t="s">
        <v>8</v>
      </c>
      <c r="W15" s="1552">
        <f t="shared" si="2"/>
        <v>100</v>
      </c>
      <c r="X15" s="1553"/>
      <c r="Y15" s="3358"/>
      <c r="Z15" s="1144">
        <f t="shared" si="7"/>
        <v>111</v>
      </c>
      <c r="AA15" s="1554">
        <f t="shared" si="3"/>
        <v>1</v>
      </c>
      <c r="AB15" s="1554">
        <f t="shared" si="4"/>
        <v>1</v>
      </c>
      <c r="AC15" s="1554">
        <f t="shared" si="5"/>
        <v>1</v>
      </c>
    </row>
    <row r="16" spans="1:29" ht="15.75" thickBot="1">
      <c r="A16" s="2754"/>
      <c r="B16" s="2760">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404"/>
      <c r="Q16" s="1145">
        <f t="shared" si="6"/>
        <v>111</v>
      </c>
      <c r="R16" s="1551" t="s">
        <v>8</v>
      </c>
      <c r="S16" s="1552">
        <f t="shared" si="0"/>
        <v>100</v>
      </c>
      <c r="T16" s="1551" t="s">
        <v>8</v>
      </c>
      <c r="U16" s="1552">
        <f t="shared" si="1"/>
        <v>100</v>
      </c>
      <c r="V16" s="1551" t="s">
        <v>8</v>
      </c>
      <c r="W16" s="1552">
        <f t="shared" si="2"/>
        <v>100</v>
      </c>
      <c r="X16" s="1553"/>
      <c r="Y16" s="3358"/>
      <c r="Z16" s="1144">
        <f t="shared" si="7"/>
        <v>111</v>
      </c>
      <c r="AA16" s="1554">
        <f t="shared" si="3"/>
        <v>1</v>
      </c>
      <c r="AB16" s="1554">
        <f t="shared" si="4"/>
        <v>1</v>
      </c>
      <c r="AC16" s="1554">
        <f t="shared" si="5"/>
        <v>1</v>
      </c>
    </row>
    <row r="17" spans="1:29" ht="57">
      <c r="A17" s="2746" t="s">
        <v>2744</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406" t="s">
        <v>540</v>
      </c>
      <c r="Q17" s="1555" t="str">
        <f t="shared" si="6"/>
        <v>产业集聚程度</v>
      </c>
      <c r="R17" s="1556" t="s">
        <v>8</v>
      </c>
      <c r="S17" s="1557">
        <f t="shared" si="0"/>
        <v>100</v>
      </c>
      <c r="T17" s="1556" t="s">
        <v>8</v>
      </c>
      <c r="U17" s="1557">
        <f t="shared" si="1"/>
        <v>100</v>
      </c>
      <c r="V17" s="1556" t="s">
        <v>8</v>
      </c>
      <c r="W17" s="1557">
        <f t="shared" si="2"/>
        <v>100</v>
      </c>
      <c r="X17" s="1550"/>
      <c r="Y17" s="3406" t="s">
        <v>540</v>
      </c>
      <c r="Z17" s="1558" t="str">
        <f t="shared" si="7"/>
        <v>产业集聚程度</v>
      </c>
      <c r="AA17" s="1559">
        <f t="shared" si="3"/>
        <v>1</v>
      </c>
      <c r="AB17" s="1559">
        <f t="shared" si="4"/>
        <v>1</v>
      </c>
      <c r="AC17" s="1559">
        <f t="shared" si="5"/>
        <v>1</v>
      </c>
    </row>
    <row r="18" spans="1:29" ht="15">
      <c r="A18" s="531"/>
      <c r="B18" s="868"/>
      <c r="C18" s="575"/>
      <c r="D18" s="554"/>
      <c r="E18" s="553"/>
      <c r="F18" s="554"/>
      <c r="G18" s="553"/>
      <c r="H18" s="558"/>
      <c r="I18" s="553"/>
      <c r="J18" s="554"/>
      <c r="K18" s="530"/>
      <c r="L18" s="2124"/>
      <c r="M18" s="2116"/>
      <c r="N18" s="2116"/>
      <c r="O18" s="2123"/>
      <c r="P18" s="3407"/>
      <c r="Q18" s="1555"/>
      <c r="R18" s="1556"/>
      <c r="S18" s="1557"/>
      <c r="T18" s="1556"/>
      <c r="U18" s="1557"/>
      <c r="V18" s="1556"/>
      <c r="W18" s="1557"/>
      <c r="X18" s="1550"/>
      <c r="Y18" s="3407"/>
      <c r="Z18" s="1558"/>
      <c r="AA18" s="1559">
        <v>1</v>
      </c>
      <c r="AB18" s="1559">
        <v>1</v>
      </c>
      <c r="AC18" s="1559">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407"/>
      <c r="Q19" s="1555" t="str">
        <f>B19</f>
        <v>交通便捷度</v>
      </c>
      <c r="R19" s="1556" t="s">
        <v>8</v>
      </c>
      <c r="S19" s="1557">
        <f>F19</f>
        <v>100</v>
      </c>
      <c r="T19" s="1556" t="s">
        <v>8</v>
      </c>
      <c r="U19" s="1557">
        <f>H19</f>
        <v>100</v>
      </c>
      <c r="V19" s="1556" t="s">
        <v>8</v>
      </c>
      <c r="W19" s="1557">
        <f>J19</f>
        <v>100</v>
      </c>
      <c r="X19" s="1550"/>
      <c r="Y19" s="3407"/>
      <c r="Z19" s="1558" t="str">
        <f>Q19</f>
        <v>交通便捷度</v>
      </c>
      <c r="AA19" s="1559">
        <f t="shared" si="3"/>
        <v>1</v>
      </c>
      <c r="AB19" s="1559">
        <f t="shared" si="4"/>
        <v>1</v>
      </c>
      <c r="AC19" s="1559">
        <f t="shared" si="5"/>
        <v>1</v>
      </c>
    </row>
    <row r="20" spans="1:29" ht="15">
      <c r="A20" s="531"/>
      <c r="B20" s="921"/>
      <c r="C20" s="575"/>
      <c r="D20" s="554"/>
      <c r="E20" s="555"/>
      <c r="F20" s="554"/>
      <c r="G20" s="555"/>
      <c r="H20" s="554"/>
      <c r="I20" s="557"/>
      <c r="J20" s="554"/>
      <c r="K20" s="530"/>
      <c r="L20" s="2124"/>
      <c r="M20" s="2116"/>
      <c r="N20" s="2116"/>
      <c r="O20" s="2123"/>
      <c r="P20" s="3407"/>
      <c r="Q20" s="1555"/>
      <c r="R20" s="1556"/>
      <c r="S20" s="1557"/>
      <c r="T20" s="1556"/>
      <c r="U20" s="1557"/>
      <c r="V20" s="1556"/>
      <c r="W20" s="1557"/>
      <c r="X20" s="1550"/>
      <c r="Y20" s="3407"/>
      <c r="Z20" s="1558"/>
      <c r="AA20" s="1559">
        <v>1</v>
      </c>
      <c r="AB20" s="1559">
        <v>1</v>
      </c>
      <c r="AC20" s="1559">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4"/>
      <c r="M21" s="2116"/>
      <c r="N21" s="2116"/>
      <c r="O21" s="2123"/>
      <c r="P21" s="3407"/>
      <c r="Q21" s="1555" t="str">
        <f t="shared" ref="Q21:Q35" si="8">B21</f>
        <v>区域土地利用方向</v>
      </c>
      <c r="R21" s="1556" t="s">
        <v>8</v>
      </c>
      <c r="S21" s="1557">
        <f>F21</f>
        <v>100</v>
      </c>
      <c r="T21" s="1556" t="s">
        <v>8</v>
      </c>
      <c r="U21" s="1557">
        <f>H21</f>
        <v>100</v>
      </c>
      <c r="V21" s="1556" t="s">
        <v>8</v>
      </c>
      <c r="W21" s="1557">
        <f>J21</f>
        <v>100</v>
      </c>
      <c r="X21" s="1550"/>
      <c r="Y21" s="3407"/>
      <c r="Z21" s="1558" t="str">
        <f>Q21</f>
        <v>区域土地利用方向</v>
      </c>
      <c r="AA21" s="1559">
        <f t="shared" si="3"/>
        <v>1</v>
      </c>
      <c r="AB21" s="1559">
        <f t="shared" si="4"/>
        <v>1</v>
      </c>
      <c r="AC21" s="1559">
        <f t="shared" si="5"/>
        <v>1</v>
      </c>
    </row>
    <row r="22" spans="1:29" ht="15">
      <c r="A22" s="514"/>
      <c r="B22" s="594"/>
      <c r="C22" s="575"/>
      <c r="D22" s="554"/>
      <c r="E22" s="555"/>
      <c r="F22" s="556"/>
      <c r="G22" s="557"/>
      <c r="H22" s="556"/>
      <c r="I22" s="557"/>
      <c r="J22" s="556"/>
      <c r="K22" s="1342"/>
      <c r="L22" s="2124"/>
      <c r="M22" s="2116"/>
      <c r="N22" s="2116"/>
      <c r="O22" s="2123"/>
      <c r="P22" s="3407"/>
      <c r="Q22" s="1555"/>
      <c r="R22" s="1556"/>
      <c r="S22" s="1557"/>
      <c r="T22" s="1556"/>
      <c r="U22" s="1557"/>
      <c r="V22" s="1556"/>
      <c r="W22" s="1557"/>
      <c r="X22" s="1550"/>
      <c r="Y22" s="3407"/>
      <c r="Z22" s="1558"/>
      <c r="AA22" s="1559"/>
      <c r="AB22" s="1559"/>
      <c r="AC22" s="1559"/>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407"/>
      <c r="Q23" s="1555" t="str">
        <f t="shared" si="8"/>
        <v>环境状况</v>
      </c>
      <c r="R23" s="1556" t="s">
        <v>8</v>
      </c>
      <c r="S23" s="1557">
        <f>F23</f>
        <v>100</v>
      </c>
      <c r="T23" s="1556" t="s">
        <v>8</v>
      </c>
      <c r="U23" s="1557">
        <f>H23</f>
        <v>100</v>
      </c>
      <c r="V23" s="1556" t="s">
        <v>8</v>
      </c>
      <c r="W23" s="1557">
        <f>J23</f>
        <v>100</v>
      </c>
      <c r="X23" s="1550"/>
      <c r="Y23" s="3407"/>
      <c r="Z23" s="1558" t="str">
        <f>Q23</f>
        <v>环境状况</v>
      </c>
      <c r="AA23" s="1559">
        <f t="shared" si="3"/>
        <v>1</v>
      </c>
      <c r="AB23" s="1559">
        <f t="shared" si="4"/>
        <v>1</v>
      </c>
      <c r="AC23" s="1559">
        <f t="shared" si="5"/>
        <v>1</v>
      </c>
    </row>
    <row r="24" spans="1:29" ht="15">
      <c r="A24" s="514"/>
      <c r="B24" s="594"/>
      <c r="C24" s="575"/>
      <c r="D24" s="554"/>
      <c r="E24" s="553"/>
      <c r="F24" s="554"/>
      <c r="G24" s="553"/>
      <c r="H24" s="554"/>
      <c r="I24" s="575"/>
      <c r="J24" s="554"/>
      <c r="K24" s="530"/>
      <c r="L24" s="2124"/>
      <c r="M24" s="2116"/>
      <c r="N24" s="2116"/>
      <c r="O24" s="2123"/>
      <c r="P24" s="3407"/>
      <c r="Q24" s="1555"/>
      <c r="R24" s="1556"/>
      <c r="S24" s="1557"/>
      <c r="T24" s="1556"/>
      <c r="U24" s="1557"/>
      <c r="V24" s="1556"/>
      <c r="W24" s="1557"/>
      <c r="X24" s="1550"/>
      <c r="Y24" s="3407"/>
      <c r="Z24" s="1558"/>
      <c r="AA24" s="1559">
        <v>1</v>
      </c>
      <c r="AB24" s="1559">
        <v>1</v>
      </c>
      <c r="AC24" s="1559">
        <v>1</v>
      </c>
    </row>
    <row r="25" spans="1:29" s="1214" customFormat="1" ht="42.75">
      <c r="A25" s="576"/>
      <c r="B25" s="2554" t="s">
        <v>2539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407"/>
      <c r="Q25" s="1145" t="str">
        <f t="shared" si="8"/>
        <v>公共配套设施</v>
      </c>
      <c r="R25" s="1551" t="s">
        <v>8</v>
      </c>
      <c r="S25" s="1552">
        <f>F25</f>
        <v>100</v>
      </c>
      <c r="T25" s="1551" t="s">
        <v>8</v>
      </c>
      <c r="U25" s="1552">
        <f>H25</f>
        <v>100</v>
      </c>
      <c r="V25" s="1551" t="s">
        <v>8</v>
      </c>
      <c r="W25" s="1552">
        <f>J25</f>
        <v>100</v>
      </c>
      <c r="X25" s="1553"/>
      <c r="Y25" s="3407"/>
      <c r="Z25" s="1144" t="str">
        <f>Q25</f>
        <v>公共配套设施</v>
      </c>
      <c r="AA25" s="1559">
        <f>D25/F25</f>
        <v>1</v>
      </c>
      <c r="AB25" s="1559">
        <f>D25/H25</f>
        <v>1</v>
      </c>
      <c r="AC25" s="1559">
        <f>D25/J25</f>
        <v>1</v>
      </c>
    </row>
    <row r="26" spans="1:29" s="1214" customFormat="1" ht="15">
      <c r="A26" s="576"/>
      <c r="B26" s="594"/>
      <c r="C26" s="2553"/>
      <c r="D26" s="554"/>
      <c r="E26" s="553"/>
      <c r="F26" s="554"/>
      <c r="G26" s="553"/>
      <c r="H26" s="554"/>
      <c r="I26" s="575"/>
      <c r="J26" s="554"/>
      <c r="K26" s="530"/>
      <c r="L26" s="2117"/>
      <c r="M26" s="2118"/>
      <c r="N26" s="2118"/>
      <c r="O26" s="2119"/>
      <c r="P26" s="3407"/>
      <c r="Q26" s="1145"/>
      <c r="R26" s="1551"/>
      <c r="S26" s="1552"/>
      <c r="T26" s="1551"/>
      <c r="U26" s="1552"/>
      <c r="V26" s="1551"/>
      <c r="W26" s="1552"/>
      <c r="X26" s="1553"/>
      <c r="Y26" s="3407"/>
      <c r="Z26" s="1144"/>
      <c r="AA26" s="1554">
        <v>1</v>
      </c>
      <c r="AB26" s="1554">
        <v>1</v>
      </c>
      <c r="AC26" s="1554">
        <v>1</v>
      </c>
    </row>
    <row r="27" spans="1:29" s="1214" customFormat="1" ht="28.5">
      <c r="A27" s="576"/>
      <c r="B27" s="2554" t="s">
        <v>2540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407"/>
      <c r="Q27" s="2539" t="str">
        <f t="shared" ref="Q27" si="9">B27</f>
        <v>基础设施水平</v>
      </c>
      <c r="R27" s="1551" t="s">
        <v>8</v>
      </c>
      <c r="S27" s="1552">
        <f>F27</f>
        <v>100</v>
      </c>
      <c r="T27" s="1551" t="s">
        <v>8</v>
      </c>
      <c r="U27" s="1552">
        <f>H27</f>
        <v>100</v>
      </c>
      <c r="V27" s="1551" t="s">
        <v>8</v>
      </c>
      <c r="W27" s="1552">
        <f>J27</f>
        <v>100</v>
      </c>
      <c r="X27" s="1553"/>
      <c r="Y27" s="3407"/>
      <c r="Z27" s="2536" t="str">
        <f>Q27</f>
        <v>基础设施水平</v>
      </c>
      <c r="AA27" s="1559">
        <f>D27/F27</f>
        <v>1</v>
      </c>
      <c r="AB27" s="1559">
        <f>D27/H27</f>
        <v>1</v>
      </c>
      <c r="AC27" s="1559">
        <f>D27/J27</f>
        <v>1</v>
      </c>
    </row>
    <row r="28" spans="1:29" s="1214" customFormat="1" ht="15">
      <c r="A28" s="576"/>
      <c r="B28" s="594"/>
      <c r="C28" s="2553"/>
      <c r="D28" s="554"/>
      <c r="E28" s="578"/>
      <c r="F28" s="554"/>
      <c r="G28" s="578"/>
      <c r="H28" s="554"/>
      <c r="I28" s="578"/>
      <c r="J28" s="554"/>
      <c r="K28" s="530"/>
      <c r="L28" s="2117"/>
      <c r="M28" s="2118"/>
      <c r="N28" s="2118"/>
      <c r="O28" s="2119"/>
      <c r="P28" s="3407"/>
      <c r="Q28" s="2539"/>
      <c r="R28" s="1551"/>
      <c r="S28" s="1552"/>
      <c r="T28" s="1551"/>
      <c r="U28" s="1552"/>
      <c r="V28" s="1551"/>
      <c r="W28" s="1552"/>
      <c r="X28" s="1553"/>
      <c r="Y28" s="3407"/>
      <c r="Z28" s="2536"/>
      <c r="AA28" s="1554">
        <v>1</v>
      </c>
      <c r="AB28" s="1554">
        <v>1</v>
      </c>
      <c r="AC28" s="1554">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407"/>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07"/>
      <c r="Z29" s="1558" t="str">
        <f t="shared" ref="Z29:Z42" si="13">Q29</f>
        <v>临街状况</v>
      </c>
      <c r="AA29" s="1559">
        <f t="shared" si="3"/>
        <v>1</v>
      </c>
      <c r="AB29" s="1559">
        <f t="shared" si="4"/>
        <v>1</v>
      </c>
      <c r="AC29" s="1559">
        <f t="shared" si="5"/>
        <v>1</v>
      </c>
    </row>
    <row r="30" spans="1:29" ht="27">
      <c r="A30" s="531"/>
      <c r="B30" s="921" t="s">
        <v>548</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407"/>
      <c r="Q30" s="1555" t="str">
        <f t="shared" si="8"/>
        <v>毗邻道路的类型与等级</v>
      </c>
      <c r="R30" s="1556" t="s">
        <v>8</v>
      </c>
      <c r="S30" s="1557">
        <f t="shared" si="10"/>
        <v>100</v>
      </c>
      <c r="T30" s="1556" t="s">
        <v>8</v>
      </c>
      <c r="U30" s="1557">
        <f t="shared" si="11"/>
        <v>100</v>
      </c>
      <c r="V30" s="1556" t="s">
        <v>8</v>
      </c>
      <c r="W30" s="1557">
        <f t="shared" si="12"/>
        <v>100</v>
      </c>
      <c r="X30" s="1550"/>
      <c r="Y30" s="3407"/>
      <c r="Z30" s="1558" t="str">
        <f t="shared" si="13"/>
        <v>毗邻道路的类型与等级</v>
      </c>
      <c r="AA30" s="1559">
        <f t="shared" si="3"/>
        <v>1</v>
      </c>
      <c r="AB30" s="1559">
        <f t="shared" si="4"/>
        <v>1</v>
      </c>
      <c r="AC30" s="1559">
        <f t="shared" si="5"/>
        <v>1</v>
      </c>
    </row>
    <row r="31" spans="1:29" ht="15">
      <c r="A31" s="531"/>
      <c r="B31" s="594"/>
      <c r="C31" s="575"/>
      <c r="D31" s="554"/>
      <c r="E31" s="575"/>
      <c r="F31" s="554"/>
      <c r="G31" s="575"/>
      <c r="H31" s="554"/>
      <c r="I31" s="575"/>
      <c r="J31" s="554"/>
      <c r="K31" s="580"/>
      <c r="L31" s="2124"/>
      <c r="M31" s="2116"/>
      <c r="N31" s="2116"/>
      <c r="O31" s="2123"/>
      <c r="P31" s="3407"/>
      <c r="Q31" s="1555"/>
      <c r="R31" s="1556"/>
      <c r="S31" s="1557"/>
      <c r="T31" s="1556"/>
      <c r="U31" s="1557"/>
      <c r="V31" s="1556"/>
      <c r="W31" s="1557"/>
      <c r="X31" s="1550"/>
      <c r="Y31" s="3407"/>
      <c r="Z31" s="1558"/>
      <c r="AA31" s="1559">
        <v>1</v>
      </c>
      <c r="AB31" s="1559">
        <v>1</v>
      </c>
      <c r="AC31" s="1559">
        <v>1</v>
      </c>
    </row>
    <row r="32" spans="1:29" ht="15">
      <c r="A32" s="531"/>
      <c r="B32" s="526" t="s">
        <v>549</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407"/>
      <c r="Q32" s="1555" t="str">
        <f t="shared" si="8"/>
        <v>土地级别</v>
      </c>
      <c r="R32" s="1556" t="s">
        <v>8</v>
      </c>
      <c r="S32" s="1557">
        <f t="shared" si="10"/>
        <v>100</v>
      </c>
      <c r="T32" s="1556" t="s">
        <v>8</v>
      </c>
      <c r="U32" s="1557">
        <f t="shared" si="11"/>
        <v>100</v>
      </c>
      <c r="V32" s="1556" t="s">
        <v>8</v>
      </c>
      <c r="W32" s="1557">
        <f t="shared" si="12"/>
        <v>100</v>
      </c>
      <c r="X32" s="1550"/>
      <c r="Y32" s="3407"/>
      <c r="Z32" s="1558" t="str">
        <f t="shared" si="13"/>
        <v>土地级别</v>
      </c>
      <c r="AA32" s="1559">
        <f t="shared" si="3"/>
        <v>1</v>
      </c>
      <c r="AB32" s="1559">
        <f t="shared" si="4"/>
        <v>1</v>
      </c>
      <c r="AC32" s="1559">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407"/>
      <c r="Q33" s="1555">
        <f t="shared" si="8"/>
        <v>111</v>
      </c>
      <c r="R33" s="1556" t="s">
        <v>8</v>
      </c>
      <c r="S33" s="1557">
        <f t="shared" si="10"/>
        <v>100</v>
      </c>
      <c r="T33" s="1556" t="s">
        <v>8</v>
      </c>
      <c r="U33" s="1557">
        <f t="shared" si="11"/>
        <v>100</v>
      </c>
      <c r="V33" s="1556" t="s">
        <v>8</v>
      </c>
      <c r="W33" s="1557">
        <f t="shared" si="12"/>
        <v>100</v>
      </c>
      <c r="X33" s="1550"/>
      <c r="Y33" s="3407"/>
      <c r="Z33" s="1558">
        <f t="shared" si="13"/>
        <v>111</v>
      </c>
      <c r="AA33" s="1559">
        <f t="shared" si="3"/>
        <v>1</v>
      </c>
      <c r="AB33" s="1559">
        <f t="shared" si="4"/>
        <v>1</v>
      </c>
      <c r="AC33" s="1559">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408" t="s">
        <v>550</v>
      </c>
      <c r="Q34" s="1555">
        <f t="shared" si="8"/>
        <v>111</v>
      </c>
      <c r="R34" s="1556" t="s">
        <v>8</v>
      </c>
      <c r="S34" s="1557">
        <f t="shared" si="10"/>
        <v>100</v>
      </c>
      <c r="T34" s="1556" t="s">
        <v>8</v>
      </c>
      <c r="U34" s="1557">
        <f t="shared" si="11"/>
        <v>100</v>
      </c>
      <c r="V34" s="1556" t="s">
        <v>8</v>
      </c>
      <c r="W34" s="1557">
        <f t="shared" si="12"/>
        <v>100</v>
      </c>
      <c r="X34" s="1550"/>
      <c r="Y34" s="3409" t="s">
        <v>550</v>
      </c>
      <c r="Z34" s="1558">
        <f t="shared" si="13"/>
        <v>111</v>
      </c>
      <c r="AA34" s="1559">
        <f t="shared" si="3"/>
        <v>1</v>
      </c>
      <c r="AB34" s="1559">
        <f t="shared" si="4"/>
        <v>1</v>
      </c>
      <c r="AC34" s="1559">
        <f t="shared" si="5"/>
        <v>1</v>
      </c>
    </row>
    <row r="35" spans="1:29" s="1333" customFormat="1" ht="15.75"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409"/>
      <c r="Q35" s="1555">
        <f t="shared" si="8"/>
        <v>111</v>
      </c>
      <c r="R35" s="1560" t="s">
        <v>8</v>
      </c>
      <c r="S35" s="1561">
        <f t="shared" si="10"/>
        <v>100</v>
      </c>
      <c r="T35" s="1560" t="s">
        <v>8</v>
      </c>
      <c r="U35" s="1561">
        <f t="shared" si="11"/>
        <v>100</v>
      </c>
      <c r="V35" s="1560" t="s">
        <v>8</v>
      </c>
      <c r="W35" s="1561">
        <f t="shared" si="12"/>
        <v>100</v>
      </c>
      <c r="X35" s="1562"/>
      <c r="Y35" s="3409"/>
      <c r="Z35" s="1563">
        <f t="shared" si="13"/>
        <v>111</v>
      </c>
      <c r="AA35" s="1559">
        <f t="shared" si="3"/>
        <v>1</v>
      </c>
      <c r="AB35" s="1559">
        <f t="shared" si="4"/>
        <v>1</v>
      </c>
      <c r="AC35" s="1559">
        <f t="shared" si="5"/>
        <v>1</v>
      </c>
    </row>
    <row r="36" spans="1:29" ht="15">
      <c r="A36" s="2743" t="s">
        <v>2745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409"/>
      <c r="Q36" s="1555" t="str">
        <f>B36</f>
        <v>宗地面积</v>
      </c>
      <c r="R36" s="1556" t="s">
        <v>8</v>
      </c>
      <c r="S36" s="1557" t="e">
        <f t="shared" si="10"/>
        <v>#N/A</v>
      </c>
      <c r="T36" s="1556" t="s">
        <v>8</v>
      </c>
      <c r="U36" s="1557" t="e">
        <f t="shared" si="11"/>
        <v>#N/A</v>
      </c>
      <c r="V36" s="1556" t="s">
        <v>8</v>
      </c>
      <c r="W36" s="1557" t="e">
        <f t="shared" si="12"/>
        <v>#N/A</v>
      </c>
      <c r="X36" s="1550"/>
      <c r="Y36" s="3409"/>
      <c r="Z36" s="1558" t="str">
        <f t="shared" si="13"/>
        <v>宗地面积</v>
      </c>
      <c r="AA36" s="1559" t="e">
        <f t="shared" si="3"/>
        <v>#N/A</v>
      </c>
      <c r="AB36" s="1559" t="e">
        <f t="shared" si="4"/>
        <v>#N/A</v>
      </c>
      <c r="AC36" s="1559"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409"/>
      <c r="Q37" s="1555" t="str">
        <f t="shared" ref="Q37:Q42" si="14">B37</f>
        <v>宗地形状</v>
      </c>
      <c r="R37" s="1556" t="s">
        <v>8</v>
      </c>
      <c r="S37" s="1557">
        <f t="shared" si="10"/>
        <v>100</v>
      </c>
      <c r="T37" s="1556" t="s">
        <v>8</v>
      </c>
      <c r="U37" s="1557">
        <f t="shared" si="11"/>
        <v>100</v>
      </c>
      <c r="V37" s="1556" t="s">
        <v>8</v>
      </c>
      <c r="W37" s="1557">
        <f t="shared" si="12"/>
        <v>100</v>
      </c>
      <c r="X37" s="1550"/>
      <c r="Y37" s="3409"/>
      <c r="Z37" s="1558" t="str">
        <f t="shared" si="13"/>
        <v>宗地形状</v>
      </c>
      <c r="AA37" s="1559">
        <f t="shared" si="3"/>
        <v>1</v>
      </c>
      <c r="AB37" s="1559">
        <f t="shared" si="4"/>
        <v>1</v>
      </c>
      <c r="AC37" s="1559">
        <f t="shared" si="5"/>
        <v>1</v>
      </c>
    </row>
    <row r="38" spans="1:29" s="1214" customFormat="1" ht="15">
      <c r="A38" s="599"/>
      <c r="B38" s="1877" t="s">
        <v>2415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409"/>
      <c r="Q38" s="1555" t="str">
        <f t="shared" si="14"/>
        <v>宗地开发程度</v>
      </c>
      <c r="R38" s="1551" t="s">
        <v>8</v>
      </c>
      <c r="S38" s="1552">
        <f t="shared" si="10"/>
        <v>100</v>
      </c>
      <c r="T38" s="1551" t="s">
        <v>8</v>
      </c>
      <c r="U38" s="1552">
        <f t="shared" si="11"/>
        <v>100</v>
      </c>
      <c r="V38" s="1551" t="s">
        <v>8</v>
      </c>
      <c r="W38" s="1552">
        <f t="shared" si="12"/>
        <v>100</v>
      </c>
      <c r="X38" s="1553"/>
      <c r="Y38" s="3409"/>
      <c r="Z38" s="1144" t="str">
        <f t="shared" si="13"/>
        <v>宗地开发程度</v>
      </c>
      <c r="AA38" s="1554">
        <f t="shared" si="3"/>
        <v>1</v>
      </c>
      <c r="AB38" s="1554">
        <f t="shared" si="4"/>
        <v>1</v>
      </c>
      <c r="AC38" s="1554">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09" t="s">
        <v>601</v>
      </c>
      <c r="Q39" s="1555" t="str">
        <f t="shared" si="14"/>
        <v>工程地质条件</v>
      </c>
      <c r="R39" s="1556" t="s">
        <v>8</v>
      </c>
      <c r="S39" s="1557">
        <f t="shared" si="10"/>
        <v>100</v>
      </c>
      <c r="T39" s="1556" t="s">
        <v>8</v>
      </c>
      <c r="U39" s="1557">
        <f t="shared" si="11"/>
        <v>100</v>
      </c>
      <c r="V39" s="1556" t="s">
        <v>8</v>
      </c>
      <c r="W39" s="1557">
        <f t="shared" si="12"/>
        <v>100</v>
      </c>
      <c r="X39" s="1550"/>
      <c r="Y39" s="3409" t="s">
        <v>601</v>
      </c>
      <c r="Z39" s="1558" t="str">
        <f t="shared" si="13"/>
        <v>工程地质条件</v>
      </c>
      <c r="AA39" s="1559">
        <f t="shared" si="3"/>
        <v>1</v>
      </c>
      <c r="AB39" s="1559">
        <f t="shared" si="4"/>
        <v>1</v>
      </c>
      <c r="AC39" s="1559">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409"/>
      <c r="Q40" s="1555">
        <f t="shared" si="14"/>
        <v>111</v>
      </c>
      <c r="R40" s="1556" t="s">
        <v>8</v>
      </c>
      <c r="S40" s="1557">
        <f t="shared" si="10"/>
        <v>100</v>
      </c>
      <c r="T40" s="1556" t="s">
        <v>8</v>
      </c>
      <c r="U40" s="1557">
        <f t="shared" si="11"/>
        <v>100</v>
      </c>
      <c r="V40" s="1556" t="s">
        <v>8</v>
      </c>
      <c r="W40" s="1557">
        <f t="shared" si="12"/>
        <v>100</v>
      </c>
      <c r="X40" s="1550"/>
      <c r="Y40" s="3409"/>
      <c r="Z40" s="1558">
        <f t="shared" si="13"/>
        <v>111</v>
      </c>
      <c r="AA40" s="1559">
        <f t="shared" si="3"/>
        <v>1</v>
      </c>
      <c r="AB40" s="1559">
        <f t="shared" si="4"/>
        <v>1</v>
      </c>
      <c r="AC40" s="1559">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409"/>
      <c r="Q41" s="1555">
        <f t="shared" si="14"/>
        <v>111</v>
      </c>
      <c r="R41" s="1556" t="s">
        <v>8</v>
      </c>
      <c r="S41" s="1557">
        <f t="shared" si="10"/>
        <v>100</v>
      </c>
      <c r="T41" s="1556" t="s">
        <v>8</v>
      </c>
      <c r="U41" s="1557">
        <f t="shared" si="11"/>
        <v>100</v>
      </c>
      <c r="V41" s="1556" t="s">
        <v>8</v>
      </c>
      <c r="W41" s="1557">
        <f t="shared" si="12"/>
        <v>100</v>
      </c>
      <c r="X41" s="1550"/>
      <c r="Y41" s="3409"/>
      <c r="Z41" s="1558">
        <f t="shared" si="13"/>
        <v>111</v>
      </c>
      <c r="AA41" s="1559">
        <f t="shared" si="3"/>
        <v>1</v>
      </c>
      <c r="AB41" s="1559">
        <f t="shared" si="4"/>
        <v>1</v>
      </c>
      <c r="AC41" s="1559">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409"/>
      <c r="Q42" s="1555">
        <f t="shared" si="14"/>
        <v>111</v>
      </c>
      <c r="R42" s="1560" t="s">
        <v>8</v>
      </c>
      <c r="S42" s="1561">
        <f t="shared" si="10"/>
        <v>100</v>
      </c>
      <c r="T42" s="1560" t="s">
        <v>8</v>
      </c>
      <c r="U42" s="1561">
        <f t="shared" si="11"/>
        <v>100</v>
      </c>
      <c r="V42" s="1560" t="s">
        <v>8</v>
      </c>
      <c r="W42" s="1561">
        <f t="shared" si="12"/>
        <v>100</v>
      </c>
      <c r="X42" s="1562"/>
      <c r="Y42" s="3409"/>
      <c r="Z42" s="1563">
        <f t="shared" si="13"/>
        <v>111</v>
      </c>
      <c r="AA42" s="1559">
        <f t="shared" si="3"/>
        <v>1</v>
      </c>
      <c r="AB42" s="1559">
        <f t="shared" si="4"/>
        <v>1</v>
      </c>
      <c r="AC42" s="1559">
        <f t="shared" si="5"/>
        <v>1</v>
      </c>
    </row>
    <row r="43" spans="1:29" ht="15">
      <c r="A43" s="606" t="s">
        <v>556</v>
      </c>
      <c r="B43" s="607" t="s">
        <v>2924</v>
      </c>
      <c r="C43" s="608" t="s">
        <v>1</v>
      </c>
      <c r="D43" s="609"/>
      <c r="E43" s="610"/>
      <c r="F43" s="611"/>
      <c r="G43" s="612"/>
      <c r="H43" s="613"/>
      <c r="I43" s="610"/>
      <c r="J43" s="613"/>
      <c r="K43" s="1334"/>
      <c r="L43" s="2126"/>
      <c r="M43" s="2116"/>
      <c r="N43" s="2116"/>
      <c r="O43" s="2127"/>
      <c r="P43" s="3404" t="str">
        <f>A43</f>
        <v>成交单价</v>
      </c>
      <c r="Q43" s="3404"/>
      <c r="R43" s="3418">
        <f>E43</f>
        <v>0</v>
      </c>
      <c r="S43" s="3418"/>
      <c r="T43" s="3418">
        <f>G43</f>
        <v>0</v>
      </c>
      <c r="U43" s="3418"/>
      <c r="V43" s="3418">
        <f>I43</f>
        <v>0</v>
      </c>
      <c r="W43" s="3418"/>
      <c r="X43" s="1542"/>
      <c r="Y43" s="1564"/>
      <c r="Z43" s="1542"/>
      <c r="AA43" s="1542"/>
      <c r="AB43" s="1542"/>
      <c r="AC43" s="1542"/>
    </row>
    <row r="44" spans="1:29" ht="15.75" thickBot="1">
      <c r="A44" s="614" t="s">
        <v>2683</v>
      </c>
      <c r="B44" s="615"/>
      <c r="C44" s="616" t="e">
        <f>R45</f>
        <v>#DIV/0!</v>
      </c>
      <c r="D44" s="617"/>
      <c r="E44" s="616" t="e">
        <f>R44</f>
        <v>#DIV/0!</v>
      </c>
      <c r="F44" s="618"/>
      <c r="G44" s="619" t="e">
        <f>T44</f>
        <v>#DIV/0!</v>
      </c>
      <c r="H44" s="617"/>
      <c r="I44" s="616" t="e">
        <f>V44</f>
        <v>#DIV/0!</v>
      </c>
      <c r="J44" s="617"/>
      <c r="K44" s="1335"/>
      <c r="L44" s="2126"/>
      <c r="M44" s="2116"/>
      <c r="N44" s="2116"/>
      <c r="O44" s="2127"/>
      <c r="P44" s="3404" t="str">
        <f>A44</f>
        <v>比较价格（元/平方米）</v>
      </c>
      <c r="Q44" s="3404"/>
      <c r="R44" s="3428" t="e">
        <f>ROUND(PRODUCT(R43,AA9:AA42),0)</f>
        <v>#DIV/0!</v>
      </c>
      <c r="S44" s="3428"/>
      <c r="T44" s="3428" t="e">
        <f>ROUND(PRODUCT(T43,AB9:AB42),0)</f>
        <v>#DIV/0!</v>
      </c>
      <c r="U44" s="3428"/>
      <c r="V44" s="3428" t="e">
        <f>ROUND(PRODUCT(V43,AC9:AC42),0)</f>
        <v>#DIV/0!</v>
      </c>
      <c r="W44" s="3428"/>
      <c r="X44" s="1542"/>
      <c r="Y44" s="1542"/>
      <c r="Z44" s="1542"/>
      <c r="AA44" s="1542"/>
      <c r="AB44" s="1542"/>
      <c r="AC44" s="1542"/>
    </row>
    <row r="45" spans="1:29" ht="15.75" thickBot="1">
      <c r="A45" s="620" t="s">
        <v>2925</v>
      </c>
      <c r="B45" s="621"/>
      <c r="C45" s="622" t="e">
        <f>R45</f>
        <v>#DIV/0!</v>
      </c>
      <c r="D45" s="622"/>
      <c r="E45" s="622"/>
      <c r="F45" s="622"/>
      <c r="G45" s="622"/>
      <c r="H45" s="622"/>
      <c r="I45" s="622"/>
      <c r="J45" s="622"/>
      <c r="K45" s="1336"/>
      <c r="L45" s="2126"/>
      <c r="M45" s="2116"/>
      <c r="N45" s="2116"/>
      <c r="O45" s="2127"/>
      <c r="P45" s="3425" t="str">
        <f>A45</f>
        <v>估价对象XX用房的比较价格（楼面单价，元/平方米）</v>
      </c>
      <c r="Q45" s="3426"/>
      <c r="R45" s="3427" t="e">
        <f>ROUND(AVERAGE(R44:V44),0)</f>
        <v>#DIV/0!</v>
      </c>
      <c r="S45" s="3427"/>
      <c r="T45" s="3427"/>
      <c r="U45" s="3427"/>
      <c r="V45" s="3427"/>
      <c r="W45" s="3427"/>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8" t="s">
        <v>560</v>
      </c>
      <c r="B52" s="629" t="s">
        <v>561</v>
      </c>
      <c r="C52" s="1543" t="s">
        <v>1718</v>
      </c>
      <c r="D52" s="2209" t="s">
        <v>2284</v>
      </c>
      <c r="E52" s="630" t="s">
        <v>562</v>
      </c>
      <c r="F52" s="1933" t="s">
        <v>563</v>
      </c>
      <c r="G52" s="3429" t="s">
        <v>2275</v>
      </c>
      <c r="H52" s="3430"/>
      <c r="I52" s="1934" t="s">
        <v>1937</v>
      </c>
      <c r="J52" s="1538">
        <f>项目基本情况!F41</f>
        <v>0</v>
      </c>
      <c r="K52" s="2136" t="s">
        <v>1717</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2.75">
      <c r="A53" s="632" t="s">
        <v>564</v>
      </c>
      <c r="B53" s="633" t="e">
        <f>C45</f>
        <v>#DIV/0!</v>
      </c>
      <c r="C53" s="634">
        <v>1</v>
      </c>
      <c r="D53" s="2210">
        <v>1</v>
      </c>
      <c r="E53" s="634">
        <f>'数据-汇总表'!E8+'数据-汇总表'!E9</f>
        <v>324382.25</v>
      </c>
      <c r="F53" s="1932" t="e">
        <f t="shared" ref="F53:F62" si="15">ROUND(B53*E53/10000,0)</f>
        <v>#DIV/0!</v>
      </c>
      <c r="G53" s="3431"/>
      <c r="H53" s="3432"/>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2.75">
      <c r="A54" s="636" t="s">
        <v>565</v>
      </c>
      <c r="B54" s="637" t="e">
        <f>ROUND($C$45*C54*D54,0)</f>
        <v>#DIV/0!</v>
      </c>
      <c r="C54" s="377">
        <f t="shared" ref="C54:C62" si="16">IF($C$52="北京市系数",I54,J54)</f>
        <v>0</v>
      </c>
      <c r="D54" s="2211">
        <v>0.25</v>
      </c>
      <c r="E54" s="638"/>
      <c r="F54" s="1932" t="e">
        <f t="shared" si="15"/>
        <v>#DIV/0!</v>
      </c>
      <c r="G54" s="3433" t="s">
        <v>2276</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2.75">
      <c r="A55" s="636" t="s">
        <v>566</v>
      </c>
      <c r="B55" s="637" t="e">
        <f t="shared" ref="B55:B62" si="17">ROUND($C$45*C55*D55,0)</f>
        <v>#DIV/0!</v>
      </c>
      <c r="C55" s="377">
        <f t="shared" si="16"/>
        <v>0</v>
      </c>
      <c r="D55" s="2211">
        <v>0.25</v>
      </c>
      <c r="E55" s="638"/>
      <c r="F55" s="1932" t="e">
        <f t="shared" si="15"/>
        <v>#DIV/0!</v>
      </c>
      <c r="G55" s="3433"/>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2.75">
      <c r="A56" s="636" t="s">
        <v>567</v>
      </c>
      <c r="B56" s="637" t="e">
        <f t="shared" si="17"/>
        <v>#DIV/0!</v>
      </c>
      <c r="C56" s="377">
        <f t="shared" si="16"/>
        <v>0</v>
      </c>
      <c r="D56" s="2211">
        <v>0.25</v>
      </c>
      <c r="E56" s="638"/>
      <c r="F56" s="1932" t="e">
        <f t="shared" si="15"/>
        <v>#DIV/0!</v>
      </c>
      <c r="G56" s="3433"/>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2.75">
      <c r="A57" s="636" t="s">
        <v>568</v>
      </c>
      <c r="B57" s="637" t="e">
        <f t="shared" si="17"/>
        <v>#DIV/0!</v>
      </c>
      <c r="C57" s="377">
        <f t="shared" si="16"/>
        <v>0</v>
      </c>
      <c r="D57" s="2211">
        <v>0.25</v>
      </c>
      <c r="E57" s="638"/>
      <c r="F57" s="1932" t="e">
        <f t="shared" si="15"/>
        <v>#DIV/0!</v>
      </c>
      <c r="G57" s="3433"/>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2.75">
      <c r="A58" s="2313" t="s">
        <v>2319</v>
      </c>
      <c r="B58" s="637" t="e">
        <f t="shared" si="17"/>
        <v>#DIV/0!</v>
      </c>
      <c r="C58" s="377">
        <f t="shared" si="16"/>
        <v>0</v>
      </c>
      <c r="D58" s="2211">
        <v>0.25</v>
      </c>
      <c r="E58" s="640">
        <f>'数据-汇总表'!E11</f>
        <v>0</v>
      </c>
      <c r="F58" s="1932" t="e">
        <f t="shared" si="15"/>
        <v>#DIV/0!</v>
      </c>
      <c r="G58" s="1938" t="s">
        <v>2277</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6" t="s">
        <v>569</v>
      </c>
      <c r="B59" s="637" t="e">
        <f t="shared" si="17"/>
        <v>#DIV/0!</v>
      </c>
      <c r="C59" s="377">
        <f t="shared" si="16"/>
        <v>0</v>
      </c>
      <c r="D59" s="2211">
        <v>0.25</v>
      </c>
      <c r="E59" s="640">
        <f>'数据-汇总表'!E12</f>
        <v>0</v>
      </c>
      <c r="F59" s="1932" t="e">
        <f t="shared" si="15"/>
        <v>#DIV/0!</v>
      </c>
      <c r="G59" s="1928" t="s">
        <v>1674</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6" t="s">
        <v>570</v>
      </c>
      <c r="B60" s="637" t="e">
        <f t="shared" si="17"/>
        <v>#DIV/0!</v>
      </c>
      <c r="C60" s="377">
        <f t="shared" si="16"/>
        <v>0</v>
      </c>
      <c r="D60" s="2211">
        <v>0.25</v>
      </c>
      <c r="E60" s="640">
        <f>'数据-汇总表'!E13</f>
        <v>109970</v>
      </c>
      <c r="F60" s="1932" t="e">
        <f t="shared" si="15"/>
        <v>#DIV/0!</v>
      </c>
      <c r="G60" s="1928" t="s">
        <v>920</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6" t="s">
        <v>571</v>
      </c>
      <c r="B61" s="637" t="e">
        <f t="shared" si="17"/>
        <v>#DIV/0!</v>
      </c>
      <c r="C61" s="377">
        <f t="shared" si="16"/>
        <v>0</v>
      </c>
      <c r="D61" s="2211">
        <v>0.25</v>
      </c>
      <c r="E61" s="640">
        <f>'数据-汇总表'!E14</f>
        <v>0</v>
      </c>
      <c r="F61" s="1932" t="e">
        <f t="shared" si="15"/>
        <v>#DIV/0!</v>
      </c>
      <c r="G61" s="1938" t="s">
        <v>2276</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5" thickBot="1">
      <c r="A62" s="636" t="s">
        <v>572</v>
      </c>
      <c r="B62" s="637" t="e">
        <f t="shared" si="17"/>
        <v>#DIV/0!</v>
      </c>
      <c r="C62" s="377">
        <f t="shared" si="16"/>
        <v>0</v>
      </c>
      <c r="D62" s="2211">
        <v>0.25</v>
      </c>
      <c r="E62" s="640">
        <f>'数据-汇总表'!E15</f>
        <v>0</v>
      </c>
      <c r="F62" s="1932" t="e">
        <f t="shared" si="15"/>
        <v>#DIV/0!</v>
      </c>
      <c r="G62" s="1939" t="s">
        <v>2277</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5" thickBot="1">
      <c r="A63" s="641" t="s">
        <v>573</v>
      </c>
      <c r="B63" s="642" t="s">
        <v>17</v>
      </c>
      <c r="C63" s="642" t="s">
        <v>18</v>
      </c>
      <c r="D63" s="642" t="s">
        <v>2285</v>
      </c>
      <c r="E63" s="642">
        <f>IF(B43="楼面地价",SUM(E53:E62),'数据-汇总表'!D3)</f>
        <v>177193.01</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636" t="str">
        <f>YEAR(C9)&amp;"-"&amp;MONTH(C9)&amp;"-1"</f>
        <v>2020-8-1</v>
      </c>
      <c r="D65" s="2635">
        <f>EDATE(C65,-3)</f>
        <v>43952</v>
      </c>
      <c r="E65" s="2635">
        <f t="shared" ref="E65:N65" si="18">EDATE(D65,-3)</f>
        <v>43862</v>
      </c>
      <c r="F65" s="2635">
        <f t="shared" si="18"/>
        <v>43770</v>
      </c>
      <c r="G65" s="2635">
        <f t="shared" si="18"/>
        <v>43678</v>
      </c>
      <c r="H65" s="2635">
        <f t="shared" si="18"/>
        <v>43586</v>
      </c>
      <c r="I65" s="2635">
        <f t="shared" si="18"/>
        <v>43497</v>
      </c>
      <c r="J65" s="2635">
        <f t="shared" si="18"/>
        <v>43405</v>
      </c>
      <c r="K65" s="2635">
        <f t="shared" si="18"/>
        <v>43313</v>
      </c>
      <c r="L65" s="2635">
        <f t="shared" si="18"/>
        <v>43221</v>
      </c>
      <c r="M65" s="2635">
        <f t="shared" si="18"/>
        <v>43132</v>
      </c>
      <c r="N65" s="2635">
        <f t="shared" si="18"/>
        <v>43040</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5">
      <c r="A67" s="2529" t="s">
        <v>2524</v>
      </c>
      <c r="B67" s="645"/>
      <c r="C67" s="2632" t="str">
        <f>YEAR(C65)&amp;"-"&amp;ROUNDUP(MONTH(C65)/3,0)</f>
        <v>2020-3</v>
      </c>
      <c r="D67" s="2637" t="str">
        <f t="shared" ref="D67:N67" si="19">YEAR(D65)&amp;"-"&amp;ROUNDUP(MONTH(D65)/3,0)</f>
        <v>2020-2</v>
      </c>
      <c r="E67" s="2637" t="str">
        <f t="shared" si="19"/>
        <v>2020-1</v>
      </c>
      <c r="F67" s="2637" t="str">
        <f t="shared" si="19"/>
        <v>2019-4</v>
      </c>
      <c r="G67" s="2637" t="str">
        <f t="shared" si="19"/>
        <v>2019-3</v>
      </c>
      <c r="H67" s="2637" t="str">
        <f t="shared" si="19"/>
        <v>2019-2</v>
      </c>
      <c r="I67" s="2637" t="str">
        <f t="shared" si="19"/>
        <v>2019-1</v>
      </c>
      <c r="J67" s="2637" t="str">
        <f t="shared" si="19"/>
        <v>2018-4</v>
      </c>
      <c r="K67" s="2637" t="str">
        <f t="shared" si="19"/>
        <v>2018-3</v>
      </c>
      <c r="L67" s="2637" t="str">
        <f t="shared" si="19"/>
        <v>2018-2</v>
      </c>
      <c r="M67" s="2637" t="str">
        <f t="shared" si="19"/>
        <v>2018-1</v>
      </c>
      <c r="N67" s="2637" t="str">
        <f t="shared" si="19"/>
        <v>2017-4</v>
      </c>
      <c r="O67" s="2141"/>
      <c r="P67" s="2142"/>
      <c r="Q67" s="2143"/>
      <c r="R67" s="2143"/>
      <c r="S67" s="2143"/>
      <c r="T67" s="2143"/>
      <c r="U67" s="2143"/>
      <c r="V67" s="2143"/>
      <c r="W67" s="2143"/>
      <c r="X67" s="2143"/>
      <c r="Y67" s="2143"/>
      <c r="Z67" s="2143"/>
      <c r="AA67" s="2143"/>
      <c r="AB67" s="2143"/>
      <c r="AC67" s="2143"/>
    </row>
    <row r="68" spans="1:29" s="1214" customFormat="1" ht="27.75" customHeight="1">
      <c r="A68" s="2634" t="s">
        <v>2639</v>
      </c>
      <c r="B68" s="478" t="str">
        <f>"北京市平均增长率"&amp;TEXT(基准地价!P24,"0.00%")</f>
        <v>北京市平均增长率1.27%</v>
      </c>
      <c r="C68" s="893">
        <v>100</v>
      </c>
      <c r="D68" s="729"/>
      <c r="E68" s="729"/>
      <c r="F68" s="729"/>
      <c r="G68" s="729"/>
      <c r="H68" s="729"/>
      <c r="I68" s="729"/>
      <c r="J68" s="729"/>
      <c r="K68" s="729"/>
      <c r="L68" s="729"/>
      <c r="M68" s="2630"/>
      <c r="N68" s="2631"/>
      <c r="O68" s="2144"/>
      <c r="P68" s="2140"/>
      <c r="Q68" s="1975"/>
      <c r="R68" s="1975"/>
      <c r="S68" s="1975"/>
      <c r="T68" s="1975"/>
      <c r="U68" s="1975"/>
      <c r="V68" s="1975"/>
      <c r="W68" s="1975"/>
      <c r="X68" s="1975"/>
      <c r="Y68" s="1975"/>
      <c r="Z68" s="1975"/>
      <c r="AA68" s="1975"/>
      <c r="AB68" s="1975"/>
      <c r="AC68" s="1975"/>
    </row>
    <row r="69" spans="1:29" s="1214" customFormat="1" ht="15.75" thickBot="1">
      <c r="A69" s="652" t="s">
        <v>575</v>
      </c>
      <c r="B69" s="653"/>
      <c r="C69" s="2628"/>
      <c r="D69" s="2629"/>
      <c r="E69" s="2629"/>
      <c r="F69" s="2629"/>
      <c r="G69" s="2629"/>
      <c r="H69" s="2629"/>
      <c r="I69" s="2629"/>
      <c r="J69" s="2629"/>
      <c r="K69" s="2629"/>
      <c r="L69" s="2629"/>
      <c r="M69" s="2629"/>
      <c r="N69" s="2629"/>
      <c r="O69" s="2144"/>
      <c r="P69" s="2140"/>
      <c r="Q69" s="2140"/>
      <c r="R69" s="1975"/>
      <c r="S69" s="1975"/>
      <c r="T69" s="1975"/>
      <c r="U69" s="1975"/>
      <c r="V69" s="1975"/>
      <c r="W69" s="1975"/>
      <c r="X69" s="1975"/>
      <c r="Y69" s="1975"/>
      <c r="Z69" s="1975"/>
      <c r="AA69" s="1975"/>
      <c r="AB69" s="1975"/>
      <c r="AC69" s="1975"/>
    </row>
    <row r="70" spans="1:29" s="1214" customFormat="1" ht="15">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4" customFormat="1" ht="15.75"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c r="A72" s="663" t="s">
        <v>577</v>
      </c>
      <c r="B72" s="664" t="s">
        <v>534</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5.75"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7.75"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3" customFormat="1" ht="15.75"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3" customFormat="1" ht="15.75"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3" customFormat="1" ht="15.75"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3" customFormat="1" ht="15.75"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3" customFormat="1" ht="15.75"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3" customFormat="1" ht="15.75"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7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4" customFormat="1" ht="27.75"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4" customFormat="1" ht="27.75"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3" customFormat="1" ht="15.75" thickTop="1">
      <c r="A93" s="686"/>
      <c r="B93" s="1878" t="s">
        <v>2539</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3" customFormat="1" ht="15.75" thickTop="1">
      <c r="A95" s="686"/>
      <c r="B95" s="2558" t="s">
        <v>2541</v>
      </c>
      <c r="C95" s="2559" t="s">
        <v>2542</v>
      </c>
      <c r="D95" s="2559" t="s">
        <v>2543</v>
      </c>
      <c r="E95" s="2559" t="s">
        <v>2544</v>
      </c>
      <c r="F95" s="2559" t="s">
        <v>2545</v>
      </c>
      <c r="G95" s="2559" t="s">
        <v>2546</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7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8"/>
      <c r="B99" s="672" t="s">
        <v>548</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5.75"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5"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3" customFormat="1" ht="15"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3" customFormat="1" ht="15.75"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2918" t="str">
        <f t="shared" si="25"/>
        <v>(含)-</v>
      </c>
      <c r="L109" s="2919" t="str">
        <f t="shared" si="25"/>
        <v>(含)-</v>
      </c>
      <c r="M109" s="2920"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7"/>
      <c r="B114" s="1878" t="s">
        <v>2416</v>
      </c>
      <c r="C114" s="1369"/>
      <c r="D114" s="1369"/>
      <c r="E114" s="1369"/>
      <c r="F114" s="1369"/>
      <c r="G114" s="1369"/>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5"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5.75"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3" customFormat="1" ht="15"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3" customFormat="1" ht="15.75"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9" xr:uid="{00000000-0002-0000-1600-00000A000000}">
      <formula1>"商业,办公,住宅,工业"</formula1>
    </dataValidation>
    <dataValidation type="list" allowBlank="1" showInputMessage="1" showErrorMessage="1" sqref="G60" xr:uid="{00000000-0002-0000-1600-00000B000000}">
      <formula1>"住宅,工业"</formula1>
    </dataValidation>
    <dataValidation type="list" allowBlank="1" showInputMessage="1" showErrorMessage="1" sqref="D54:D62" xr:uid="{00000000-0002-0000-1600-00000C000000}">
      <formula1>"25%,1"</formula1>
    </dataValidation>
    <dataValidation type="list" allowBlank="1" showInputMessage="1" showErrorMessage="1" sqref="C18 E18 G18 I18" xr:uid="{00000000-0002-0000-1600-00000D000000}">
      <formula1>产业集聚程度</formula1>
    </dataValidation>
    <dataValidation type="list" allowBlank="1" showInputMessage="1" showErrorMessage="1" sqref="C28 E28 G28 I28" xr:uid="{00000000-0002-0000-1600-00000E000000}">
      <formula1>基础设施水平</formula1>
    </dataValidation>
    <dataValidation type="list" allowBlank="1" showInputMessage="1" showErrorMessage="1" sqref="C31 E31 G31 I31" xr:uid="{00000000-0002-0000-1600-00000F000000}">
      <formula1>套工临街等级</formula1>
    </dataValidation>
    <dataValidation type="list" allowBlank="1" showInputMessage="1" showErrorMessage="1" sqref="C37 E37 G37 I37" xr:uid="{00000000-0002-0000-1600-000010000000}">
      <formula1>套工宗地形状</formula1>
    </dataValidation>
    <dataValidation type="list" allowBlank="1" showInputMessage="1" showErrorMessage="1" sqref="C38 E38 G38 I38" xr:uid="{00000000-0002-0000-1600-000011000000}">
      <formula1>套工开发程度</formula1>
    </dataValidation>
    <dataValidation type="list" allowBlank="1" showInputMessage="1" showErrorMessage="1" sqref="C39 E39 G39 I39" xr:uid="{00000000-0002-0000-16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1688</v>
      </c>
      <c r="B1" s="1393"/>
      <c r="C1" s="1399" t="s">
        <v>2417</v>
      </c>
      <c r="D1" s="1505">
        <f>SUM(D29:D30,D33:D39)</f>
        <v>0</v>
      </c>
      <c r="E1" s="1399" t="s">
        <v>2418</v>
      </c>
      <c r="F1" s="2413"/>
      <c r="G1" s="1394"/>
      <c r="H1" s="1394"/>
      <c r="I1" s="1394"/>
      <c r="J1" s="1394"/>
      <c r="K1" s="1394"/>
      <c r="L1" s="1864" t="s">
        <v>2230</v>
      </c>
      <c r="M1" s="1865">
        <f>SUMPRODUCT((区片价!B5:B9=I2)*(区片价!C3:F3=E2)*(区片价!C5:F9))</f>
        <v>0</v>
      </c>
      <c r="N1" s="1866">
        <f>SUMPRODUCT((因素修正幅度!B5:B9=I2)*(因素修正幅度!C3:F3=E2)*(因素修正幅度!C5:F9))</f>
        <v>0</v>
      </c>
      <c r="O1" s="1394"/>
      <c r="P1" s="1394"/>
      <c r="Q1" s="2171"/>
      <c r="R1" s="2772" t="s">
        <v>2752</v>
      </c>
      <c r="S1" s="2772" t="s">
        <v>2753</v>
      </c>
      <c r="T1" s="2772" t="s">
        <v>2774</v>
      </c>
      <c r="U1" s="2772" t="s">
        <v>2775</v>
      </c>
      <c r="V1" s="2772" t="s">
        <v>2776</v>
      </c>
      <c r="W1" s="2171"/>
      <c r="X1" s="2171"/>
      <c r="Y1" s="2171"/>
      <c r="Z1" s="2171"/>
      <c r="AA1" s="2171"/>
      <c r="AB1" s="2171"/>
      <c r="AC1" s="2172"/>
    </row>
    <row r="2" spans="1:39" ht="15.75">
      <c r="A2" s="1399" t="s">
        <v>917</v>
      </c>
      <c r="B2" s="1036" t="e">
        <f>C26</f>
        <v>#DIV/0!</v>
      </c>
      <c r="C2" s="1400" t="s">
        <v>918</v>
      </c>
      <c r="D2" s="1401" t="s">
        <v>919</v>
      </c>
      <c r="E2" s="1402"/>
      <c r="F2" s="1401" t="s">
        <v>921</v>
      </c>
      <c r="G2" s="1634">
        <f>IF(E2="商业",项目基本情况!B43,IF(E2="办公",项目基本情况!C43,IF(E2="住宅",项目基本情况!D43,项目基本情况!E43)))</f>
        <v>0</v>
      </c>
      <c r="H2" s="1401" t="s">
        <v>923</v>
      </c>
      <c r="I2" s="1635">
        <f>IF(E2="商业",项目基本情况!B44,IF(E2="办公",项目基本情况!C44,IF(E2="住宅",项目基本情况!D44,项目基本情况!E44)))</f>
        <v>0</v>
      </c>
      <c r="J2" s="1403"/>
      <c r="K2" s="1403"/>
      <c r="L2" s="1867" t="s">
        <v>2231</v>
      </c>
      <c r="M2" s="1868">
        <f>SUMPRODUCT((区片价!B10:B28=I2)*(区片价!C3:F3=E2)*(区片价!C10:F28))</f>
        <v>0</v>
      </c>
      <c r="N2" s="1869">
        <f>SUMPRODUCT((因素修正幅度!B10:B28=I2)*(因素修正幅度!C3:F3=E2)*(因素修正幅度!C10:F28))</f>
        <v>0</v>
      </c>
      <c r="O2" s="1403"/>
      <c r="P2" s="1394"/>
      <c r="Q2" s="2171"/>
      <c r="R2" s="2773">
        <v>1</v>
      </c>
      <c r="S2" s="2773">
        <f>ROUND(IF(G3&gt;1,IF(R2&lt;7,SUMPRODUCT((B93:B98=R2)*(C92:N92=G2)*(C93:N98)),SUMIF(C92:N92,G2,C100:N100)),IF(R2&lt;7,SUMPRODUCT((B102:B107=R2)*(C92:N92=G2)*(C102:N107)),SUMIF(C92:N92,G2,C109:N109))),4)</f>
        <v>0</v>
      </c>
      <c r="T2" s="2773" t="e">
        <f>ROUND($C$5*$C$18*$C$19*$C$20*S2*$C$24,0)</f>
        <v>#DIV/0!</v>
      </c>
      <c r="U2" s="2762"/>
      <c r="V2" s="2773" t="e">
        <f>ROUND(T2*U2/10000,0)</f>
        <v>#DIV/0!</v>
      </c>
      <c r="W2" s="2171"/>
      <c r="X2" s="2171"/>
      <c r="Y2" s="2171"/>
      <c r="Z2" s="2171"/>
      <c r="AA2" s="2171"/>
      <c r="AB2" s="2171"/>
      <c r="AC2" s="2172"/>
    </row>
    <row r="3" spans="1:39" ht="15.75">
      <c r="A3" s="1404" t="s">
        <v>1681</v>
      </c>
      <c r="B3" s="1036" t="e">
        <f>ROUND(B2*10000/D1,0)</f>
        <v>#DIV/0!</v>
      </c>
      <c r="C3" s="1400" t="s">
        <v>924</v>
      </c>
      <c r="D3" s="1401" t="s">
        <v>925</v>
      </c>
      <c r="E3" s="1405"/>
      <c r="F3" s="1406"/>
      <c r="G3" s="1037">
        <f>IF(F3="宗地容积率",'数据-汇总表'!I4,IF(F3="估价对象容积率",'数据-汇总表'!I6,'数据-汇总表'!I7))</f>
        <v>1.8306718193906182</v>
      </c>
      <c r="H3" s="1407" t="s">
        <v>926</v>
      </c>
      <c r="I3" s="1038">
        <v>8</v>
      </c>
      <c r="J3" s="1403" t="s">
        <v>927</v>
      </c>
      <c r="K3" s="1403"/>
      <c r="L3" s="1867" t="s">
        <v>2232</v>
      </c>
      <c r="M3" s="1868">
        <f>SUMPRODUCT((区片价!B29:B48=I2)*(区片价!C3:F3=E2)*(区片价!C29:F48))</f>
        <v>0</v>
      </c>
      <c r="N3" s="1869">
        <f>SUMPRODUCT((因素修正幅度!B29:B48=I2)*(因素修正幅度!C3:F3=E2)*(因素修正幅度!C29:F48))</f>
        <v>0</v>
      </c>
      <c r="O3" s="1403"/>
      <c r="P3" s="1394"/>
      <c r="Q3" s="2171"/>
      <c r="R3" s="2773">
        <v>2</v>
      </c>
      <c r="S3" s="2773">
        <f>ROUND(IF(G3&gt;1,IF(R3&lt;7,SUMPRODUCT((B93:B98=R3)*(C92:N92=G2)*(C93:N98)),SUMIF(C92:N92,G2,C100:N100)),IF(R3&lt;7,SUMPRODUCT((B102:B107=R3)*(C92:N92=G2)*(C102:N107)),SUMIF(C92:N92,G2,C109:N109))),4)</f>
        <v>0</v>
      </c>
      <c r="T3" s="2773" t="e">
        <f t="shared" ref="T3:T16" si="0">ROUND($C$5*$C$18*$C$19*$C$20*S3*$C$24,0)</f>
        <v>#DIV/0!</v>
      </c>
      <c r="U3" s="2762"/>
      <c r="V3" s="2773" t="e">
        <f t="shared" ref="V3:V16" si="1">ROUND(T3*U3/10000,0)</f>
        <v>#DIV/0!</v>
      </c>
      <c r="W3" s="2171"/>
      <c r="X3" s="2171"/>
      <c r="Y3" s="2171"/>
      <c r="Z3" s="2171"/>
      <c r="AA3" s="2171"/>
      <c r="AB3" s="2171"/>
      <c r="AC3" s="2172"/>
    </row>
    <row r="4" spans="1:39" ht="28.5">
      <c r="A4" s="1873" t="s">
        <v>2271</v>
      </c>
      <c r="B4" s="2414" t="e">
        <f>ROUND(B2*10000/F1,0)</f>
        <v>#DIV/0!</v>
      </c>
      <c r="C4" s="1876" t="s">
        <v>2246</v>
      </c>
      <c r="D4" s="1876" t="e">
        <f>ROUND(B2/(F1/666.67),0)</f>
        <v>#DIV/0!</v>
      </c>
      <c r="E4" s="1876" t="s">
        <v>2247</v>
      </c>
      <c r="F4" s="1874"/>
      <c r="G4" s="1874"/>
      <c r="H4" s="1874"/>
      <c r="I4" s="1874"/>
      <c r="J4" s="1875"/>
      <c r="K4" s="2997"/>
      <c r="L4" s="1867" t="s">
        <v>2233</v>
      </c>
      <c r="M4" s="1868">
        <f>SUMPRODUCT((区片价!B49:B75=I2)*(区片价!C3:F3=E2)*(区片价!C49:F75))</f>
        <v>0</v>
      </c>
      <c r="N4" s="1869">
        <f>SUMPRODUCT((因素修正幅度!B49:B75=I2)*(因素修正幅度!C3:F3=E2)*(因素修正幅度!C49:F75))</f>
        <v>0</v>
      </c>
      <c r="O4" s="2997"/>
      <c r="P4" s="1394"/>
      <c r="Q4" s="2171"/>
      <c r="R4" s="2773">
        <v>3</v>
      </c>
      <c r="S4" s="2773">
        <f>ROUND(IF(G3&gt;1,IF(R4&lt;7,SUMPRODUCT((B93:B98=R4)*(C92:N92=G2)*(C93:N98)),SUMIF(C92:N92,G2,C100:N100)),IF(R4&lt;7,SUMPRODUCT((B102:B107=R4)*(C92:N92=G2)*(C102:N107)),SUMIF(C92:N92,G2,C109:N109))),4)</f>
        <v>0</v>
      </c>
      <c r="T4" s="2773" t="e">
        <f t="shared" si="0"/>
        <v>#DIV/0!</v>
      </c>
      <c r="U4" s="2762"/>
      <c r="V4" s="2773" t="e">
        <f t="shared" si="1"/>
        <v>#DIV/0!</v>
      </c>
      <c r="W4" s="2171"/>
      <c r="X4" s="2171"/>
      <c r="Y4" s="2171"/>
      <c r="Z4" s="2171"/>
      <c r="AA4" s="2171"/>
      <c r="AB4" s="2171"/>
      <c r="AC4" s="2172"/>
    </row>
    <row r="5" spans="1:39" s="1414" customFormat="1" ht="15.75" thickBot="1">
      <c r="A5" s="1620" t="s">
        <v>1817</v>
      </c>
      <c r="B5" s="1408" t="s">
        <v>928</v>
      </c>
      <c r="C5" s="1039" t="e">
        <f>ROUND(IF(E2="商业",C6*C7+C16,(IF(E2="住宅",C6*C12+C16,C6+C16))),0)</f>
        <v>#DIV/0!</v>
      </c>
      <c r="D5" s="2939" t="e">
        <f>ROUND(C6+C16,0)</f>
        <v>#DIV/0!</v>
      </c>
      <c r="E5" s="2939"/>
      <c r="F5" s="1409"/>
      <c r="G5" s="1410"/>
      <c r="H5" s="1410"/>
      <c r="I5" s="1410"/>
      <c r="J5" s="1411"/>
      <c r="K5" s="2998"/>
      <c r="L5" s="1867" t="s">
        <v>2234</v>
      </c>
      <c r="M5" s="1868">
        <f>SUMPRODUCT((区片价!B76:B109=I2)*(区片价!C3:F3=E2)*(区片价!C76:F109))</f>
        <v>0</v>
      </c>
      <c r="N5" s="1869">
        <f>SUMPRODUCT((因素修正幅度!B76:B109=I2)*(因素修正幅度!C3:F3=E2)*(因素修正幅度!C76:F109))</f>
        <v>0</v>
      </c>
      <c r="O5" s="2998"/>
      <c r="P5" s="1577"/>
      <c r="Q5" s="2171"/>
      <c r="R5" s="2773">
        <v>4</v>
      </c>
      <c r="S5" s="2773">
        <f>ROUND(IF(G3&gt;1,IF(R5&lt;7,SUMPRODUCT((B93:B98=R5)*(C92:N92=G2)*(C93:N98)),SUMIF(C92:N92,G2,C100:N100)),IF(R5&lt;7,SUMPRODUCT((B102:B107=R5)*(C92:N92=G2)*(C102:N107)),SUMIF(C92:N92,G2,C109:N109))),4)</f>
        <v>0</v>
      </c>
      <c r="T5" s="2773" t="e">
        <f t="shared" si="0"/>
        <v>#DIV/0!</v>
      </c>
      <c r="U5" s="2762"/>
      <c r="V5" s="2773"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1864</v>
      </c>
      <c r="B6" s="1415" t="s">
        <v>928</v>
      </c>
      <c r="C6" s="1040">
        <f>SUMIF(L1:L12,基准地价!G2,M1:M12)</f>
        <v>0</v>
      </c>
      <c r="D6" s="1416" t="s">
        <v>1689</v>
      </c>
      <c r="E6" s="1417"/>
      <c r="F6" s="1417"/>
      <c r="G6" s="1418"/>
      <c r="H6" s="1418"/>
      <c r="I6" s="1418"/>
      <c r="J6" s="1419"/>
      <c r="K6" s="1449"/>
      <c r="L6" s="1867" t="s">
        <v>2235</v>
      </c>
      <c r="M6" s="1868">
        <f>SUMPRODUCT((区片价!B110:B157=I2)*(区片价!C3:F3=E2)*(区片价!C110:F157))</f>
        <v>0</v>
      </c>
      <c r="N6" s="1869">
        <f>SUMPRODUCT((因素修正幅度!B110:B157=I2)*(因素修正幅度!C3:F3=E2)*(因素修正幅度!C110:F157))</f>
        <v>0</v>
      </c>
      <c r="O6" s="1449"/>
      <c r="P6" s="1578"/>
      <c r="Q6" s="2171"/>
      <c r="R6" s="2773">
        <v>5</v>
      </c>
      <c r="S6" s="2773">
        <f>ROUND(IF(G3&gt;1,IF(R6&lt;7,SUMPRODUCT((B93:B98=R6)*(C92:N92=G2)*(C93:N98)),SUMIF(C92:N92,G2,C100:N100)),IF(R6&lt;7,SUMPRODUCT((B102:B107=R6)*(C92:N92=G2)*(C102:N107)),SUMIF(C92:N92,G2,C109:N109))),4)</f>
        <v>0</v>
      </c>
      <c r="T6" s="2773" t="e">
        <f t="shared" si="0"/>
        <v>#DIV/0!</v>
      </c>
      <c r="U6" s="2762"/>
      <c r="V6" s="2773" t="e">
        <f t="shared" si="1"/>
        <v>#DIV/0!</v>
      </c>
      <c r="W6" s="2171"/>
      <c r="X6" s="2171"/>
      <c r="Y6" s="2171"/>
      <c r="Z6" s="2171"/>
      <c r="AA6" s="2171"/>
      <c r="AB6" s="2171"/>
      <c r="AC6" s="2173"/>
      <c r="AD6" s="1412"/>
      <c r="AE6" s="1412"/>
      <c r="AF6" s="1412"/>
      <c r="AG6" s="1412"/>
      <c r="AH6" s="1412"/>
      <c r="AI6" s="1412"/>
      <c r="AJ6" s="1413"/>
    </row>
    <row r="7" spans="1:39" ht="24">
      <c r="A7" s="3441" t="str">
        <f>IF(E2="商业",IF(C8="不临58条商业街","",2),"")</f>
        <v/>
      </c>
      <c r="B7" s="1420" t="s">
        <v>929</v>
      </c>
      <c r="C7" s="1041" t="e">
        <f>IF(C8="不临58条商业街",1,ROUND(1+(1.6*E8+1.2*E9+0.8*E10+0.4*E11)*C9,4))</f>
        <v>#DIV/0!</v>
      </c>
      <c r="D7" s="1421" t="s">
        <v>930</v>
      </c>
      <c r="E7" s="1042"/>
      <c r="F7" s="1422"/>
      <c r="G7" s="1423"/>
      <c r="H7" s="1423"/>
      <c r="I7" s="1423"/>
      <c r="J7" s="1424"/>
      <c r="K7" s="1449"/>
      <c r="L7" s="1867" t="s">
        <v>2236</v>
      </c>
      <c r="M7" s="1868">
        <f>SUMPRODUCT((区片价!B158:B205=I2)*(区片价!C3:F3=E2)*(区片价!C158:F205))</f>
        <v>0</v>
      </c>
      <c r="N7" s="1869">
        <f>SUMPRODUCT((因素修正幅度!B158:B205=I2)*(因素修正幅度!C3:F3=E2)*(因素修正幅度!C158:F205))</f>
        <v>0</v>
      </c>
      <c r="O7" s="1449"/>
      <c r="P7" s="1578"/>
      <c r="Q7" s="2171"/>
      <c r="R7" s="2773">
        <v>6</v>
      </c>
      <c r="S7" s="2773">
        <f>ROUND(IF(G3&gt;1,IF(R7&lt;7,SUMPRODUCT((B93:B98=R7)*(C92:N92=G2)*(C93:N98)),SUMIF(C92:N92,G2,C100:N100)),IF(R7&lt;7,SUMPRODUCT((B102:B107=R7)*(C92:N92=G2)*(C102:N107)),SUMIF(C92:N92,G2,C109:N109))),4)</f>
        <v>0</v>
      </c>
      <c r="T7" s="2773" t="e">
        <f t="shared" si="0"/>
        <v>#DIV/0!</v>
      </c>
      <c r="U7" s="2762"/>
      <c r="V7" s="2773" t="e">
        <f t="shared" si="1"/>
        <v>#DIV/0!</v>
      </c>
      <c r="W7" s="2771" t="s">
        <v>2755</v>
      </c>
      <c r="X7" s="2763">
        <f>G2</f>
        <v>0</v>
      </c>
      <c r="Y7" s="2763" t="s">
        <v>2756</v>
      </c>
      <c r="Z7" s="2764">
        <f>G3</f>
        <v>1.8306718193906182</v>
      </c>
      <c r="AA7" s="2174"/>
      <c r="AB7" s="2174"/>
      <c r="AC7" s="2175"/>
      <c r="AD7" s="2765"/>
      <c r="AE7" s="2765"/>
      <c r="AF7" s="2765"/>
      <c r="AG7" s="2765"/>
      <c r="AH7" s="2765"/>
      <c r="AI7" s="2765"/>
      <c r="AJ7" s="2766"/>
    </row>
    <row r="8" spans="1:39" ht="15">
      <c r="A8" s="3442"/>
      <c r="B8" s="1407" t="s">
        <v>931</v>
      </c>
      <c r="C8" s="1513"/>
      <c r="D8" s="1043" t="s">
        <v>932</v>
      </c>
      <c r="E8" s="1044" t="e">
        <f>ROUND(C11/E7,4)</f>
        <v>#DIV/0!</v>
      </c>
      <c r="F8" s="1425" t="s">
        <v>933</v>
      </c>
      <c r="G8" s="1426"/>
      <c r="H8" s="1426"/>
      <c r="I8" s="1426"/>
      <c r="J8" s="1427"/>
      <c r="K8" s="1449"/>
      <c r="L8" s="1867" t="s">
        <v>2237</v>
      </c>
      <c r="M8" s="1868">
        <f>SUMPRODUCT((区片价!B206:B244=I2)*(区片价!C3:F3=E2)*(区片价!C206:F244))</f>
        <v>0</v>
      </c>
      <c r="N8" s="1869">
        <f>SUMPRODUCT((因素修正幅度!B206:B244=I2)*(因素修正幅度!C3:F3=E2)*(因素修正幅度!C206:F244))</f>
        <v>0</v>
      </c>
      <c r="O8" s="1449"/>
      <c r="P8" s="1394"/>
      <c r="Q8" s="2171"/>
      <c r="R8" s="2773">
        <v>7</v>
      </c>
      <c r="S8" s="2762"/>
      <c r="T8" s="2773" t="e">
        <f t="shared" si="0"/>
        <v>#DIV/0!</v>
      </c>
      <c r="U8" s="2762"/>
      <c r="V8" s="2773" t="e">
        <f t="shared" si="1"/>
        <v>#DIV/0!</v>
      </c>
      <c r="W8" s="3452" t="s">
        <v>2773</v>
      </c>
      <c r="X8" s="3453"/>
      <c r="Y8" s="1831" t="s">
        <v>2757</v>
      </c>
      <c r="Z8" s="1831" t="s">
        <v>2758</v>
      </c>
      <c r="AA8" s="1831" t="s">
        <v>2759</v>
      </c>
      <c r="AB8" s="1831" t="s">
        <v>2760</v>
      </c>
      <c r="AC8" s="1831" t="s">
        <v>2761</v>
      </c>
      <c r="AD8" s="1831" t="s">
        <v>2762</v>
      </c>
      <c r="AE8" s="1831" t="s">
        <v>2763</v>
      </c>
      <c r="AF8" s="1831" t="s">
        <v>2764</v>
      </c>
      <c r="AG8" s="1831" t="s">
        <v>2765</v>
      </c>
      <c r="AH8" s="1831" t="s">
        <v>2766</v>
      </c>
      <c r="AI8" s="1831" t="s">
        <v>2767</v>
      </c>
      <c r="AJ8" s="1831" t="s">
        <v>2768</v>
      </c>
    </row>
    <row r="9" spans="1:39" ht="15">
      <c r="A9" s="3442"/>
      <c r="B9" s="1407" t="s">
        <v>934</v>
      </c>
      <c r="C9" s="1045">
        <f>SUMIF(修正!C59:C119,C8,修正!E59:E119)</f>
        <v>0</v>
      </c>
      <c r="D9" s="1046" t="s">
        <v>935</v>
      </c>
      <c r="E9" s="1046" t="e">
        <f>ROUND(C11/E7,4)</f>
        <v>#DIV/0!</v>
      </c>
      <c r="F9" s="1425" t="s">
        <v>936</v>
      </c>
      <c r="G9" s="1426"/>
      <c r="H9" s="1426"/>
      <c r="I9" s="1426"/>
      <c r="J9" s="1427"/>
      <c r="K9" s="1449"/>
      <c r="L9" s="1867" t="s">
        <v>2238</v>
      </c>
      <c r="M9" s="1868">
        <f>SUMPRODUCT((区片价!B245:B289=I2)*(区片价!C3:F3=E2)*(区片价!C245:F289))</f>
        <v>0</v>
      </c>
      <c r="N9" s="1869">
        <f>SUMPRODUCT((因素修正幅度!B245:B289=I2)*(因素修正幅度!C3:F3=E2)*(因素修正幅度!C245:F289))</f>
        <v>0</v>
      </c>
      <c r="O9" s="1449"/>
      <c r="P9" s="1394"/>
      <c r="Q9" s="2171"/>
      <c r="R9" s="2773">
        <v>8</v>
      </c>
      <c r="S9" s="2762"/>
      <c r="T9" s="2773" t="e">
        <f t="shared" si="0"/>
        <v>#DIV/0!</v>
      </c>
      <c r="U9" s="2762"/>
      <c r="V9" s="2773" t="e">
        <f t="shared" si="1"/>
        <v>#DIV/0!</v>
      </c>
      <c r="W9" s="3451" t="s">
        <v>2769</v>
      </c>
      <c r="X9" s="2767" t="s">
        <v>2770</v>
      </c>
      <c r="Y9" s="2924"/>
      <c r="Z9" s="2768">
        <f t="shared" ref="Z9:AJ9" si="2">$Y$9</f>
        <v>0</v>
      </c>
      <c r="AA9" s="2768">
        <f t="shared" si="2"/>
        <v>0</v>
      </c>
      <c r="AB9" s="2768">
        <f t="shared" si="2"/>
        <v>0</v>
      </c>
      <c r="AC9" s="2768">
        <f t="shared" si="2"/>
        <v>0</v>
      </c>
      <c r="AD9" s="2768">
        <f t="shared" si="2"/>
        <v>0</v>
      </c>
      <c r="AE9" s="2768">
        <f t="shared" si="2"/>
        <v>0</v>
      </c>
      <c r="AF9" s="2768">
        <f t="shared" si="2"/>
        <v>0</v>
      </c>
      <c r="AG9" s="2768">
        <f t="shared" si="2"/>
        <v>0</v>
      </c>
      <c r="AH9" s="2768">
        <f t="shared" si="2"/>
        <v>0</v>
      </c>
      <c r="AI9" s="2768">
        <f t="shared" si="2"/>
        <v>0</v>
      </c>
      <c r="AJ9" s="2768">
        <f t="shared" si="2"/>
        <v>0</v>
      </c>
    </row>
    <row r="10" spans="1:39" ht="15">
      <c r="A10" s="3442"/>
      <c r="B10" s="1407" t="s">
        <v>937</v>
      </c>
      <c r="C10" s="1046">
        <f>SUMIF(修正!C59:C119,C8,修正!F59:F119)</f>
        <v>0</v>
      </c>
      <c r="D10" s="1046" t="s">
        <v>938</v>
      </c>
      <c r="E10" s="1046" t="e">
        <f>ROUND(C11/E7,4)</f>
        <v>#DIV/0!</v>
      </c>
      <c r="F10" s="1425" t="s">
        <v>939</v>
      </c>
      <c r="G10" s="1426"/>
      <c r="H10" s="1426"/>
      <c r="I10" s="1426"/>
      <c r="J10" s="1427"/>
      <c r="K10" s="1449"/>
      <c r="L10" s="1867" t="s">
        <v>2239</v>
      </c>
      <c r="M10" s="1868">
        <f>SUMPRODUCT((区片价!B290:B316=I2)*(区片价!C3:F3=E2)*(区片价!C290:F316))</f>
        <v>0</v>
      </c>
      <c r="N10" s="1869">
        <f>SUMPRODUCT((因素修正幅度!B290:B316=I2)*(因素修正幅度!C3:F3=E2)*(因素修正幅度!C290:F316))</f>
        <v>0</v>
      </c>
      <c r="O10" s="1449"/>
      <c r="P10" s="1394"/>
      <c r="Q10" s="2171"/>
      <c r="R10" s="2773">
        <v>9</v>
      </c>
      <c r="S10" s="2762"/>
      <c r="T10" s="2773" t="e">
        <f t="shared" si="0"/>
        <v>#DIV/0!</v>
      </c>
      <c r="U10" s="2762"/>
      <c r="V10" s="2773" t="e">
        <f t="shared" si="1"/>
        <v>#DIV/0!</v>
      </c>
      <c r="W10" s="3451"/>
      <c r="X10" s="2767">
        <v>7</v>
      </c>
      <c r="Y10" s="2769">
        <f>(-0.163*(Y9^2)-0.59*Y9+7617)*(10^(-4))</f>
        <v>0.76170000000000004</v>
      </c>
      <c r="Z10" s="2769">
        <f>(-0.163*(Z9^2)-0.59*Z9+7617)*(10^(-4))</f>
        <v>0.76170000000000004</v>
      </c>
      <c r="AA10" s="2769">
        <f>(-0.161*(AA9^2)-7.509*AA9+6533)*(10^(-4))</f>
        <v>0.65329999999999999</v>
      </c>
      <c r="AB10" s="2769">
        <f>(-0.161*(AB9^2)-7.509*AB9+6533)*(10^(-4))</f>
        <v>0.65329999999999999</v>
      </c>
      <c r="AC10" s="2769">
        <f>(-0.161*(AC9^2)-7.509*AC9+6533)*(10^(-4))</f>
        <v>0.65329999999999999</v>
      </c>
      <c r="AD10" s="2769">
        <f>(-0.161*(AD9^2)-7.509*AD9+6533)*(10^(-4))</f>
        <v>0.65329999999999999</v>
      </c>
      <c r="AE10" s="2769">
        <f>(-0.161*(AE9^2)-7.509*AE9+6533)*(10^(-4))</f>
        <v>0.65329999999999999</v>
      </c>
      <c r="AF10" s="2769">
        <f>(-0.214*(AF9^2)-21.991*AF9+4665)*(10^(-4))</f>
        <v>0.46650000000000003</v>
      </c>
      <c r="AG10" s="2769">
        <f>(-0.214*(AG9^2)-21.991*AG9+4665)*(10^(-4))</f>
        <v>0.46650000000000003</v>
      </c>
      <c r="AH10" s="2769">
        <f>(-0.214*(AH9^2)-21.991*AH9+4665)*(10^(-4))</f>
        <v>0.46650000000000003</v>
      </c>
      <c r="AI10" s="2769">
        <f>(-0.214*(AI9^2)-21.991*AI9+4665)*(10^(-4))</f>
        <v>0.46650000000000003</v>
      </c>
      <c r="AJ10" s="2769">
        <f>(-0.214*(AJ9^2)-21.991*AJ9+4665)*(10^(-4))</f>
        <v>0.46650000000000003</v>
      </c>
    </row>
    <row r="11" spans="1:39" ht="15.75" customHeight="1" thickBot="1">
      <c r="A11" s="3442"/>
      <c r="B11" s="1428" t="s">
        <v>940</v>
      </c>
      <c r="C11" s="1047">
        <f>C10/4</f>
        <v>0</v>
      </c>
      <c r="D11" s="1047" t="s">
        <v>941</v>
      </c>
      <c r="E11" s="1047" t="e">
        <f>ROUND(C11/E7,4)</f>
        <v>#DIV/0!</v>
      </c>
      <c r="F11" s="1429" t="s">
        <v>942</v>
      </c>
      <c r="G11" s="1430"/>
      <c r="H11" s="1430"/>
      <c r="I11" s="1430"/>
      <c r="J11" s="1431"/>
      <c r="K11" s="1449"/>
      <c r="L11" s="1867" t="s">
        <v>2240</v>
      </c>
      <c r="M11" s="1868">
        <f>SUMPRODUCT((区片价!B317:B337=I2)*(区片价!C3:F3=E2)*(区片价!C317:F337))</f>
        <v>0</v>
      </c>
      <c r="N11" s="1869">
        <f>SUMPRODUCT((因素修正幅度!B317:B337=I2)*(因素修正幅度!C3:F3=E2)*(因素修正幅度!C317:F337))</f>
        <v>0</v>
      </c>
      <c r="O11" s="1449"/>
      <c r="P11" s="1394"/>
      <c r="Q11" s="2171"/>
      <c r="R11" s="2773">
        <v>10</v>
      </c>
      <c r="S11" s="2762"/>
      <c r="T11" s="2773" t="e">
        <f t="shared" si="0"/>
        <v>#DIV/0!</v>
      </c>
      <c r="U11" s="2762"/>
      <c r="V11" s="2773" t="e">
        <f t="shared" si="1"/>
        <v>#DIV/0!</v>
      </c>
      <c r="W11" s="3451" t="s">
        <v>2771</v>
      </c>
      <c r="X11" s="1046" t="s">
        <v>2756</v>
      </c>
      <c r="Y11" s="1635">
        <f>$G$3</f>
        <v>1.8306718193906182</v>
      </c>
      <c r="Z11" s="1635">
        <f t="shared" ref="Z11:AJ11" si="3">$G$3</f>
        <v>1.8306718193906182</v>
      </c>
      <c r="AA11" s="1635">
        <f t="shared" si="3"/>
        <v>1.8306718193906182</v>
      </c>
      <c r="AB11" s="1635">
        <f t="shared" si="3"/>
        <v>1.8306718193906182</v>
      </c>
      <c r="AC11" s="1635">
        <f t="shared" si="3"/>
        <v>1.8306718193906182</v>
      </c>
      <c r="AD11" s="1635">
        <f t="shared" si="3"/>
        <v>1.8306718193906182</v>
      </c>
      <c r="AE11" s="1635">
        <f t="shared" si="3"/>
        <v>1.8306718193906182</v>
      </c>
      <c r="AF11" s="1635">
        <f t="shared" si="3"/>
        <v>1.8306718193906182</v>
      </c>
      <c r="AG11" s="1635">
        <f t="shared" si="3"/>
        <v>1.8306718193906182</v>
      </c>
      <c r="AH11" s="1635">
        <f t="shared" si="3"/>
        <v>1.8306718193906182</v>
      </c>
      <c r="AI11" s="1635">
        <f t="shared" si="3"/>
        <v>1.8306718193906182</v>
      </c>
      <c r="AJ11" s="1635">
        <f t="shared" si="3"/>
        <v>1.8306718193906182</v>
      </c>
    </row>
    <row r="12" spans="1:39" ht="25.5" thickBot="1">
      <c r="A12" s="3441" t="s">
        <v>1865</v>
      </c>
      <c r="B12" s="1432" t="s">
        <v>943</v>
      </c>
      <c r="C12" s="1041">
        <f>ROUND(C15*D15*E15*F15*G15*H15*I15*J15,4)</f>
        <v>1</v>
      </c>
      <c r="D12" s="1433" t="s">
        <v>944</v>
      </c>
      <c r="E12" s="1434"/>
      <c r="F12" s="1434"/>
      <c r="G12" s="1435"/>
      <c r="H12" s="1435"/>
      <c r="I12" s="1435"/>
      <c r="J12" s="1436"/>
      <c r="K12" s="1449"/>
      <c r="L12" s="1870" t="s">
        <v>2241</v>
      </c>
      <c r="M12" s="1871">
        <f>SUMPRODUCT((区片价!B338:B344=I2)*(区片价!C3:F3=E2)*(区片价!C338:F344))</f>
        <v>0</v>
      </c>
      <c r="N12" s="1872">
        <f>SUMPRODUCT((因素修正幅度!B338:B344=I2)*(因素修正幅度!C3:F3=E2)*(因素修正幅度!C338:F344))</f>
        <v>0</v>
      </c>
      <c r="O12" s="1449"/>
      <c r="P12" s="1394"/>
      <c r="Q12" s="2171"/>
      <c r="R12" s="2773">
        <v>11</v>
      </c>
      <c r="S12" s="2762"/>
      <c r="T12" s="2773" t="e">
        <f t="shared" si="0"/>
        <v>#DIV/0!</v>
      </c>
      <c r="U12" s="2762"/>
      <c r="V12" s="2773" t="e">
        <f t="shared" si="1"/>
        <v>#DIV/0!</v>
      </c>
      <c r="W12" s="3451"/>
      <c r="X12" s="2770" t="s">
        <v>2772</v>
      </c>
      <c r="Y12" s="2768">
        <f t="shared" ref="Y12:AJ12" si="4">Y9</f>
        <v>0</v>
      </c>
      <c r="Z12" s="2768">
        <f t="shared" si="4"/>
        <v>0</v>
      </c>
      <c r="AA12" s="2768">
        <f t="shared" si="4"/>
        <v>0</v>
      </c>
      <c r="AB12" s="2768">
        <f t="shared" si="4"/>
        <v>0</v>
      </c>
      <c r="AC12" s="2768">
        <f t="shared" si="4"/>
        <v>0</v>
      </c>
      <c r="AD12" s="2768">
        <f t="shared" si="4"/>
        <v>0</v>
      </c>
      <c r="AE12" s="2768">
        <f t="shared" si="4"/>
        <v>0</v>
      </c>
      <c r="AF12" s="2768">
        <f t="shared" si="4"/>
        <v>0</v>
      </c>
      <c r="AG12" s="2768">
        <f t="shared" si="4"/>
        <v>0</v>
      </c>
      <c r="AH12" s="2768">
        <f t="shared" si="4"/>
        <v>0</v>
      </c>
      <c r="AI12" s="2768">
        <f t="shared" si="4"/>
        <v>0</v>
      </c>
      <c r="AJ12" s="2768">
        <f t="shared" si="4"/>
        <v>0</v>
      </c>
    </row>
    <row r="13" spans="1:39" ht="24">
      <c r="A13" s="3443"/>
      <c r="B13" s="1437" t="s">
        <v>1690</v>
      </c>
      <c r="C13" s="1438" t="s">
        <v>1691</v>
      </c>
      <c r="D13" s="1083" t="s">
        <v>1692</v>
      </c>
      <c r="E13" s="1083" t="s">
        <v>1693</v>
      </c>
      <c r="F13" s="1439" t="s">
        <v>945</v>
      </c>
      <c r="G13" s="1440" t="s">
        <v>1639</v>
      </c>
      <c r="H13" s="1441" t="s">
        <v>1639</v>
      </c>
      <c r="I13" s="1442" t="s">
        <v>1639</v>
      </c>
      <c r="J13" s="1443" t="s">
        <v>1639</v>
      </c>
      <c r="K13" s="3013"/>
      <c r="L13" s="3013"/>
      <c r="M13" s="3013"/>
      <c r="N13" s="3013"/>
      <c r="O13" s="3013"/>
      <c r="P13" s="1394"/>
      <c r="Q13" s="2171"/>
      <c r="R13" s="2773">
        <v>12</v>
      </c>
      <c r="S13" s="2762"/>
      <c r="T13" s="2773" t="e">
        <f t="shared" si="0"/>
        <v>#DIV/0!</v>
      </c>
      <c r="U13" s="2762"/>
      <c r="V13" s="2773" t="e">
        <f t="shared" si="1"/>
        <v>#DIV/0!</v>
      </c>
      <c r="W13" s="3451"/>
      <c r="X13" s="2770"/>
      <c r="Y13" s="2769">
        <f>(-0.163*(Y12^2)-0.59*Y12+7617)*(10^(-4))/Y11</f>
        <v>0.41607676041768626</v>
      </c>
      <c r="Z13" s="2769">
        <f t="shared" ref="Z13:AJ13" si="5">(-0.163*(Z12^2)-0.59*Z12+7617)*(10^(-4))/Z11</f>
        <v>0.41607676041768626</v>
      </c>
      <c r="AA13" s="2769">
        <f t="shared" si="5"/>
        <v>0.41607676041768626</v>
      </c>
      <c r="AB13" s="2769">
        <f t="shared" si="5"/>
        <v>0.41607676041768626</v>
      </c>
      <c r="AC13" s="2769">
        <f t="shared" si="5"/>
        <v>0.41607676041768626</v>
      </c>
      <c r="AD13" s="2769">
        <f t="shared" si="5"/>
        <v>0.41607676041768626</v>
      </c>
      <c r="AE13" s="2769">
        <f t="shared" si="5"/>
        <v>0.41607676041768626</v>
      </c>
      <c r="AF13" s="2769">
        <f t="shared" si="5"/>
        <v>0.41607676041768626</v>
      </c>
      <c r="AG13" s="2769">
        <f t="shared" si="5"/>
        <v>0.41607676041768626</v>
      </c>
      <c r="AH13" s="2769">
        <f t="shared" si="5"/>
        <v>0.41607676041768626</v>
      </c>
      <c r="AI13" s="2769">
        <f t="shared" si="5"/>
        <v>0.41607676041768626</v>
      </c>
      <c r="AJ13" s="2769">
        <f t="shared" si="5"/>
        <v>0.41607676041768626</v>
      </c>
    </row>
    <row r="14" spans="1:39" ht="12.75" customHeight="1">
      <c r="A14" s="3443"/>
      <c r="B14" s="1444"/>
      <c r="C14" s="1445"/>
      <c r="D14" s="1446"/>
      <c r="E14" s="1446"/>
      <c r="F14" s="1447"/>
      <c r="G14" s="1448" t="s">
        <v>946</v>
      </c>
      <c r="H14" s="1449"/>
      <c r="I14" s="1450"/>
      <c r="J14" s="1451"/>
      <c r="K14" s="2999"/>
      <c r="L14" s="2999"/>
      <c r="M14" s="2999"/>
      <c r="N14" s="2999"/>
      <c r="O14" s="2999"/>
      <c r="P14" s="1394"/>
      <c r="Q14" s="2171"/>
      <c r="R14" s="2773">
        <v>13</v>
      </c>
      <c r="S14" s="2762"/>
      <c r="T14" s="2773" t="e">
        <f t="shared" si="0"/>
        <v>#DIV/0!</v>
      </c>
      <c r="U14" s="2762"/>
      <c r="V14" s="2773" t="e">
        <f t="shared" si="1"/>
        <v>#DIV/0!</v>
      </c>
      <c r="W14" s="2171"/>
      <c r="X14" s="2171"/>
      <c r="Y14" s="2171"/>
      <c r="Z14" s="2171"/>
      <c r="AA14" s="2171"/>
      <c r="AB14" s="2171"/>
      <c r="AC14" s="2172"/>
    </row>
    <row r="15" spans="1:39" ht="13.5" customHeight="1" thickBot="1">
      <c r="A15" s="3444"/>
      <c r="B15" s="3018" t="s">
        <v>1694</v>
      </c>
      <c r="C15" s="1047">
        <f>IF(C14="有",1.1,1)</f>
        <v>1</v>
      </c>
      <c r="D15" s="1047">
        <f>IF(D14="有",1.1,1)</f>
        <v>1</v>
      </c>
      <c r="E15" s="1047">
        <f>IF(E14="有",1.1,1)</f>
        <v>1</v>
      </c>
      <c r="F15" s="1047">
        <f>IF(F14="500米范围内",1.2,IF(F14="500-1000米",1.1,1))</f>
        <v>1</v>
      </c>
      <c r="G15" s="3010">
        <v>1</v>
      </c>
      <c r="H15" s="3010">
        <v>1</v>
      </c>
      <c r="I15" s="3010">
        <v>1</v>
      </c>
      <c r="J15" s="3011">
        <v>1</v>
      </c>
      <c r="K15" s="3014"/>
      <c r="L15" s="3014"/>
      <c r="M15" s="3014"/>
      <c r="N15" s="3014"/>
      <c r="O15" s="3014"/>
      <c r="P15" s="1394"/>
      <c r="Q15" s="2171"/>
      <c r="R15" s="2773">
        <v>14</v>
      </c>
      <c r="S15" s="2762"/>
      <c r="T15" s="2773" t="e">
        <f t="shared" si="0"/>
        <v>#DIV/0!</v>
      </c>
      <c r="U15" s="2762"/>
      <c r="V15" s="2773" t="e">
        <f t="shared" si="1"/>
        <v>#DIV/0!</v>
      </c>
      <c r="W15" s="2171"/>
      <c r="X15" s="2171"/>
      <c r="Y15" s="2171"/>
      <c r="Z15" s="2171"/>
      <c r="AA15" s="2171"/>
      <c r="AB15" s="2171"/>
      <c r="AC15" s="2172"/>
    </row>
    <row r="16" spans="1:39" ht="24.6" customHeight="1">
      <c r="A16" s="3441" t="s">
        <v>1832</v>
      </c>
      <c r="B16" s="1420" t="s">
        <v>947</v>
      </c>
      <c r="C16" s="1050" t="e">
        <f>ROUND(IF(F17="与级别开发程度一致",0,(G17-E17)/C17),0)</f>
        <v>#DIV/0!</v>
      </c>
      <c r="D16" s="3459" t="s">
        <v>951</v>
      </c>
      <c r="E16" s="3460"/>
      <c r="F16" s="3459" t="s">
        <v>948</v>
      </c>
      <c r="G16" s="3460"/>
      <c r="H16" s="1452"/>
      <c r="I16" s="1452"/>
      <c r="J16" s="1452"/>
      <c r="K16" s="1452"/>
      <c r="L16" s="1452"/>
      <c r="M16" s="1452"/>
      <c r="N16" s="1452"/>
      <c r="O16" s="3023"/>
      <c r="P16" s="1394"/>
      <c r="Q16" s="2174"/>
      <c r="R16" s="2773">
        <v>15</v>
      </c>
      <c r="S16" s="2762"/>
      <c r="T16" s="2773" t="e">
        <f t="shared" si="0"/>
        <v>#DIV/0!</v>
      </c>
      <c r="U16" s="2762"/>
      <c r="V16" s="2773" t="e">
        <f t="shared" si="1"/>
        <v>#DIV/0!</v>
      </c>
      <c r="W16" s="2174"/>
      <c r="X16" s="2174"/>
      <c r="Y16" s="2174"/>
      <c r="Z16" s="2174"/>
      <c r="AA16" s="2174"/>
      <c r="AB16" s="2174"/>
      <c r="AC16" s="2175"/>
    </row>
    <row r="17" spans="1:40" ht="13.5" thickBot="1">
      <c r="A17" s="3445"/>
      <c r="B17" s="3024" t="s">
        <v>950</v>
      </c>
      <c r="C17" s="3025">
        <f>SUMPRODUCT((修正!A2:A5=E2)*(修正!B1:M1=G2)*(修正!B2:M5))</f>
        <v>0</v>
      </c>
      <c r="D17" s="3026" t="str">
        <f>IF(OR(G2="八级",G2="九级",G2="十级",G2="十一级",G2="十二级"),"五通一平","七通一平")</f>
        <v>七通一平</v>
      </c>
      <c r="E17" s="3016">
        <f>SUMPRODUCT((修正!B1:M1=G2)*(修正!B15:M15))</f>
        <v>0</v>
      </c>
      <c r="F17" s="3017"/>
      <c r="G17" s="3016">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027">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616" t="s">
        <v>1823</v>
      </c>
      <c r="B18" s="3019" t="s">
        <v>952</v>
      </c>
      <c r="C18" s="3020">
        <f>SUMIF(修正!C18:C39,E3,修正!E18:E39)</f>
        <v>0</v>
      </c>
      <c r="D18" s="3021"/>
      <c r="E18" s="3022"/>
      <c r="F18" s="3004"/>
      <c r="G18" s="2998"/>
      <c r="H18" s="2998"/>
      <c r="I18" s="2998"/>
      <c r="J18" s="3012"/>
      <c r="K18" s="2998"/>
      <c r="L18" s="2998"/>
      <c r="M18" s="2998"/>
      <c r="N18" s="2998"/>
      <c r="O18" s="2998"/>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1829</v>
      </c>
      <c r="B19" s="1455" t="s">
        <v>953</v>
      </c>
      <c r="C19" s="1051">
        <f>ROUND(IF(H19="按公示增长率计算",SUMPRODUCT((地价!A3:A31=YEAR(G19)&amp;"-"&amp;ROUNDUP(MONTH(G19)/3,0))*(地价!X2:AB2=E2)*(地价!X3:AB31)),IF(H19="地价指数",M20/M19,(1+I19)^O19)),4)</f>
        <v>0</v>
      </c>
      <c r="D19" s="1459" t="s">
        <v>954</v>
      </c>
      <c r="E19" s="1052">
        <v>41640</v>
      </c>
      <c r="F19" s="1459" t="s">
        <v>955</v>
      </c>
      <c r="G19" s="1053">
        <f>'数据-取费表'!B2</f>
        <v>44050</v>
      </c>
      <c r="H19" s="1460" t="s">
        <v>2980</v>
      </c>
      <c r="I19" s="2622" t="str">
        <f>IF(H19="季度增幅（自定义）",SUMIF(N21:N24,E2,O21:O24),"")</f>
        <v/>
      </c>
      <c r="J19" s="1456"/>
      <c r="K19" s="2998"/>
      <c r="L19" s="2872" t="s">
        <v>2831</v>
      </c>
      <c r="M19" s="2873">
        <f>ROUND(SUMIF(地价!B2:F2,E2,地价!B31:F31),0)</f>
        <v>0</v>
      </c>
      <c r="N19" s="2624" t="s">
        <v>1673</v>
      </c>
      <c r="O19" s="2623">
        <f>ROUNDDOWN(DATEDIF(E19,G19,"M")/3,0)</f>
        <v>26</v>
      </c>
      <c r="P19" s="1579"/>
      <c r="Q19" s="2761"/>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616" t="s">
        <v>1830</v>
      </c>
      <c r="B20" s="2617" t="s">
        <v>968</v>
      </c>
      <c r="C20" s="2618" t="e">
        <f>ROUND(POWER(1+G20,J20-I20)*(POWER(1+G20,I20)-1)/(POWER(1+G20,J20)-1),4)</f>
        <v>#DIV/0!</v>
      </c>
      <c r="D20" s="2619" t="s">
        <v>969</v>
      </c>
      <c r="E20" s="2921">
        <f ca="1">存贷款利率!I4/100</f>
        <v>4.3499999999999997E-2</v>
      </c>
      <c r="F20" s="2619" t="s">
        <v>970</v>
      </c>
      <c r="G20" s="2620">
        <f>SUMIF(M26:P26,E2,M28:P28)</f>
        <v>0</v>
      </c>
      <c r="H20" s="2619" t="s">
        <v>971</v>
      </c>
      <c r="I20" s="2615" t="e">
        <f>SUMIF('数据-取费表'!C6:C15,E2,'数据-取费表'!F6:F15)/COUNTIF('数据-取费表'!C6:C15,E2)</f>
        <v>#DIV/0!</v>
      </c>
      <c r="J20" s="2621">
        <f>IF(E2="住宅",70,IF(E2="商业",40,50))</f>
        <v>50</v>
      </c>
      <c r="K20" s="3000"/>
      <c r="L20" s="2874" t="s">
        <v>2832</v>
      </c>
      <c r="M20" s="3007">
        <f>ROUND(SUMPRODUCT((地价!A4:A31=YEAR(G19)&amp;"-"&amp;ROUNDUP(MONTH(G19)/3,0))*(地价!B2:F2=E2)*(地价!B4:F31)),0)</f>
        <v>0</v>
      </c>
      <c r="N20" s="2627" t="s">
        <v>2635</v>
      </c>
      <c r="O20" s="2625" t="s">
        <v>2634</v>
      </c>
      <c r="P20" s="2626" t="s">
        <v>2640</v>
      </c>
      <c r="Q20" s="2761"/>
      <c r="R20" s="2177"/>
      <c r="S20" s="2177"/>
      <c r="T20" s="2177"/>
      <c r="U20" s="2177"/>
      <c r="V20" s="2177"/>
      <c r="W20" s="2177"/>
      <c r="X20" s="2177"/>
      <c r="Y20" s="1457"/>
      <c r="Z20" s="1457"/>
      <c r="AA20" s="1457"/>
      <c r="AB20" s="1457"/>
      <c r="AC20" s="1457"/>
      <c r="AD20" s="1457"/>
    </row>
    <row r="21" spans="1:40" s="1414" customFormat="1" ht="14.25">
      <c r="A21" s="1624" t="s">
        <v>1831</v>
      </c>
      <c r="B21" s="1465" t="s">
        <v>2751</v>
      </c>
      <c r="C21" s="1152">
        <f>IF(B21="容积率修正",IF(G3&lt;=10,D22,J22),C23)</f>
        <v>0</v>
      </c>
      <c r="D21" s="1466"/>
      <c r="E21" s="1466"/>
      <c r="F21" s="1466"/>
      <c r="G21" s="1466"/>
      <c r="H21" s="1466"/>
      <c r="I21" s="1466"/>
      <c r="J21" s="1467"/>
      <c r="K21" s="2998"/>
      <c r="L21" s="1466"/>
      <c r="M21" s="1466"/>
      <c r="N21" s="1463" t="s">
        <v>972</v>
      </c>
      <c r="O21" s="1526"/>
      <c r="P21" s="2614">
        <f>SUMPRODUCT((地价!A3:A31=YEAR(G19)&amp;"-"&amp;ROUNDUP(MONTH(G19)/3,0))*(地价!AD2:AH2=N21)*(地价!AD3:AH31))</f>
        <v>1.2E-2</v>
      </c>
      <c r="Q21" s="2761"/>
      <c r="R21" s="2177"/>
      <c r="S21" s="2177"/>
      <c r="T21" s="2177"/>
      <c r="U21" s="2177"/>
      <c r="V21" s="2177"/>
      <c r="W21" s="2177"/>
      <c r="X21" s="2177"/>
      <c r="Y21" s="1396"/>
      <c r="Z21" s="1396"/>
      <c r="AA21" s="1396"/>
      <c r="AB21" s="1396"/>
      <c r="AC21" s="1457"/>
      <c r="AD21" s="1457"/>
    </row>
    <row r="22" spans="1:40" s="1414" customFormat="1" ht="14.25">
      <c r="A22" s="1625" t="s">
        <v>1864</v>
      </c>
      <c r="B22" s="1468" t="s">
        <v>973</v>
      </c>
      <c r="C22" s="1054" t="s">
        <v>1696</v>
      </c>
      <c r="D22" s="1054">
        <f>IF(E22=G22,F22,IF(G3&lt;=10,ROUND(F22+(H22-F22)*(G3-E22)/(G22-E22),4),"——"))</f>
        <v>0</v>
      </c>
      <c r="E22" s="1037">
        <f>ROUNDDOWN(G3,1)</f>
        <v>1.8</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1.9000000000000001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001"/>
      <c r="L22" s="1466"/>
      <c r="M22" s="1466"/>
      <c r="N22" s="1463" t="s">
        <v>975</v>
      </c>
      <c r="O22" s="1526"/>
      <c r="P22" s="2614">
        <f>SUMPRODUCT((地价!A3:A31=YEAR(G19)&amp;"-"&amp;ROUNDUP(MONTH(G19)/3,0))*(地价!AD2:AH2=N22)*(地价!AD3:AH31))</f>
        <v>1.2E-2</v>
      </c>
      <c r="Q22" s="2761"/>
      <c r="R22" s="2177"/>
      <c r="S22" s="2177"/>
      <c r="T22" s="2177"/>
      <c r="U22" s="2177"/>
      <c r="V22" s="2177"/>
      <c r="W22" s="2177"/>
      <c r="X22" s="2177"/>
      <c r="Y22" s="1457"/>
      <c r="Z22" s="1457"/>
      <c r="AA22" s="1457"/>
      <c r="AB22" s="1457"/>
      <c r="AC22" s="1457"/>
      <c r="AD22" s="1457"/>
    </row>
    <row r="23" spans="1:40" ht="15.75" thickBot="1">
      <c r="A23" s="1625" t="s">
        <v>1865</v>
      </c>
      <c r="B23" s="1468" t="s">
        <v>976</v>
      </c>
      <c r="C23" s="1055">
        <f>ROUND(IF(G3&gt;1,IF(I3&lt;7,SUMPRODUCT((B93:B98=I3)*(C92:N92=G2)*(C93:N98)),SUMIF(C92:N92,G2,C100:N100)),IF(I3&lt;7,SUMPRODUCT((B102:B107=I3)*(C92:N92=G2)*(C102:N107)),SUMIF(C92:N92,G2,C109:N109))),4)</f>
        <v>0</v>
      </c>
      <c r="D23" s="1514"/>
      <c r="E23" s="1514"/>
      <c r="F23" s="1515"/>
      <c r="G23" s="1516"/>
      <c r="H23" s="1517"/>
      <c r="I23" s="1518"/>
      <c r="J23" s="1518"/>
      <c r="K23" s="3002"/>
      <c r="L23" s="1394"/>
      <c r="M23" s="1394"/>
      <c r="N23" s="1463" t="s">
        <v>920</v>
      </c>
      <c r="O23" s="1526"/>
      <c r="P23" s="2614">
        <f>SUMPRODUCT((地价!A3:A31=YEAR(G19)&amp;"-"&amp;ROUNDUP(MONTH(G19)/3,0))*(地价!AD2:AH2=N23)*(地价!AD3:AH31))</f>
        <v>1.9699999999999999E-2</v>
      </c>
      <c r="Q23" s="2761"/>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1866</v>
      </c>
      <c r="B24" s="1408" t="s">
        <v>977</v>
      </c>
      <c r="C24" s="1056">
        <f>SUMIF(A44:A87,E2,B44:B87)</f>
        <v>0</v>
      </c>
      <c r="D24" s="1519"/>
      <c r="E24" s="1520"/>
      <c r="F24" s="1520"/>
      <c r="G24" s="1520"/>
      <c r="H24" s="1520"/>
      <c r="I24" s="1520"/>
      <c r="J24" s="1520"/>
      <c r="K24" s="3002"/>
      <c r="L24" s="1466"/>
      <c r="M24" s="1466"/>
      <c r="N24" s="1463" t="s">
        <v>978</v>
      </c>
      <c r="O24" s="3006"/>
      <c r="P24" s="2614">
        <f>SUMPRODUCT((地价!A3:A31=YEAR(G19)&amp;"-"&amp;ROUNDUP(MONTH(G19)/3,0))*(地价!AD2:AH2=N24)*(地价!AD3:AH31))</f>
        <v>1.2699999999999999E-2</v>
      </c>
      <c r="Q24" s="2761"/>
      <c r="R24" s="2177"/>
      <c r="S24" s="2177"/>
      <c r="T24" s="2177"/>
      <c r="U24" s="2177"/>
      <c r="V24" s="2177"/>
      <c r="W24" s="2177"/>
      <c r="X24" s="2177"/>
      <c r="Y24" s="1457"/>
      <c r="Z24" s="1457"/>
      <c r="AA24" s="1457"/>
      <c r="AB24" s="1457"/>
      <c r="AC24" s="1457"/>
      <c r="AD24" s="1457"/>
    </row>
    <row r="25" spans="1:40" ht="15" thickBot="1">
      <c r="A25" s="1623" t="s">
        <v>1867</v>
      </c>
      <c r="B25" s="1470" t="s">
        <v>979</v>
      </c>
      <c r="C25" s="1471"/>
      <c r="D25" s="1423"/>
      <c r="E25" s="1423"/>
      <c r="F25" s="1472"/>
      <c r="G25" s="1423"/>
      <c r="H25" s="1423"/>
      <c r="I25" s="1423"/>
      <c r="J25" s="1424"/>
      <c r="K25" s="1449"/>
      <c r="L25" s="2177"/>
      <c r="M25" s="2177"/>
      <c r="N25" s="3008" t="s">
        <v>2638</v>
      </c>
      <c r="O25" s="3009"/>
      <c r="P25" s="2408">
        <f>SUMPRODUCT((地价!A3:A31=YEAR(G19)&amp;"-"&amp;ROUNDUP(MONTH(G19)/3,0))*(地价!AD2:AH2=N25)*(地价!AD3:AH31))</f>
        <v>1.7899999999999999E-2</v>
      </c>
      <c r="Q25" s="2761"/>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983</v>
      </c>
      <c r="C26" s="1057" t="e">
        <f>E29+SUM(E33:E39)</f>
        <v>#DIV/0!</v>
      </c>
      <c r="D26" s="1474"/>
      <c r="E26" s="1449"/>
      <c r="F26" s="1475"/>
      <c r="G26" s="1449"/>
      <c r="H26" s="1449"/>
      <c r="I26" s="1449"/>
      <c r="J26" s="1476"/>
      <c r="K26" s="1449"/>
      <c r="L26" s="1580" t="s">
        <v>895</v>
      </c>
      <c r="M26" s="1421" t="s">
        <v>980</v>
      </c>
      <c r="N26" s="1421" t="s">
        <v>981</v>
      </c>
      <c r="O26" s="1421" t="s">
        <v>899</v>
      </c>
      <c r="P26" s="1461" t="s">
        <v>982</v>
      </c>
      <c r="Q26" s="2761"/>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985</v>
      </c>
      <c r="C27" s="1058" t="e">
        <f>E30+SUM(I33:I39)</f>
        <v>#DIV/0!</v>
      </c>
      <c r="D27" s="1478"/>
      <c r="E27" s="1479"/>
      <c r="F27" s="1480"/>
      <c r="G27" s="1479"/>
      <c r="H27" s="1479"/>
      <c r="I27" s="1479"/>
      <c r="J27" s="1481"/>
      <c r="K27" s="1449"/>
      <c r="L27" s="1453" t="s">
        <v>984</v>
      </c>
      <c r="M27" s="1045">
        <v>0.25</v>
      </c>
      <c r="N27" s="1045">
        <v>0.2</v>
      </c>
      <c r="O27" s="1045">
        <v>0.15</v>
      </c>
      <c r="P27" s="1523">
        <v>0.1</v>
      </c>
      <c r="Q27" s="2177"/>
      <c r="R27" s="2761"/>
      <c r="S27" s="2761"/>
      <c r="T27" s="2761"/>
      <c r="U27" s="2761"/>
      <c r="V27" s="2761"/>
      <c r="W27" s="2177"/>
      <c r="X27" s="2177"/>
      <c r="Y27" s="2177"/>
      <c r="Z27" s="2177"/>
      <c r="AA27" s="2177"/>
      <c r="AB27" s="2177"/>
      <c r="AC27" s="2177"/>
    </row>
    <row r="28" spans="1:40" ht="15" thickBot="1">
      <c r="A28" s="1469"/>
      <c r="B28" s="1482" t="s">
        <v>986</v>
      </c>
      <c r="C28" s="1483" t="s">
        <v>987</v>
      </c>
      <c r="D28" s="1483" t="s">
        <v>988</v>
      </c>
      <c r="E28" s="1484" t="s">
        <v>989</v>
      </c>
      <c r="F28" s="1485"/>
      <c r="G28" s="1435"/>
      <c r="H28" s="1435"/>
      <c r="I28" s="1435"/>
      <c r="J28" s="1436"/>
      <c r="K28" s="1449"/>
      <c r="L28" s="1454" t="s">
        <v>970</v>
      </c>
      <c r="M28" s="1524">
        <f ca="1">ROUND($E$20*(1+M27),3)</f>
        <v>5.3999999999999999E-2</v>
      </c>
      <c r="N28" s="1524">
        <f ca="1">ROUND($E$20*(1+N27),3)</f>
        <v>5.1999999999999998E-2</v>
      </c>
      <c r="O28" s="1524">
        <f ca="1">ROUND($E$20*(1+O27),3)</f>
        <v>0.05</v>
      </c>
      <c r="P28" s="1525">
        <f ca="1">ROUND($E$20*(1+P27),3)</f>
        <v>4.8000000000000001E-2</v>
      </c>
      <c r="Q28" s="2177"/>
      <c r="R28" s="2761"/>
      <c r="S28" s="2761"/>
      <c r="T28" s="2761"/>
      <c r="U28" s="2761"/>
      <c r="V28" s="2761"/>
      <c r="W28" s="2177"/>
      <c r="X28" s="2177"/>
      <c r="Y28" s="2177"/>
      <c r="Z28" s="2177"/>
      <c r="AA28" s="2177"/>
      <c r="AB28" s="2177"/>
      <c r="AC28" s="2177"/>
      <c r="AD28" s="1457"/>
      <c r="AE28" s="1457"/>
      <c r="AF28" s="1457"/>
      <c r="AG28" s="1457"/>
    </row>
    <row r="29" spans="1:40" ht="14.25">
      <c r="A29" s="1486"/>
      <c r="B29" s="1487" t="s">
        <v>990</v>
      </c>
      <c r="C29" s="1057" t="e">
        <f>ROUND(C5*C18*C19*C20*C21*C24,0)</f>
        <v>#DIV/0!</v>
      </c>
      <c r="D29" s="1488"/>
      <c r="E29" s="1831" t="e">
        <f>ROUND(C29*D29/10000,0)</f>
        <v>#DIV/0!</v>
      </c>
      <c r="F29" s="1489" t="s">
        <v>1695</v>
      </c>
      <c r="G29" s="1490"/>
      <c r="H29" s="1490"/>
      <c r="I29" s="1490"/>
      <c r="J29" s="1491"/>
      <c r="K29" s="3003"/>
      <c r="L29" s="3003"/>
      <c r="M29" s="3003"/>
      <c r="N29" s="3003"/>
      <c r="O29" s="3003"/>
      <c r="P29" s="1394"/>
      <c r="Q29" s="2177"/>
      <c r="R29" s="2177"/>
      <c r="S29" s="2177"/>
      <c r="T29" s="2177"/>
      <c r="U29" s="2177"/>
      <c r="V29" s="2177"/>
      <c r="W29" s="2761"/>
      <c r="X29" s="2761"/>
      <c r="Y29" s="2761"/>
      <c r="Z29" s="2761"/>
      <c r="AA29" s="2761"/>
      <c r="AB29" s="2177"/>
      <c r="AC29" s="2177"/>
      <c r="AD29" s="2177"/>
      <c r="AE29" s="2177"/>
      <c r="AF29" s="2177"/>
      <c r="AG29" s="2177"/>
      <c r="AH29" s="2177"/>
      <c r="AJ29" s="1396"/>
      <c r="AK29" s="1396"/>
      <c r="AL29" s="1396"/>
      <c r="AM29" s="1395"/>
      <c r="AN29" s="1395"/>
    </row>
    <row r="30" spans="1:40" ht="24.75" thickBot="1">
      <c r="A30" s="1492"/>
      <c r="B30" s="1493" t="s">
        <v>991</v>
      </c>
      <c r="C30" s="1049" t="e">
        <f>ROUND(IF(E2="工业",C29*M39,C29*M38),0)</f>
        <v>#DIV/0!</v>
      </c>
      <c r="D30" s="1494"/>
      <c r="E30" s="1831" t="e">
        <f>ROUND(C30*D30/10000,0)</f>
        <v>#DIV/0!</v>
      </c>
      <c r="F30" s="1495" t="s">
        <v>992</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993</v>
      </c>
      <c r="C31" s="1500" t="s">
        <v>994</v>
      </c>
      <c r="D31" s="1435"/>
      <c r="E31" s="1500"/>
      <c r="F31" s="1500"/>
      <c r="G31" s="1433" t="s">
        <v>992</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987</v>
      </c>
      <c r="D32" s="1504" t="s">
        <v>988</v>
      </c>
      <c r="E32" s="1504" t="s">
        <v>989</v>
      </c>
      <c r="F32" s="1505" t="s">
        <v>995</v>
      </c>
      <c r="G32" s="1464" t="s">
        <v>987</v>
      </c>
      <c r="H32" s="1464" t="s">
        <v>988</v>
      </c>
      <c r="I32" s="1464" t="s">
        <v>989</v>
      </c>
      <c r="J32" s="1506"/>
      <c r="K32" s="3004"/>
      <c r="L32" s="3004"/>
      <c r="M32" s="3004"/>
      <c r="N32" s="3004"/>
      <c r="O32" s="3004"/>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48" t="s">
        <v>2950</v>
      </c>
      <c r="B33" s="1508" t="s">
        <v>996</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005"/>
      <c r="L33" s="3005"/>
      <c r="M33" s="3005"/>
      <c r="N33" s="3005"/>
      <c r="O33" s="3005"/>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49"/>
      <c r="B34" s="1438" t="s">
        <v>997</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005"/>
      <c r="L34" s="3005"/>
      <c r="M34" s="3005"/>
      <c r="N34" s="3005"/>
      <c r="O34" s="3005"/>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49"/>
      <c r="B35" s="1438" t="s">
        <v>998</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005"/>
      <c r="L35" s="3005"/>
      <c r="M35" s="3005"/>
      <c r="N35" s="3005"/>
      <c r="O35" s="3005"/>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50"/>
      <c r="B36" s="1438" t="s">
        <v>999</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005"/>
      <c r="L36" s="3005"/>
      <c r="M36" s="3005"/>
      <c r="N36" s="3005"/>
      <c r="O36" s="3005"/>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1000</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1697</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1001</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1699</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1002</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1698</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2996" t="s">
        <v>2974</v>
      </c>
      <c r="C41" s="838" t="e">
        <f>ROUND(POWER(1+E41,H41-G41)*(POWER(1+E41,G41)-1)/(POWER(1+E41,H41)-1),4)</f>
        <v>#DIV/0!</v>
      </c>
      <c r="D41" s="377" t="s">
        <v>2972</v>
      </c>
      <c r="E41" s="2995">
        <f>G20</f>
        <v>0</v>
      </c>
      <c r="F41" s="377" t="s">
        <v>2973</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1003</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1004</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1005</v>
      </c>
      <c r="B46" s="2369" t="s">
        <v>1006</v>
      </c>
      <c r="C46" s="2391" t="s">
        <v>1007</v>
      </c>
      <c r="D46" s="2392" t="s">
        <v>1008</v>
      </c>
      <c r="E46" s="2393" t="s">
        <v>1010</v>
      </c>
      <c r="F46" s="2394" t="s">
        <v>2242</v>
      </c>
      <c r="G46" s="2392" t="s">
        <v>1011</v>
      </c>
      <c r="H46" s="2375" t="s">
        <v>2409</v>
      </c>
      <c r="I46" s="2392" t="s">
        <v>1009</v>
      </c>
      <c r="J46" s="2395" t="s">
        <v>1012</v>
      </c>
      <c r="K46" s="2395" t="s">
        <v>1013</v>
      </c>
      <c r="L46" s="2395" t="s">
        <v>1014</v>
      </c>
      <c r="M46" s="2395" t="s">
        <v>1015</v>
      </c>
      <c r="N46" s="2395" t="s">
        <v>1016</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1" t="s">
        <v>1017</v>
      </c>
      <c r="B47" s="2372" t="str">
        <f>估价对象房地状况!C16</f>
        <v>估价对象位于XX商圈，周边商业氛围成熟，人流量大，商业繁华度好</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1" t="s">
        <v>1018</v>
      </c>
      <c r="B48" s="2369" t="str">
        <f>估价对象房地状况!C18</f>
        <v>估价对象周边道路状况、公共交通通达情况、停车便捷程度，综合评价交通便捷度较好</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1019</v>
      </c>
      <c r="B49" s="2369">
        <f>估价对象房地状况!C19</f>
        <v>0</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1" t="s">
        <v>1020</v>
      </c>
      <c r="B50" s="2923" t="s">
        <v>2927</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1021</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1" t="s">
        <v>1022</v>
      </c>
      <c r="B52" s="2922" t="s">
        <v>2926</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1023</v>
      </c>
      <c r="B53" s="2370" t="str">
        <f>估价对象房地状况!C21</f>
        <v>估价对象所在区域公共配套设施齐备情况</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1024</v>
      </c>
      <c r="B54" s="2369" t="str">
        <f>估价对象房地状况!C22</f>
        <v>估价对象所在区域基础设施水平</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1025</v>
      </c>
      <c r="B55" s="2373" t="str">
        <f>估价对象房地状况!C20</f>
        <v>区域自然环境：；人文环境；综合评价环境状况一般</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1026</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1005</v>
      </c>
      <c r="B57" s="2369"/>
      <c r="C57" s="2391" t="s">
        <v>1007</v>
      </c>
      <c r="D57" s="2392" t="s">
        <v>1008</v>
      </c>
      <c r="E57" s="2393" t="s">
        <v>1010</v>
      </c>
      <c r="F57" s="2394" t="s">
        <v>2243</v>
      </c>
      <c r="G57" s="2392" t="s">
        <v>1011</v>
      </c>
      <c r="H57" s="2375" t="s">
        <v>2409</v>
      </c>
      <c r="I57" s="2392" t="s">
        <v>1009</v>
      </c>
      <c r="J57" s="2395" t="s">
        <v>1012</v>
      </c>
      <c r="K57" s="2395" t="s">
        <v>1013</v>
      </c>
      <c r="L57" s="2395" t="s">
        <v>1014</v>
      </c>
      <c r="M57" s="2395" t="s">
        <v>1015</v>
      </c>
      <c r="N57" s="2395" t="s">
        <v>1016</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1" t="s">
        <v>1027</v>
      </c>
      <c r="B58" s="2372" t="str">
        <f>估价对象房地状况!C17</f>
        <v>估价对象位于XX商圈，周边办公楼项目较多，入驻率高，办公集聚程度较好</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1" t="s">
        <v>1018</v>
      </c>
      <c r="B59" s="2369" t="str">
        <f>估价对象房地状况!C18</f>
        <v>估价对象周边道路状况、公共交通通达情况、停车便捷程度，综合评价交通便捷度较好</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1019</v>
      </c>
      <c r="B60" s="2369">
        <f>估价对象房地状况!C19</f>
        <v>0</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1" t="s">
        <v>1020</v>
      </c>
      <c r="B61" s="2923" t="s">
        <v>2928</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1021</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1" t="s">
        <v>1022</v>
      </c>
      <c r="B63" s="2922" t="s">
        <v>2926</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1023</v>
      </c>
      <c r="B64" s="2370" t="str">
        <f>估价对象房地状况!C21</f>
        <v>估价对象所在区域公共配套设施齐备情况</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1024</v>
      </c>
      <c r="B65" s="2370" t="str">
        <f>估价对象房地状况!C22</f>
        <v>估价对象所在区域基础设施水平</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1025</v>
      </c>
      <c r="B66" s="2374" t="str">
        <f>估价对象房地状况!C20</f>
        <v>区域自然环境：；人文环境；综合评价环境状况一般</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1028</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1005</v>
      </c>
      <c r="B68" s="2369"/>
      <c r="C68" s="2391" t="s">
        <v>1007</v>
      </c>
      <c r="D68" s="2392" t="s">
        <v>1008</v>
      </c>
      <c r="E68" s="2393" t="s">
        <v>1010</v>
      </c>
      <c r="F68" s="2394" t="s">
        <v>2244</v>
      </c>
      <c r="G68" s="2392" t="s">
        <v>1011</v>
      </c>
      <c r="H68" s="2375" t="s">
        <v>2409</v>
      </c>
      <c r="I68" s="2392" t="s">
        <v>1009</v>
      </c>
      <c r="J68" s="2395" t="s">
        <v>1012</v>
      </c>
      <c r="K68" s="2395" t="s">
        <v>1013</v>
      </c>
      <c r="L68" s="2395" t="s">
        <v>1014</v>
      </c>
      <c r="M68" s="2395" t="s">
        <v>1015</v>
      </c>
      <c r="N68" s="2395" t="s">
        <v>1016</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1" t="s">
        <v>1029</v>
      </c>
      <c r="B69" s="2372" t="str">
        <f>估价对象房地状况!C15</f>
        <v>估价对象周边居住用地比例、居住小区规模和社区发展完善程度，综合评价居住社区成熟度一般</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1" t="s">
        <v>1030</v>
      </c>
      <c r="B70" s="2369" t="str">
        <f>估价对象房地状况!C18</f>
        <v>估价对象周边道路状况、公共交通通达情况、停车便捷程度，综合评价交通便捷度较好</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1019</v>
      </c>
      <c r="B71" s="2369">
        <f>估价对象房地状况!C19</f>
        <v>0</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1" t="s">
        <v>1031</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1023</v>
      </c>
      <c r="B73" s="2370" t="str">
        <f>估价对象房地状况!C21</f>
        <v>估价对象所在区域公共配套设施齐备情况</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1024</v>
      </c>
      <c r="B74" s="2370" t="str">
        <f>估价对象房地状况!C22</f>
        <v>估价对象所在区域基础设施水平</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1" t="s">
        <v>1022</v>
      </c>
      <c r="B75" s="2922" t="s">
        <v>2926</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1" t="s">
        <v>1025</v>
      </c>
      <c r="B76" s="2372" t="str">
        <f>估价对象房地状况!C20</f>
        <v>区域自然环境：；人文环境；综合评价环境状况一般</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1032</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1033</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1005</v>
      </c>
      <c r="B79" s="2369"/>
      <c r="C79" s="2391" t="s">
        <v>1007</v>
      </c>
      <c r="D79" s="2392" t="s">
        <v>1008</v>
      </c>
      <c r="E79" s="2393" t="s">
        <v>1010</v>
      </c>
      <c r="F79" s="2394" t="s">
        <v>2245</v>
      </c>
      <c r="G79" s="2392" t="s">
        <v>1011</v>
      </c>
      <c r="H79" s="2375" t="s">
        <v>2409</v>
      </c>
      <c r="I79" s="2392" t="s">
        <v>1009</v>
      </c>
      <c r="J79" s="2395" t="s">
        <v>1012</v>
      </c>
      <c r="K79" s="2395" t="s">
        <v>1013</v>
      </c>
      <c r="L79" s="2395" t="s">
        <v>1014</v>
      </c>
      <c r="M79" s="2395" t="s">
        <v>1015</v>
      </c>
      <c r="N79" s="2395" t="s">
        <v>1016</v>
      </c>
      <c r="AC79" s="1398"/>
      <c r="AD79" s="1397"/>
      <c r="AJ79" s="1396"/>
      <c r="AN79" s="1397"/>
    </row>
    <row r="80" spans="1:40" ht="36">
      <c r="A80" s="1061" t="s">
        <v>1034</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1" t="s">
        <v>1030</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1019</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1" t="s">
        <v>1031</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1023</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1024</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1" t="s">
        <v>1022</v>
      </c>
      <c r="B86" s="2922" t="s">
        <v>2926</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1035</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46" t="s">
        <v>1630</v>
      </c>
      <c r="B90" s="3446"/>
      <c r="C90" s="3446"/>
      <c r="D90" s="3446"/>
      <c r="E90" s="3446"/>
      <c r="F90" s="3446"/>
      <c r="G90" s="3446"/>
      <c r="H90" s="3446"/>
      <c r="I90" s="3446"/>
      <c r="J90" s="3446"/>
      <c r="K90" s="2411"/>
      <c r="L90" s="2411"/>
      <c r="M90" s="2411"/>
      <c r="N90" s="2411"/>
    </row>
    <row r="91" spans="1:40">
      <c r="A91" s="3447" t="s">
        <v>1440</v>
      </c>
      <c r="B91" s="3447" t="s">
        <v>1631</v>
      </c>
      <c r="C91" s="1134" t="s">
        <v>1632</v>
      </c>
      <c r="D91" s="1135"/>
      <c r="E91" s="1135"/>
      <c r="F91" s="1135"/>
      <c r="G91" s="1135"/>
      <c r="H91" s="1135"/>
      <c r="I91" s="1135"/>
      <c r="J91" s="1136"/>
      <c r="K91" s="1128"/>
      <c r="L91" s="1128"/>
      <c r="M91" s="1128"/>
      <c r="N91" s="1128"/>
    </row>
    <row r="92" spans="1:40">
      <c r="A92" s="3447"/>
      <c r="B92" s="3447"/>
      <c r="C92" s="2410" t="s">
        <v>904</v>
      </c>
      <c r="D92" s="2410" t="s">
        <v>882</v>
      </c>
      <c r="E92" s="2410" t="s">
        <v>883</v>
      </c>
      <c r="F92" s="2410" t="s">
        <v>907</v>
      </c>
      <c r="G92" s="2410" t="s">
        <v>885</v>
      </c>
      <c r="H92" s="2410" t="s">
        <v>886</v>
      </c>
      <c r="I92" s="2410" t="s">
        <v>887</v>
      </c>
      <c r="J92" s="2410" t="s">
        <v>888</v>
      </c>
      <c r="K92" s="2410" t="s">
        <v>912</v>
      </c>
      <c r="L92" s="2410" t="s">
        <v>890</v>
      </c>
      <c r="M92" s="2410" t="s">
        <v>891</v>
      </c>
      <c r="N92" s="2410" t="s">
        <v>915</v>
      </c>
    </row>
    <row r="93" spans="1:40">
      <c r="A93" s="3454" t="s">
        <v>2754</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55"/>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55"/>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55"/>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55"/>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55"/>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55"/>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56"/>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54" t="s">
        <v>1634</v>
      </c>
      <c r="B101" s="1141" t="s">
        <v>903</v>
      </c>
      <c r="C101" s="1142">
        <f>$G$3</f>
        <v>1.8306718193906182</v>
      </c>
      <c r="D101" s="1142">
        <f t="shared" ref="D101:N101" si="31">$G$3</f>
        <v>1.8306718193906182</v>
      </c>
      <c r="E101" s="1142">
        <f t="shared" si="31"/>
        <v>1.8306718193906182</v>
      </c>
      <c r="F101" s="1142">
        <f t="shared" si="31"/>
        <v>1.8306718193906182</v>
      </c>
      <c r="G101" s="1142">
        <f t="shared" si="31"/>
        <v>1.8306718193906182</v>
      </c>
      <c r="H101" s="1142">
        <f t="shared" si="31"/>
        <v>1.8306718193906182</v>
      </c>
      <c r="I101" s="1142">
        <f t="shared" si="31"/>
        <v>1.8306718193906182</v>
      </c>
      <c r="J101" s="1142">
        <f t="shared" si="31"/>
        <v>1.8306718193906182</v>
      </c>
      <c r="K101" s="1142">
        <f t="shared" si="31"/>
        <v>1.8306718193906182</v>
      </c>
      <c r="L101" s="1142">
        <f t="shared" si="31"/>
        <v>1.8306718193906182</v>
      </c>
      <c r="M101" s="1142">
        <f t="shared" si="31"/>
        <v>1.8306718193906182</v>
      </c>
      <c r="N101" s="1142">
        <f t="shared" si="31"/>
        <v>1.8306718193906182</v>
      </c>
    </row>
    <row r="102" spans="1:14">
      <c r="A102" s="3455"/>
      <c r="B102" s="1137">
        <v>1</v>
      </c>
      <c r="C102" s="1138">
        <f>1.9362/C101</f>
        <v>1.0576445103331023</v>
      </c>
      <c r="D102" s="1138">
        <f>1.9362/D101</f>
        <v>1.0576445103331023</v>
      </c>
      <c r="E102" s="1138">
        <f>1.8629/E101</f>
        <v>1.0176045647657972</v>
      </c>
      <c r="F102" s="1138">
        <f>1.8629/F101</f>
        <v>1.0176045647657972</v>
      </c>
      <c r="G102" s="1138">
        <f>1.8629/G101</f>
        <v>1.0176045647657972</v>
      </c>
      <c r="H102" s="1138">
        <f>1.8629/H101</f>
        <v>1.0176045647657972</v>
      </c>
      <c r="I102" s="1138">
        <f>1.8629/I101</f>
        <v>1.0176045647657972</v>
      </c>
      <c r="J102" s="1138">
        <f>1.942/J101</f>
        <v>1.0608127461351538</v>
      </c>
      <c r="K102" s="1138">
        <f>1.942/K101</f>
        <v>1.0608127461351538</v>
      </c>
      <c r="L102" s="1138">
        <f>1.942/L101</f>
        <v>1.0608127461351538</v>
      </c>
      <c r="M102" s="1138">
        <f>1.942/M101</f>
        <v>1.0608127461351538</v>
      </c>
      <c r="N102" s="1138">
        <f>1.942/N101</f>
        <v>1.0608127461351538</v>
      </c>
    </row>
    <row r="103" spans="1:14">
      <c r="A103" s="3455"/>
      <c r="B103" s="1137">
        <v>2</v>
      </c>
      <c r="C103" s="1138">
        <f>1.4198/C101</f>
        <v>0.77556227444010883</v>
      </c>
      <c r="D103" s="1138">
        <f>1.4198/D101</f>
        <v>0.77556227444010883</v>
      </c>
      <c r="E103" s="1138">
        <f>1.3372/E101</f>
        <v>0.73044222663847969</v>
      </c>
      <c r="F103" s="1138">
        <f>1.3372/F101</f>
        <v>0.73044222663847969</v>
      </c>
      <c r="G103" s="1138">
        <f>1.3372/G101</f>
        <v>0.73044222663847969</v>
      </c>
      <c r="H103" s="1138">
        <f>1.3372/H101</f>
        <v>0.73044222663847969</v>
      </c>
      <c r="I103" s="1138">
        <f>1.3372/I101</f>
        <v>0.73044222663847969</v>
      </c>
      <c r="J103" s="1138">
        <f>1.2799/J101</f>
        <v>0.69914224190441987</v>
      </c>
      <c r="K103" s="1138">
        <f>1.2799/K101</f>
        <v>0.69914224190441987</v>
      </c>
      <c r="L103" s="1138">
        <f>1.2799/L101</f>
        <v>0.69914224190441987</v>
      </c>
      <c r="M103" s="1138">
        <f>1.2799/M101</f>
        <v>0.69914224190441987</v>
      </c>
      <c r="N103" s="1138">
        <f>1.2799/N101</f>
        <v>0.69914224190441987</v>
      </c>
    </row>
    <row r="104" spans="1:14">
      <c r="A104" s="3455"/>
      <c r="B104" s="1137">
        <v>3</v>
      </c>
      <c r="C104" s="1138">
        <f>1.1594/C101</f>
        <v>0.63331941187904084</v>
      </c>
      <c r="D104" s="1138">
        <f>1.1594/D101</f>
        <v>0.63331941187904084</v>
      </c>
      <c r="E104" s="1138">
        <f>1.0788/E101</f>
        <v>0.58929185918156746</v>
      </c>
      <c r="F104" s="1138">
        <f>1.0788/F101</f>
        <v>0.58929185918156746</v>
      </c>
      <c r="G104" s="1138">
        <f>1.0788/G101</f>
        <v>0.58929185918156746</v>
      </c>
      <c r="H104" s="1138">
        <f>1.0788/H101</f>
        <v>0.58929185918156746</v>
      </c>
      <c r="I104" s="1138">
        <f>1.0788/I101</f>
        <v>0.58929185918156746</v>
      </c>
      <c r="J104" s="1138">
        <f>1.0072/J101</f>
        <v>0.55018053445279458</v>
      </c>
      <c r="K104" s="1138">
        <f>1.0072/K101</f>
        <v>0.55018053445279458</v>
      </c>
      <c r="L104" s="1138">
        <f>1.0072/L101</f>
        <v>0.55018053445279458</v>
      </c>
      <c r="M104" s="1138">
        <f>1.0072/M101</f>
        <v>0.55018053445279458</v>
      </c>
      <c r="N104" s="1138">
        <f>1.0072/N101</f>
        <v>0.55018053445279458</v>
      </c>
    </row>
    <row r="105" spans="1:14">
      <c r="A105" s="3455"/>
      <c r="B105" s="1137">
        <v>4</v>
      </c>
      <c r="C105" s="1138">
        <f>0.9622/C101</f>
        <v>0.52559939460929195</v>
      </c>
      <c r="D105" s="1138">
        <f>0.9622/D101</f>
        <v>0.52559939460929195</v>
      </c>
      <c r="E105" s="1138">
        <f>0.8656/E101</f>
        <v>0.47283188107857321</v>
      </c>
      <c r="F105" s="1138">
        <f>0.8656/F101</f>
        <v>0.47283188107857321</v>
      </c>
      <c r="G105" s="1138">
        <f>0.8656/G101</f>
        <v>0.47283188107857321</v>
      </c>
      <c r="H105" s="1138">
        <f>0.8656/H101</f>
        <v>0.47283188107857321</v>
      </c>
      <c r="I105" s="1138">
        <f>0.8656/I101</f>
        <v>0.47283188107857321</v>
      </c>
      <c r="J105" s="1138">
        <f>0.7525/J101</f>
        <v>0.41105128293857013</v>
      </c>
      <c r="K105" s="1138">
        <f>0.7525/K101</f>
        <v>0.41105128293857013</v>
      </c>
      <c r="L105" s="1138">
        <f>0.7525/L101</f>
        <v>0.41105128293857013</v>
      </c>
      <c r="M105" s="1138">
        <f>0.7525/M101</f>
        <v>0.41105128293857013</v>
      </c>
      <c r="N105" s="1138">
        <f>0.7525/N101</f>
        <v>0.41105128293857013</v>
      </c>
    </row>
    <row r="106" spans="1:14">
      <c r="A106" s="3455"/>
      <c r="B106" s="1137">
        <v>5</v>
      </c>
      <c r="C106" s="1138">
        <f>0.8417/C101</f>
        <v>0.45977656458391297</v>
      </c>
      <c r="D106" s="1138">
        <f>0.8417/D101</f>
        <v>0.45977656458391297</v>
      </c>
      <c r="E106" s="1138">
        <f>0.7371/E101</f>
        <v>0.40263907063657151</v>
      </c>
      <c r="F106" s="1138">
        <f>0.7371/F101</f>
        <v>0.40263907063657151</v>
      </c>
      <c r="G106" s="1138">
        <f>0.7371/G101</f>
        <v>0.40263907063657151</v>
      </c>
      <c r="H106" s="1138">
        <f>0.7371/H101</f>
        <v>0.40263907063657151</v>
      </c>
      <c r="I106" s="1138">
        <f>0.7371/I101</f>
        <v>0.40263907063657151</v>
      </c>
      <c r="J106" s="1138">
        <f>0.5659/J101</f>
        <v>0.3091214897208463</v>
      </c>
      <c r="K106" s="1138">
        <f>0.5659/K101</f>
        <v>0.3091214897208463</v>
      </c>
      <c r="L106" s="1138">
        <f>0.5659/L101</f>
        <v>0.3091214897208463</v>
      </c>
      <c r="M106" s="1138">
        <f>0.5659/M101</f>
        <v>0.3091214897208463</v>
      </c>
      <c r="N106" s="1138">
        <f>0.5659/N101</f>
        <v>0.3091214897208463</v>
      </c>
    </row>
    <row r="107" spans="1:14">
      <c r="A107" s="3455"/>
      <c r="B107" s="1137">
        <v>6</v>
      </c>
      <c r="C107" s="1138">
        <f>0.7608/C101</f>
        <v>0.41558513762081623</v>
      </c>
      <c r="D107" s="1138">
        <f>0.7608/D101</f>
        <v>0.41558513762081623</v>
      </c>
      <c r="E107" s="1138">
        <f>0.6482/E101</f>
        <v>0.35407766325685208</v>
      </c>
      <c r="F107" s="1138">
        <f>0.6482/F101</f>
        <v>0.35407766325685208</v>
      </c>
      <c r="G107" s="1138">
        <f>0.6482/G101</f>
        <v>0.35407766325685208</v>
      </c>
      <c r="H107" s="1138">
        <f>0.6482/H101</f>
        <v>0.35407766325685208</v>
      </c>
      <c r="I107" s="1138">
        <f>0.6482/I101</f>
        <v>0.35407766325685208</v>
      </c>
      <c r="J107" s="1138">
        <f>0.4525/J101</f>
        <v>0.24717701731521993</v>
      </c>
      <c r="K107" s="1138">
        <f>0.4525/K101</f>
        <v>0.24717701731521993</v>
      </c>
      <c r="L107" s="1138">
        <f>0.4525/L101</f>
        <v>0.24717701731521993</v>
      </c>
      <c r="M107" s="1138">
        <f>0.4525/M101</f>
        <v>0.24717701731521993</v>
      </c>
      <c r="N107" s="1138">
        <f>0.4525/N101</f>
        <v>0.24717701731521993</v>
      </c>
    </row>
    <row r="108" spans="1:14">
      <c r="A108" s="3455"/>
      <c r="B108" s="3457"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56"/>
      <c r="B109" s="3458"/>
      <c r="C109" s="1140">
        <f>(-0.163*(C108^2)-0.59*C108+7617)*(10^(-4))/C101</f>
        <v>0.41524908612677791</v>
      </c>
      <c r="D109" s="1140">
        <f>(-0.163*(D108^2)-0.59*D108+7617)*(10^(-4))/D101</f>
        <v>0.41524908612677791</v>
      </c>
      <c r="E109" s="1140">
        <f>(-0.161*(E108^2)-7.509*E108+6533)*(10^(-4))/E101</f>
        <v>0.35301925399994605</v>
      </c>
      <c r="F109" s="1140">
        <f>(-0.161*(F108^2)-7.509*F108+6533)*(10^(-4))/F101</f>
        <v>0.35301925399994605</v>
      </c>
      <c r="G109" s="1140">
        <f>(-0.161*(G108^2)-7.509*G108+6533)*(10^(-4))/G101</f>
        <v>0.35301925399994605</v>
      </c>
      <c r="H109" s="1140">
        <f>(-0.161*(H108^2)-7.509*H108+6533)*(10^(-4))/H101</f>
        <v>0.35301925399994605</v>
      </c>
      <c r="I109" s="1140">
        <f>(-0.161*(I108^2)-7.509*I108+6533)*(10^(-4))/I101</f>
        <v>0.35301925399994605</v>
      </c>
      <c r="J109" s="1140">
        <f>(-0.214*(J108^2)-21.991*J108+4665)*(10^(-4))/J101</f>
        <v>0.24446631846278891</v>
      </c>
      <c r="K109" s="1140">
        <f>(-0.214*(K108^2)-21.991*K108+4665)*(10^(-4))/K101</f>
        <v>0.24446631846278891</v>
      </c>
      <c r="L109" s="1140">
        <f>(-0.214*(L108^2)-21.991*L108+4665)*(10^(-4))/L101</f>
        <v>0.24446631846278891</v>
      </c>
      <c r="M109" s="1140">
        <f>(-0.214*(M108^2)-21.991*M108+4665)*(10^(-4))/M101</f>
        <v>0.24446631846278891</v>
      </c>
      <c r="N109" s="1140">
        <f>(-0.214*(N108^2)-21.991*N108+4665)*(10^(-4))/N101</f>
        <v>0.24446631846278891</v>
      </c>
    </row>
    <row r="110" spans="1:14">
      <c r="A110" s="3440" t="s">
        <v>1636</v>
      </c>
      <c r="B110" s="3440"/>
      <c r="C110" s="3440"/>
      <c r="D110" s="3440"/>
      <c r="E110" s="3440"/>
      <c r="F110" s="3440"/>
      <c r="G110" s="3440"/>
      <c r="H110" s="3440"/>
      <c r="I110" s="3440"/>
      <c r="J110" s="3440"/>
      <c r="K110" s="2409"/>
      <c r="L110" s="2409"/>
      <c r="M110" s="2409"/>
      <c r="N110" s="2409"/>
    </row>
    <row r="112" spans="1:14" ht="12.75" thickBot="1"/>
    <row r="113" spans="1:13" ht="25.5" thickBot="1">
      <c r="A113" s="1014" t="s">
        <v>893</v>
      </c>
      <c r="B113" s="2412">
        <f>G3</f>
        <v>1.8306718193906182</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0.9163</v>
      </c>
      <c r="C115" s="1028">
        <f>B115</f>
        <v>0.9163</v>
      </c>
      <c r="D115" s="1028">
        <f>ROUND(0.8331-0.0109*B113,4)</f>
        <v>0.81310000000000004</v>
      </c>
      <c r="E115" s="1028">
        <f>D115</f>
        <v>0.81310000000000004</v>
      </c>
      <c r="F115" s="1028">
        <f>E115</f>
        <v>0.81310000000000004</v>
      </c>
      <c r="G115" s="1028">
        <f>F115</f>
        <v>0.81310000000000004</v>
      </c>
      <c r="H115" s="1028">
        <f>G115</f>
        <v>0.81310000000000004</v>
      </c>
      <c r="I115" s="1028">
        <f>ROUND(0.689-0.0155*B113,4)</f>
        <v>0.66059999999999997</v>
      </c>
      <c r="J115" s="1028">
        <f t="shared" ref="J115:M118" si="33">I115</f>
        <v>0.66059999999999997</v>
      </c>
      <c r="K115" s="1028">
        <f t="shared" si="33"/>
        <v>0.66059999999999997</v>
      </c>
      <c r="L115" s="1028">
        <f t="shared" si="33"/>
        <v>0.66059999999999997</v>
      </c>
      <c r="M115" s="1029">
        <f t="shared" si="33"/>
        <v>0.66059999999999997</v>
      </c>
    </row>
    <row r="116" spans="1:13" ht="12.75">
      <c r="A116" s="1027" t="s">
        <v>898</v>
      </c>
      <c r="B116" s="1028">
        <f>ROUND(0.949-0.012*B113,4)</f>
        <v>0.92700000000000005</v>
      </c>
      <c r="C116" s="1028">
        <f>B116</f>
        <v>0.92700000000000005</v>
      </c>
      <c r="D116" s="1028">
        <f>ROUND(0.8567-0.013*B113,4)</f>
        <v>0.83289999999999997</v>
      </c>
      <c r="E116" s="1028">
        <f t="shared" ref="E116:H117" si="34">D116</f>
        <v>0.83289999999999997</v>
      </c>
      <c r="F116" s="1028">
        <f t="shared" si="34"/>
        <v>0.83289999999999997</v>
      </c>
      <c r="G116" s="1028">
        <f t="shared" si="34"/>
        <v>0.83289999999999997</v>
      </c>
      <c r="H116" s="1028">
        <f t="shared" si="34"/>
        <v>0.83289999999999997</v>
      </c>
      <c r="I116" s="1028">
        <f>ROUND(0.7694-0.014*B113,4)</f>
        <v>0.74380000000000002</v>
      </c>
      <c r="J116" s="1028">
        <f t="shared" si="33"/>
        <v>0.74380000000000002</v>
      </c>
      <c r="K116" s="1028">
        <f t="shared" si="33"/>
        <v>0.74380000000000002</v>
      </c>
      <c r="L116" s="1028">
        <f t="shared" si="33"/>
        <v>0.74380000000000002</v>
      </c>
      <c r="M116" s="1029">
        <f t="shared" si="33"/>
        <v>0.74380000000000002</v>
      </c>
    </row>
    <row r="117" spans="1:13" ht="12.75">
      <c r="A117" s="1030" t="s">
        <v>899</v>
      </c>
      <c r="B117" s="1028">
        <f>ROUND(0.8808-0.006*B113,4)</f>
        <v>0.86980000000000002</v>
      </c>
      <c r="C117" s="1028">
        <f>B117</f>
        <v>0.86980000000000002</v>
      </c>
      <c r="D117" s="1028">
        <f>ROUND(0.8748-0.008*B113,4)</f>
        <v>0.86019999999999996</v>
      </c>
      <c r="E117" s="1028">
        <f t="shared" si="34"/>
        <v>0.86019999999999996</v>
      </c>
      <c r="F117" s="1028">
        <f t="shared" si="34"/>
        <v>0.86019999999999996</v>
      </c>
      <c r="G117" s="1028">
        <f t="shared" si="34"/>
        <v>0.86019999999999996</v>
      </c>
      <c r="H117" s="1028">
        <f t="shared" si="34"/>
        <v>0.86019999999999996</v>
      </c>
      <c r="I117" s="1028">
        <f>ROUND(0.7412-0.0095*B113,4)</f>
        <v>0.7238</v>
      </c>
      <c r="J117" s="1028">
        <f t="shared" si="33"/>
        <v>0.7238</v>
      </c>
      <c r="K117" s="1028">
        <f t="shared" si="33"/>
        <v>0.7238</v>
      </c>
      <c r="L117" s="1028">
        <f t="shared" si="33"/>
        <v>0.7238</v>
      </c>
      <c r="M117" s="1029">
        <f t="shared" si="33"/>
        <v>0.7238</v>
      </c>
    </row>
    <row r="118" spans="1:13" ht="13.5" thickBot="1">
      <c r="A118" s="1031" t="s">
        <v>900</v>
      </c>
      <c r="B118" s="1032">
        <f>ROUND(0.7275-0.01*B113,4)</f>
        <v>0.70920000000000005</v>
      </c>
      <c r="C118" s="1032">
        <f>B118</f>
        <v>0.70920000000000005</v>
      </c>
      <c r="D118" s="1032">
        <f>ROUND(0.7043-0.012*B113,4)</f>
        <v>0.68230000000000002</v>
      </c>
      <c r="E118" s="1032">
        <f>D118</f>
        <v>0.68230000000000002</v>
      </c>
      <c r="F118" s="1032">
        <f>E118</f>
        <v>0.68230000000000002</v>
      </c>
      <c r="G118" s="1032">
        <f>ROUND(0.6299-0.0122*B113,4)</f>
        <v>0.60760000000000003</v>
      </c>
      <c r="H118" s="1032">
        <f>G118</f>
        <v>0.60760000000000003</v>
      </c>
      <c r="I118" s="1032">
        <f>ROUND(0.5667-0.0136*B113,4)</f>
        <v>0.54179999999999995</v>
      </c>
      <c r="J118" s="1032">
        <f t="shared" si="33"/>
        <v>0.54179999999999995</v>
      </c>
      <c r="K118" s="1032">
        <f t="shared" si="33"/>
        <v>0.54179999999999995</v>
      </c>
      <c r="L118" s="1032">
        <f t="shared" si="33"/>
        <v>0.54179999999999995</v>
      </c>
      <c r="M118" s="1033">
        <f t="shared" si="33"/>
        <v>0.54179999999999995</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I16:O16 H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015" t="s">
        <v>2977</v>
      </c>
      <c r="B15" s="2937">
        <f>SUM(B6:B13)</f>
        <v>375</v>
      </c>
      <c r="C15" s="2937">
        <f t="shared" ref="C15:H15" si="0">SUM(C6:C13)</f>
        <v>375</v>
      </c>
      <c r="D15" s="2937">
        <f t="shared" si="0"/>
        <v>300</v>
      </c>
      <c r="E15" s="2937">
        <f t="shared" si="0"/>
        <v>300</v>
      </c>
      <c r="F15" s="2937">
        <f t="shared" si="0"/>
        <v>300</v>
      </c>
      <c r="G15" s="2937">
        <f t="shared" si="0"/>
        <v>300</v>
      </c>
      <c r="H15" s="2937">
        <f t="shared" si="0"/>
        <v>300</v>
      </c>
      <c r="I15" s="2937">
        <f>SUM(I6:I10,I13)</f>
        <v>155</v>
      </c>
      <c r="J15" s="2937">
        <f t="shared" ref="J15:M15" si="1">SUM(J6:J10,J13)</f>
        <v>155</v>
      </c>
      <c r="K15" s="2937">
        <f t="shared" si="1"/>
        <v>155</v>
      </c>
      <c r="L15" s="2937">
        <f t="shared" si="1"/>
        <v>155</v>
      </c>
      <c r="M15" s="2937">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1" customFormat="1" ht="19.5" customHeight="1">
      <c r="A18" s="3447" t="s">
        <v>1004</v>
      </c>
      <c r="B18" s="1148" t="s">
        <v>1443</v>
      </c>
      <c r="C18" s="1125" t="s">
        <v>1444</v>
      </c>
      <c r="D18" s="1126"/>
      <c r="E18" s="1148">
        <v>1</v>
      </c>
      <c r="F18" s="1127" t="s">
        <v>1445</v>
      </c>
      <c r="G18" s="1128"/>
      <c r="H18" s="1099"/>
      <c r="I18" s="1099"/>
    </row>
    <row r="19" spans="1:9" s="1581" customFormat="1" ht="19.5" customHeight="1">
      <c r="A19" s="3447"/>
      <c r="B19" s="3447" t="s">
        <v>1446</v>
      </c>
      <c r="C19" s="1125" t="s">
        <v>1447</v>
      </c>
      <c r="D19" s="1126"/>
      <c r="E19" s="1148">
        <v>0.9</v>
      </c>
      <c r="F19" s="1127" t="s">
        <v>1448</v>
      </c>
      <c r="G19" s="1128"/>
      <c r="H19" s="1099"/>
      <c r="I19" s="1099"/>
    </row>
    <row r="20" spans="1:9" s="1581" customFormat="1" ht="19.5" customHeight="1">
      <c r="A20" s="3447"/>
      <c r="B20" s="3447"/>
      <c r="C20" s="1125" t="s">
        <v>1449</v>
      </c>
      <c r="D20" s="1126"/>
      <c r="E20" s="1148">
        <v>1.1000000000000001</v>
      </c>
      <c r="F20" s="1127" t="s">
        <v>1450</v>
      </c>
      <c r="G20" s="1128"/>
      <c r="H20" s="1099"/>
      <c r="I20" s="1099"/>
    </row>
    <row r="21" spans="1:9" s="1581" customFormat="1" ht="19.5" customHeight="1">
      <c r="A21" s="3447"/>
      <c r="B21" s="3447"/>
      <c r="C21" s="1125" t="s">
        <v>1451</v>
      </c>
      <c r="D21" s="1126"/>
      <c r="E21" s="1148">
        <v>0.8</v>
      </c>
      <c r="F21" s="1127" t="s">
        <v>1452</v>
      </c>
      <c r="G21" s="1128"/>
      <c r="H21" s="1099"/>
      <c r="I21" s="1099"/>
    </row>
    <row r="22" spans="1:9" s="1581" customFormat="1" ht="19.5" customHeight="1">
      <c r="A22" s="3447"/>
      <c r="B22" s="3447"/>
      <c r="C22" s="1125" t="s">
        <v>1453</v>
      </c>
      <c r="D22" s="1126"/>
      <c r="E22" s="1148">
        <v>0.5</v>
      </c>
      <c r="F22" s="1127"/>
      <c r="G22" s="1128"/>
      <c r="H22" s="1099"/>
      <c r="I22" s="1099"/>
    </row>
    <row r="23" spans="1:9" s="1581" customFormat="1" ht="19.5" customHeight="1">
      <c r="A23" s="3447" t="s">
        <v>1026</v>
      </c>
      <c r="B23" s="1148" t="s">
        <v>1443</v>
      </c>
      <c r="C23" s="1125" t="s">
        <v>1454</v>
      </c>
      <c r="D23" s="1126"/>
      <c r="E23" s="1148">
        <v>1</v>
      </c>
      <c r="F23" s="1127" t="s">
        <v>1455</v>
      </c>
      <c r="G23" s="1128"/>
      <c r="H23" s="1099"/>
      <c r="I23" s="1099"/>
    </row>
    <row r="24" spans="1:9" s="1581" customFormat="1" ht="19.5" customHeight="1">
      <c r="A24" s="3447"/>
      <c r="B24" s="3447" t="s">
        <v>1446</v>
      </c>
      <c r="C24" s="1125" t="s">
        <v>1456</v>
      </c>
      <c r="D24" s="1126"/>
      <c r="E24" s="1148">
        <v>0.5</v>
      </c>
      <c r="F24" s="1127"/>
      <c r="G24" s="1128"/>
      <c r="H24" s="1099"/>
      <c r="I24" s="1099"/>
    </row>
    <row r="25" spans="1:9" s="1581" customFormat="1" ht="19.5" customHeight="1">
      <c r="A25" s="3447"/>
      <c r="B25" s="3447"/>
      <c r="C25" s="1125" t="s">
        <v>1457</v>
      </c>
      <c r="D25" s="1126"/>
      <c r="E25" s="1148">
        <v>1.1000000000000001</v>
      </c>
      <c r="F25" s="1127"/>
      <c r="G25" s="1128"/>
      <c r="H25" s="1099"/>
      <c r="I25" s="1099"/>
    </row>
    <row r="26" spans="1:9" s="1581" customFormat="1" ht="19.5" customHeight="1">
      <c r="A26" s="3447"/>
      <c r="B26" s="3447"/>
      <c r="C26" s="1125" t="s">
        <v>1458</v>
      </c>
      <c r="D26" s="1126"/>
      <c r="E26" s="1148">
        <v>1.1000000000000001</v>
      </c>
      <c r="F26" s="1127"/>
      <c r="G26" s="1128"/>
      <c r="H26" s="1099"/>
      <c r="I26" s="1099"/>
    </row>
    <row r="27" spans="1:9" s="1581" customFormat="1" ht="19.5" customHeight="1">
      <c r="A27" s="3447"/>
      <c r="B27" s="3447"/>
      <c r="C27" s="1125" t="s">
        <v>1459</v>
      </c>
      <c r="D27" s="1126"/>
      <c r="E27" s="1148">
        <v>0.9</v>
      </c>
      <c r="F27" s="1127" t="s">
        <v>1460</v>
      </c>
      <c r="G27" s="1128"/>
      <c r="H27" s="1099"/>
      <c r="I27" s="1099"/>
    </row>
    <row r="28" spans="1:9" s="1581" customFormat="1" ht="19.5" customHeight="1">
      <c r="A28" s="3447"/>
      <c r="B28" s="3447"/>
      <c r="C28" s="1125" t="s">
        <v>1461</v>
      </c>
      <c r="D28" s="1126"/>
      <c r="E28" s="1148">
        <v>0.9</v>
      </c>
      <c r="F28" s="1127" t="s">
        <v>1462</v>
      </c>
      <c r="G28" s="1128"/>
      <c r="H28" s="1099"/>
      <c r="I28" s="1099"/>
    </row>
    <row r="29" spans="1:9" s="1581" customFormat="1" ht="19.5" customHeight="1">
      <c r="A29" s="3447"/>
      <c r="B29" s="3447"/>
      <c r="C29" s="1125" t="s">
        <v>1463</v>
      </c>
      <c r="D29" s="1126"/>
      <c r="E29" s="1148">
        <v>0.9</v>
      </c>
      <c r="F29" s="1127" t="s">
        <v>1464</v>
      </c>
      <c r="G29" s="1128"/>
      <c r="H29" s="1099"/>
      <c r="I29" s="1099"/>
    </row>
    <row r="30" spans="1:9" s="1581" customFormat="1" ht="19.5" customHeight="1">
      <c r="A30" s="3447"/>
      <c r="B30" s="3447"/>
      <c r="C30" s="1125" t="s">
        <v>1465</v>
      </c>
      <c r="D30" s="1126"/>
      <c r="E30" s="1148">
        <v>0.9</v>
      </c>
      <c r="F30" s="1127" t="s">
        <v>1466</v>
      </c>
      <c r="G30" s="1128"/>
      <c r="H30" s="1099"/>
      <c r="I30" s="1099"/>
    </row>
    <row r="31" spans="1:9" s="1581" customFormat="1" ht="19.5" customHeight="1">
      <c r="A31" s="3447"/>
      <c r="B31" s="3447"/>
      <c r="C31" s="1125" t="s">
        <v>1467</v>
      </c>
      <c r="D31" s="1126"/>
      <c r="E31" s="1148">
        <v>0.8</v>
      </c>
      <c r="F31" s="1127" t="s">
        <v>1468</v>
      </c>
      <c r="G31" s="1128"/>
      <c r="H31" s="1099"/>
      <c r="I31" s="1099"/>
    </row>
    <row r="32" spans="1:9" s="1581" customFormat="1" ht="19.5" customHeight="1">
      <c r="A32" s="3447"/>
      <c r="B32" s="3447"/>
      <c r="C32" s="1125" t="s">
        <v>1469</v>
      </c>
      <c r="D32" s="1126"/>
      <c r="E32" s="1148">
        <v>0.8</v>
      </c>
      <c r="F32" s="1127" t="s">
        <v>1470</v>
      </c>
      <c r="G32" s="1128"/>
      <c r="H32" s="1099"/>
      <c r="I32" s="1099"/>
    </row>
    <row r="33" spans="1:9" s="1581" customFormat="1" ht="19.5" customHeight="1">
      <c r="A33" s="3447" t="s">
        <v>1471</v>
      </c>
      <c r="B33" s="1148" t="s">
        <v>1443</v>
      </c>
      <c r="C33" s="1125" t="s">
        <v>1472</v>
      </c>
      <c r="D33" s="1126"/>
      <c r="E33" s="1148">
        <v>1</v>
      </c>
      <c r="F33" s="1127" t="s">
        <v>1473</v>
      </c>
      <c r="G33" s="1128"/>
      <c r="H33" s="1099"/>
      <c r="I33" s="1099"/>
    </row>
    <row r="34" spans="1:9" s="1581" customFormat="1" ht="19.5" customHeight="1">
      <c r="A34" s="3447"/>
      <c r="B34" s="1148" t="s">
        <v>1446</v>
      </c>
      <c r="C34" s="1125" t="s">
        <v>1474</v>
      </c>
      <c r="D34" s="1126"/>
      <c r="E34" s="1148">
        <v>1.5</v>
      </c>
      <c r="F34" s="1127" t="s">
        <v>1475</v>
      </c>
      <c r="G34" s="1128"/>
      <c r="H34" s="1099"/>
      <c r="I34" s="1099"/>
    </row>
    <row r="35" spans="1:9" s="1581" customFormat="1" ht="19.5" customHeight="1">
      <c r="A35" s="3447" t="s">
        <v>1429</v>
      </c>
      <c r="B35" s="1148" t="s">
        <v>1443</v>
      </c>
      <c r="C35" s="1125" t="s">
        <v>1476</v>
      </c>
      <c r="D35" s="1126"/>
      <c r="E35" s="1148">
        <v>1</v>
      </c>
      <c r="F35" s="1127" t="s">
        <v>1477</v>
      </c>
      <c r="G35" s="1128"/>
      <c r="H35" s="1099"/>
      <c r="I35" s="1099"/>
    </row>
    <row r="36" spans="1:9" s="1581" customFormat="1" ht="19.5" customHeight="1">
      <c r="A36" s="3447"/>
      <c r="B36" s="3447" t="s">
        <v>1446</v>
      </c>
      <c r="C36" s="1125" t="s">
        <v>1478</v>
      </c>
      <c r="D36" s="1126"/>
      <c r="E36" s="1148">
        <v>1</v>
      </c>
      <c r="F36" s="1127" t="s">
        <v>1479</v>
      </c>
      <c r="G36" s="1128"/>
      <c r="H36" s="1099"/>
      <c r="I36" s="1099"/>
    </row>
    <row r="37" spans="1:9" s="1581" customFormat="1" ht="19.5" customHeight="1">
      <c r="A37" s="3447"/>
      <c r="B37" s="3447"/>
      <c r="C37" s="1125" t="s">
        <v>1480</v>
      </c>
      <c r="D37" s="1126"/>
      <c r="E37" s="1148">
        <v>1.5</v>
      </c>
      <c r="F37" s="1127" t="s">
        <v>1481</v>
      </c>
      <c r="G37" s="1128"/>
      <c r="H37" s="1099"/>
      <c r="I37" s="1099"/>
    </row>
    <row r="38" spans="1:9" s="1581" customFormat="1" ht="19.5" customHeight="1">
      <c r="A38" s="3447"/>
      <c r="B38" s="3447"/>
      <c r="C38" s="1125" t="s">
        <v>1482</v>
      </c>
      <c r="D38" s="1126"/>
      <c r="E38" s="1148">
        <v>1</v>
      </c>
      <c r="F38" s="1127" t="s">
        <v>1483</v>
      </c>
      <c r="G38" s="1128"/>
      <c r="H38" s="1099"/>
      <c r="I38" s="1099"/>
    </row>
    <row r="39" spans="1:9" s="1581" customFormat="1" ht="19.5" customHeight="1">
      <c r="A39" s="3447"/>
      <c r="B39" s="3447"/>
      <c r="C39" s="1125" t="s">
        <v>1484</v>
      </c>
      <c r="D39" s="1126"/>
      <c r="E39" s="1148">
        <v>1</v>
      </c>
      <c r="F39" s="1127" t="s">
        <v>1485</v>
      </c>
      <c r="G39" s="1128"/>
      <c r="H39" s="1099"/>
      <c r="I39" s="1099"/>
    </row>
    <row r="40" spans="1:9" s="1581" customFormat="1" ht="19.5" customHeight="1">
      <c r="A40" s="1582" t="s">
        <v>1486</v>
      </c>
      <c r="B40" s="1582"/>
      <c r="C40" s="1582"/>
      <c r="D40" s="1582"/>
      <c r="E40" s="1582"/>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24">
      <c r="A61" s="1148">
        <v>1</v>
      </c>
      <c r="B61" s="3447" t="s">
        <v>1498</v>
      </c>
      <c r="C61" s="1062" t="s">
        <v>1499</v>
      </c>
      <c r="D61" s="1062" t="s">
        <v>1500</v>
      </c>
      <c r="E61" s="1133">
        <v>0.5</v>
      </c>
      <c r="F61" s="1148">
        <v>80</v>
      </c>
      <c r="H61" s="1099">
        <f>SUMIF(C59:C119,基准地价!C8,E59:E119)</f>
        <v>0</v>
      </c>
    </row>
    <row r="62" spans="1:8" s="1099" customFormat="1" ht="24">
      <c r="A62" s="1148">
        <v>2</v>
      </c>
      <c r="B62" s="3447"/>
      <c r="C62" s="1062" t="s">
        <v>1501</v>
      </c>
      <c r="D62" s="1062" t="s">
        <v>1502</v>
      </c>
      <c r="E62" s="1133">
        <v>0.5</v>
      </c>
      <c r="F62" s="1148">
        <v>80</v>
      </c>
    </row>
    <row r="63" spans="1:8" s="1099" customFormat="1" ht="36">
      <c r="A63" s="1148">
        <v>3</v>
      </c>
      <c r="B63" s="3447"/>
      <c r="C63" s="1062" t="s">
        <v>1503</v>
      </c>
      <c r="D63" s="1062" t="s">
        <v>1504</v>
      </c>
      <c r="E63" s="1133">
        <v>0.5</v>
      </c>
      <c r="F63" s="1148">
        <v>80</v>
      </c>
    </row>
    <row r="64" spans="1:8" s="1099" customFormat="1" ht="36">
      <c r="A64" s="1148">
        <v>4</v>
      </c>
      <c r="B64" s="3447"/>
      <c r="C64" s="1062" t="s">
        <v>1505</v>
      </c>
      <c r="D64" s="1062" t="s">
        <v>1506</v>
      </c>
      <c r="E64" s="1133">
        <v>0.4</v>
      </c>
      <c r="F64" s="1148">
        <v>60</v>
      </c>
    </row>
    <row r="65" spans="1:6" s="1099" customFormat="1" ht="36">
      <c r="A65" s="1148">
        <v>5</v>
      </c>
      <c r="B65" s="3447"/>
      <c r="C65" s="1062" t="s">
        <v>1507</v>
      </c>
      <c r="D65" s="1062" t="s">
        <v>1508</v>
      </c>
      <c r="E65" s="1133">
        <v>0.2</v>
      </c>
      <c r="F65" s="1148">
        <v>30</v>
      </c>
    </row>
    <row r="66" spans="1:6" s="1099" customFormat="1" ht="36">
      <c r="A66" s="1148">
        <v>6</v>
      </c>
      <c r="B66" s="3447"/>
      <c r="C66" s="1062" t="s">
        <v>1509</v>
      </c>
      <c r="D66" s="1062" t="s">
        <v>1510</v>
      </c>
      <c r="E66" s="1133">
        <v>0.3</v>
      </c>
      <c r="F66" s="1148">
        <v>50</v>
      </c>
    </row>
    <row r="67" spans="1:6" s="1099" customFormat="1" ht="36">
      <c r="A67" s="1148">
        <v>7</v>
      </c>
      <c r="B67" s="3447"/>
      <c r="C67" s="1062" t="s">
        <v>1511</v>
      </c>
      <c r="D67" s="1062" t="s">
        <v>1512</v>
      </c>
      <c r="E67" s="1133">
        <v>0.2</v>
      </c>
      <c r="F67" s="1148">
        <v>30</v>
      </c>
    </row>
    <row r="68" spans="1:6" s="1099" customFormat="1" ht="36">
      <c r="A68" s="1148">
        <v>8</v>
      </c>
      <c r="B68" s="3447"/>
      <c r="C68" s="1062" t="s">
        <v>1513</v>
      </c>
      <c r="D68" s="1062" t="s">
        <v>1514</v>
      </c>
      <c r="E68" s="1133">
        <v>0.2</v>
      </c>
      <c r="F68" s="1148">
        <v>30</v>
      </c>
    </row>
    <row r="69" spans="1:6" s="1099" customFormat="1" ht="36">
      <c r="A69" s="1148">
        <v>9</v>
      </c>
      <c r="B69" s="3447"/>
      <c r="C69" s="1062" t="s">
        <v>1515</v>
      </c>
      <c r="D69" s="1062" t="s">
        <v>1516</v>
      </c>
      <c r="E69" s="1133">
        <v>0.2</v>
      </c>
      <c r="F69" s="1148">
        <v>30</v>
      </c>
    </row>
    <row r="70" spans="1:6" s="1099" customFormat="1" ht="48">
      <c r="A70" s="1148">
        <v>10</v>
      </c>
      <c r="B70" s="3447"/>
      <c r="C70" s="1062" t="s">
        <v>1517</v>
      </c>
      <c r="D70" s="1062" t="s">
        <v>1518</v>
      </c>
      <c r="E70" s="1133">
        <v>0.2</v>
      </c>
      <c r="F70" s="1148">
        <v>30</v>
      </c>
    </row>
    <row r="71" spans="1:6" s="1099" customFormat="1" ht="48">
      <c r="A71" s="1148">
        <v>11</v>
      </c>
      <c r="B71" s="3447"/>
      <c r="C71" s="1062" t="s">
        <v>1519</v>
      </c>
      <c r="D71" s="1062" t="s">
        <v>1520</v>
      </c>
      <c r="E71" s="1133">
        <v>0.2</v>
      </c>
      <c r="F71" s="1148">
        <v>30</v>
      </c>
    </row>
    <row r="72" spans="1:6" s="1099" customFormat="1" ht="36">
      <c r="A72" s="1148">
        <v>12</v>
      </c>
      <c r="B72" s="3447"/>
      <c r="C72" s="1062" t="s">
        <v>1521</v>
      </c>
      <c r="D72" s="1062" t="s">
        <v>1522</v>
      </c>
      <c r="E72" s="1133">
        <v>0.5</v>
      </c>
      <c r="F72" s="1148">
        <v>80</v>
      </c>
    </row>
    <row r="73" spans="1:6" s="1099" customFormat="1" ht="24">
      <c r="A73" s="1148">
        <v>13</v>
      </c>
      <c r="B73" s="3447"/>
      <c r="C73" s="1062" t="s">
        <v>1523</v>
      </c>
      <c r="D73" s="1062" t="s">
        <v>1524</v>
      </c>
      <c r="E73" s="1133">
        <v>0.4</v>
      </c>
      <c r="F73" s="1148">
        <v>60</v>
      </c>
    </row>
    <row r="74" spans="1:6" s="1099" customFormat="1" ht="24">
      <c r="A74" s="1148">
        <v>14</v>
      </c>
      <c r="B74" s="3447"/>
      <c r="C74" s="1062" t="s">
        <v>1525</v>
      </c>
      <c r="D74" s="1062" t="s">
        <v>1526</v>
      </c>
      <c r="E74" s="1133">
        <v>0.2</v>
      </c>
      <c r="F74" s="1148">
        <v>30</v>
      </c>
    </row>
    <row r="75" spans="1:6" s="1099" customFormat="1" ht="24">
      <c r="A75" s="1148">
        <v>15</v>
      </c>
      <c r="B75" s="3447"/>
      <c r="C75" s="1062" t="s">
        <v>1527</v>
      </c>
      <c r="D75" s="1062" t="s">
        <v>1528</v>
      </c>
      <c r="E75" s="1133">
        <v>0.2</v>
      </c>
      <c r="F75" s="1148">
        <v>30</v>
      </c>
    </row>
    <row r="76" spans="1:6" s="1099" customFormat="1" ht="24">
      <c r="A76" s="1148">
        <v>16</v>
      </c>
      <c r="B76" s="3447" t="s">
        <v>1529</v>
      </c>
      <c r="C76" s="1062" t="s">
        <v>1530</v>
      </c>
      <c r="D76" s="1062" t="s">
        <v>1531</v>
      </c>
      <c r="E76" s="1133">
        <v>0.5</v>
      </c>
      <c r="F76" s="1148">
        <v>80</v>
      </c>
    </row>
    <row r="77" spans="1:6" s="1099" customFormat="1" ht="24">
      <c r="A77" s="1148">
        <v>17</v>
      </c>
      <c r="B77" s="3447"/>
      <c r="C77" s="1062" t="s">
        <v>1532</v>
      </c>
      <c r="D77" s="1062" t="s">
        <v>1533</v>
      </c>
      <c r="E77" s="1133">
        <v>0.5</v>
      </c>
      <c r="F77" s="1148">
        <v>80</v>
      </c>
    </row>
    <row r="78" spans="1:6" s="1099" customFormat="1" ht="24">
      <c r="A78" s="1148">
        <v>18</v>
      </c>
      <c r="B78" s="3447"/>
      <c r="C78" s="1062" t="s">
        <v>1534</v>
      </c>
      <c r="D78" s="1062" t="s">
        <v>1535</v>
      </c>
      <c r="E78" s="1133">
        <v>0.2</v>
      </c>
      <c r="F78" s="1148">
        <v>30</v>
      </c>
    </row>
    <row r="79" spans="1:6" s="1099" customFormat="1" ht="24">
      <c r="A79" s="1148">
        <v>19</v>
      </c>
      <c r="B79" s="3447"/>
      <c r="C79" s="1062" t="s">
        <v>1536</v>
      </c>
      <c r="D79" s="1062" t="s">
        <v>1537</v>
      </c>
      <c r="E79" s="1133">
        <v>0.5</v>
      </c>
      <c r="F79" s="1148">
        <v>80</v>
      </c>
    </row>
    <row r="80" spans="1:6" s="1099" customFormat="1" ht="36">
      <c r="A80" s="1148">
        <v>20</v>
      </c>
      <c r="B80" s="3447"/>
      <c r="C80" s="1062" t="s">
        <v>1538</v>
      </c>
      <c r="D80" s="1062" t="s">
        <v>1539</v>
      </c>
      <c r="E80" s="1133">
        <v>0.2</v>
      </c>
      <c r="F80" s="1148">
        <v>30</v>
      </c>
    </row>
    <row r="81" spans="1:6" s="1099" customFormat="1" ht="36">
      <c r="A81" s="1148">
        <v>21</v>
      </c>
      <c r="B81" s="3447"/>
      <c r="C81" s="1062" t="s">
        <v>1540</v>
      </c>
      <c r="D81" s="1062" t="s">
        <v>1541</v>
      </c>
      <c r="E81" s="1133">
        <v>0.2</v>
      </c>
      <c r="F81" s="1148">
        <v>30</v>
      </c>
    </row>
    <row r="82" spans="1:6" s="1099" customFormat="1" ht="48">
      <c r="A82" s="1148">
        <v>22</v>
      </c>
      <c r="B82" s="3447"/>
      <c r="C82" s="1062" t="s">
        <v>1542</v>
      </c>
      <c r="D82" s="1062" t="s">
        <v>1543</v>
      </c>
      <c r="E82" s="1133">
        <v>0.2</v>
      </c>
      <c r="F82" s="1148">
        <v>30</v>
      </c>
    </row>
    <row r="83" spans="1:6" s="1099" customFormat="1" ht="48">
      <c r="A83" s="1148">
        <v>23</v>
      </c>
      <c r="B83" s="3447"/>
      <c r="C83" s="1062" t="s">
        <v>1544</v>
      </c>
      <c r="D83" s="1062" t="s">
        <v>1545</v>
      </c>
      <c r="E83" s="1133">
        <v>0.2</v>
      </c>
      <c r="F83" s="1148">
        <v>30</v>
      </c>
    </row>
    <row r="84" spans="1:6" s="1099" customFormat="1" ht="36">
      <c r="A84" s="1148">
        <v>24</v>
      </c>
      <c r="B84" s="3447"/>
      <c r="C84" s="1062" t="s">
        <v>1546</v>
      </c>
      <c r="D84" s="1062" t="s">
        <v>1547</v>
      </c>
      <c r="E84" s="1133">
        <v>0.2</v>
      </c>
      <c r="F84" s="1148">
        <v>30</v>
      </c>
    </row>
    <row r="85" spans="1:6" s="1099" customFormat="1" ht="36">
      <c r="A85" s="1148">
        <v>25</v>
      </c>
      <c r="B85" s="3447"/>
      <c r="C85" s="1062" t="s">
        <v>1548</v>
      </c>
      <c r="D85" s="1062" t="s">
        <v>1549</v>
      </c>
      <c r="E85" s="1133">
        <v>0.5</v>
      </c>
      <c r="F85" s="1148">
        <v>80</v>
      </c>
    </row>
    <row r="86" spans="1:6" s="1099" customFormat="1" ht="36">
      <c r="A86" s="1148">
        <v>26</v>
      </c>
      <c r="B86" s="3447"/>
      <c r="C86" s="1062" t="s">
        <v>1550</v>
      </c>
      <c r="D86" s="1062" t="s">
        <v>1551</v>
      </c>
      <c r="E86" s="1133">
        <v>0.2</v>
      </c>
      <c r="F86" s="1148">
        <v>30</v>
      </c>
    </row>
    <row r="87" spans="1:6" s="1099" customFormat="1" ht="36">
      <c r="A87" s="1148">
        <v>27</v>
      </c>
      <c r="B87" s="3447"/>
      <c r="C87" s="1062" t="s">
        <v>1552</v>
      </c>
      <c r="D87" s="1062" t="s">
        <v>1553</v>
      </c>
      <c r="E87" s="1133">
        <v>0.2</v>
      </c>
      <c r="F87" s="1148">
        <v>30</v>
      </c>
    </row>
    <row r="88" spans="1:6" s="1099" customFormat="1" ht="36">
      <c r="A88" s="1148">
        <v>28</v>
      </c>
      <c r="B88" s="3447"/>
      <c r="C88" s="1062" t="s">
        <v>1554</v>
      </c>
      <c r="D88" s="1062" t="s">
        <v>1555</v>
      </c>
      <c r="E88" s="1133">
        <v>0.2</v>
      </c>
      <c r="F88" s="1148">
        <v>30</v>
      </c>
    </row>
    <row r="89" spans="1:6" s="1099" customFormat="1" ht="24">
      <c r="A89" s="1148">
        <v>29</v>
      </c>
      <c r="B89" s="3447"/>
      <c r="C89" s="1062" t="s">
        <v>1556</v>
      </c>
      <c r="D89" s="1062" t="s">
        <v>1557</v>
      </c>
      <c r="E89" s="1133">
        <v>0.2</v>
      </c>
      <c r="F89" s="1148">
        <v>30</v>
      </c>
    </row>
    <row r="90" spans="1:6" s="1099" customFormat="1" ht="24">
      <c r="A90" s="1148">
        <v>30</v>
      </c>
      <c r="B90" s="3447"/>
      <c r="C90" s="1062" t="s">
        <v>1558</v>
      </c>
      <c r="D90" s="1062" t="s">
        <v>1559</v>
      </c>
      <c r="E90" s="1133">
        <v>0.2</v>
      </c>
      <c r="F90" s="1148">
        <v>30</v>
      </c>
    </row>
    <row r="91" spans="1:6" s="1099" customFormat="1" ht="36">
      <c r="A91" s="1148">
        <v>31</v>
      </c>
      <c r="B91" s="3447"/>
      <c r="C91" s="1062" t="s">
        <v>1560</v>
      </c>
      <c r="D91" s="1062" t="s">
        <v>1561</v>
      </c>
      <c r="E91" s="1133">
        <v>0.2</v>
      </c>
      <c r="F91" s="1148">
        <v>30</v>
      </c>
    </row>
    <row r="92" spans="1:6" s="1099" customFormat="1" ht="24">
      <c r="A92" s="1148">
        <v>32</v>
      </c>
      <c r="B92" s="3447" t="s">
        <v>1562</v>
      </c>
      <c r="C92" s="1148" t="s">
        <v>1563</v>
      </c>
      <c r="D92" s="1062" t="s">
        <v>1564</v>
      </c>
      <c r="E92" s="1133">
        <v>0.2</v>
      </c>
      <c r="F92" s="1148">
        <v>30</v>
      </c>
    </row>
    <row r="93" spans="1:6" s="1099" customFormat="1" ht="36">
      <c r="A93" s="1148">
        <v>33</v>
      </c>
      <c r="B93" s="3447"/>
      <c r="C93" s="1148" t="s">
        <v>1565</v>
      </c>
      <c r="D93" s="1062" t="s">
        <v>1566</v>
      </c>
      <c r="E93" s="1133">
        <v>0.2</v>
      </c>
      <c r="F93" s="1148">
        <v>30</v>
      </c>
    </row>
    <row r="94" spans="1:6" s="1099" customFormat="1" ht="48">
      <c r="A94" s="1148">
        <v>34</v>
      </c>
      <c r="B94" s="3447"/>
      <c r="C94" s="1148" t="s">
        <v>1567</v>
      </c>
      <c r="D94" s="1062" t="s">
        <v>1568</v>
      </c>
      <c r="E94" s="1133">
        <v>0.2</v>
      </c>
      <c r="F94" s="1148">
        <v>30</v>
      </c>
    </row>
    <row r="95" spans="1:6" s="1099" customFormat="1" ht="36">
      <c r="A95" s="1148">
        <v>35</v>
      </c>
      <c r="B95" s="3447"/>
      <c r="C95" s="1148" t="s">
        <v>1569</v>
      </c>
      <c r="D95" s="1062" t="s">
        <v>1570</v>
      </c>
      <c r="E95" s="1133">
        <v>0.2</v>
      </c>
      <c r="F95" s="1148">
        <v>30</v>
      </c>
    </row>
    <row r="96" spans="1:6" s="1099" customFormat="1" ht="48">
      <c r="A96" s="1148">
        <v>36</v>
      </c>
      <c r="B96" s="3447"/>
      <c r="C96" s="1062" t="s">
        <v>1571</v>
      </c>
      <c r="D96" s="1062" t="s">
        <v>1572</v>
      </c>
      <c r="E96" s="1133">
        <v>0.2</v>
      </c>
      <c r="F96" s="1148">
        <v>30</v>
      </c>
    </row>
    <row r="97" spans="1:6" s="1099" customFormat="1" ht="36">
      <c r="A97" s="1148">
        <v>37</v>
      </c>
      <c r="B97" s="3447"/>
      <c r="C97" s="1148" t="s">
        <v>1573</v>
      </c>
      <c r="D97" s="1062" t="s">
        <v>1574</v>
      </c>
      <c r="E97" s="1133">
        <v>0.2</v>
      </c>
      <c r="F97" s="1148">
        <v>30</v>
      </c>
    </row>
    <row r="98" spans="1:6" s="1099" customFormat="1" ht="36">
      <c r="A98" s="1148">
        <v>38</v>
      </c>
      <c r="B98" s="3447"/>
      <c r="C98" s="1148" t="s">
        <v>1575</v>
      </c>
      <c r="D98" s="1062" t="s">
        <v>1576</v>
      </c>
      <c r="E98" s="1133">
        <v>0.2</v>
      </c>
      <c r="F98" s="1148">
        <v>30</v>
      </c>
    </row>
    <row r="99" spans="1:6" s="1099" customFormat="1" ht="36">
      <c r="A99" s="1148">
        <v>39</v>
      </c>
      <c r="B99" s="3447" t="s">
        <v>1577</v>
      </c>
      <c r="C99" s="1148" t="s">
        <v>1578</v>
      </c>
      <c r="D99" s="1062" t="s">
        <v>1579</v>
      </c>
      <c r="E99" s="1133">
        <v>0.3</v>
      </c>
      <c r="F99" s="1148">
        <v>50</v>
      </c>
    </row>
    <row r="100" spans="1:6" s="1099" customFormat="1" ht="24">
      <c r="A100" s="1148">
        <v>40</v>
      </c>
      <c r="B100" s="3447"/>
      <c r="C100" s="1148" t="s">
        <v>1580</v>
      </c>
      <c r="D100" s="1062" t="s">
        <v>1581</v>
      </c>
      <c r="E100" s="1133">
        <v>0.2</v>
      </c>
      <c r="F100" s="1148">
        <v>30</v>
      </c>
    </row>
    <row r="101" spans="1:6" s="1099" customFormat="1" ht="36">
      <c r="A101" s="1148">
        <v>41</v>
      </c>
      <c r="B101" s="3447"/>
      <c r="C101" s="1148" t="s">
        <v>1582</v>
      </c>
      <c r="D101" s="1062" t="s">
        <v>1579</v>
      </c>
      <c r="E101" s="1133">
        <v>0.2</v>
      </c>
      <c r="F101" s="1148">
        <v>30</v>
      </c>
    </row>
    <row r="102" spans="1:6" s="1099" customFormat="1" ht="48">
      <c r="A102" s="1148">
        <v>42</v>
      </c>
      <c r="B102" s="1148" t="s">
        <v>1583</v>
      </c>
      <c r="C102" s="1062" t="s">
        <v>1584</v>
      </c>
      <c r="D102" s="1062" t="s">
        <v>1585</v>
      </c>
      <c r="E102" s="1133">
        <v>0.2</v>
      </c>
      <c r="F102" s="1148">
        <v>30</v>
      </c>
    </row>
    <row r="103" spans="1:6" s="1099" customFormat="1" ht="24">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36">
      <c r="A105" s="1148">
        <v>45</v>
      </c>
      <c r="B105" s="3447" t="s">
        <v>1592</v>
      </c>
      <c r="C105" s="1148" t="s">
        <v>1593</v>
      </c>
      <c r="D105" s="1062" t="s">
        <v>1594</v>
      </c>
      <c r="E105" s="1133">
        <v>0.2</v>
      </c>
      <c r="F105" s="1148">
        <v>30</v>
      </c>
    </row>
    <row r="106" spans="1:6" s="1099" customFormat="1" ht="36">
      <c r="A106" s="1148">
        <v>46</v>
      </c>
      <c r="B106" s="3447"/>
      <c r="C106" s="1148" t="s">
        <v>1595</v>
      </c>
      <c r="D106" s="1062" t="s">
        <v>1596</v>
      </c>
      <c r="E106" s="1133">
        <v>0.2</v>
      </c>
      <c r="F106" s="1148">
        <v>30</v>
      </c>
    </row>
    <row r="107" spans="1:6" s="1099" customFormat="1" ht="36">
      <c r="A107" s="1148">
        <v>47</v>
      </c>
      <c r="B107" s="3447" t="s">
        <v>1597</v>
      </c>
      <c r="C107" s="1148" t="s">
        <v>1598</v>
      </c>
      <c r="D107" s="1062" t="s">
        <v>1599</v>
      </c>
      <c r="E107" s="1133">
        <v>0.3</v>
      </c>
      <c r="F107" s="1148">
        <v>50</v>
      </c>
    </row>
    <row r="108" spans="1:6" s="1099" customFormat="1" ht="36">
      <c r="A108" s="1148">
        <v>48</v>
      </c>
      <c r="B108" s="3447"/>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36">
      <c r="A110" s="1148">
        <v>50</v>
      </c>
      <c r="B110" s="1148" t="s">
        <v>1605</v>
      </c>
      <c r="C110" s="1148" t="s">
        <v>1606</v>
      </c>
      <c r="D110" s="1062" t="s">
        <v>1607</v>
      </c>
      <c r="E110" s="1133">
        <v>0.2</v>
      </c>
      <c r="F110" s="1148">
        <v>30</v>
      </c>
    </row>
    <row r="111" spans="1:6" s="1099" customFormat="1" ht="36">
      <c r="A111" s="1148">
        <v>51</v>
      </c>
      <c r="B111" s="3447" t="s">
        <v>1608</v>
      </c>
      <c r="C111" s="1148" t="s">
        <v>1609</v>
      </c>
      <c r="D111" s="1062" t="s">
        <v>1610</v>
      </c>
      <c r="E111" s="1133">
        <v>0.2</v>
      </c>
      <c r="F111" s="1148">
        <v>30</v>
      </c>
    </row>
    <row r="112" spans="1:6" s="1099" customFormat="1" ht="24">
      <c r="A112" s="1148">
        <v>52</v>
      </c>
      <c r="B112" s="3447"/>
      <c r="C112" s="1148" t="s">
        <v>1611</v>
      </c>
      <c r="D112" s="1062" t="s">
        <v>1612</v>
      </c>
      <c r="E112" s="1133">
        <v>0.2</v>
      </c>
      <c r="F112" s="1148">
        <v>30</v>
      </c>
    </row>
    <row r="113" spans="1:14" s="1099" customFormat="1" ht="24">
      <c r="A113" s="1148">
        <v>53</v>
      </c>
      <c r="B113" s="3447"/>
      <c r="C113" s="1148" t="s">
        <v>1613</v>
      </c>
      <c r="D113" s="1062" t="s">
        <v>1614</v>
      </c>
      <c r="E113" s="1133">
        <v>0.2</v>
      </c>
      <c r="F113" s="1148">
        <v>30</v>
      </c>
    </row>
    <row r="114" spans="1:14" ht="36">
      <c r="A114" s="1148">
        <v>54</v>
      </c>
      <c r="B114" s="1148" t="s">
        <v>1615</v>
      </c>
      <c r="C114" s="1148" t="s">
        <v>1616</v>
      </c>
      <c r="D114" s="1062" t="s">
        <v>1617</v>
      </c>
      <c r="E114" s="1133">
        <v>0.2</v>
      </c>
      <c r="F114" s="1148">
        <v>30</v>
      </c>
    </row>
    <row r="115" spans="1:14" ht="24">
      <c r="A115" s="1148">
        <v>55</v>
      </c>
      <c r="B115" s="1148" t="s">
        <v>1618</v>
      </c>
      <c r="C115" s="1148" t="s">
        <v>1619</v>
      </c>
      <c r="D115" s="1062" t="s">
        <v>1620</v>
      </c>
      <c r="E115" s="1133">
        <v>0.2</v>
      </c>
      <c r="F115" s="1148">
        <v>30</v>
      </c>
    </row>
    <row r="116" spans="1:14" ht="24">
      <c r="A116" s="1148">
        <v>56</v>
      </c>
      <c r="B116" s="3447" t="s">
        <v>1621</v>
      </c>
      <c r="C116" s="1148" t="s">
        <v>1622</v>
      </c>
      <c r="D116" s="1062" t="s">
        <v>1623</v>
      </c>
      <c r="E116" s="1133">
        <v>0.2</v>
      </c>
      <c r="F116" s="1148">
        <v>30</v>
      </c>
    </row>
    <row r="117" spans="1:14" ht="36">
      <c r="A117" s="1148">
        <v>57</v>
      </c>
      <c r="B117" s="3447"/>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3.5">
      <c r="A119" s="1148"/>
      <c r="B119" s="1148"/>
      <c r="C119" s="1148"/>
      <c r="D119" s="1148"/>
      <c r="E119" s="1133"/>
      <c r="F119" s="1148"/>
    </row>
    <row r="121" spans="1:14" ht="19.5" customHeight="1">
      <c r="A121" s="3446" t="s">
        <v>1630</v>
      </c>
      <c r="B121" s="3446"/>
      <c r="C121" s="3446"/>
      <c r="D121" s="3446"/>
      <c r="E121" s="3446"/>
      <c r="F121" s="3446"/>
      <c r="G121" s="3446"/>
      <c r="H121" s="3446"/>
      <c r="I121" s="3446"/>
      <c r="J121" s="3446"/>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61" t="s">
        <v>1036</v>
      </c>
      <c r="B1" s="3461"/>
      <c r="C1" s="3461"/>
      <c r="D1" s="3461"/>
      <c r="E1" s="3461"/>
      <c r="F1" s="3461"/>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4.25" thickBot="1">
      <c r="A2" s="3462" t="s">
        <v>1049</v>
      </c>
      <c r="B2" s="3462"/>
      <c r="C2" s="3462"/>
      <c r="D2" s="3462"/>
      <c r="E2" s="3462"/>
      <c r="F2" s="3462"/>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463"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464"/>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2413</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2414</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65" t="s">
        <v>2071</v>
      </c>
      <c r="B1" s="3465"/>
    </row>
    <row r="2" spans="1:6" ht="14.25" thickBot="1">
      <c r="A2" s="1833"/>
      <c r="B2" s="1833"/>
    </row>
    <row r="3" spans="1:6" ht="14.25" thickBot="1">
      <c r="A3" s="1833"/>
      <c r="B3" s="1833"/>
      <c r="C3" s="1834" t="s">
        <v>2072</v>
      </c>
      <c r="D3" s="1834" t="s">
        <v>2073</v>
      </c>
      <c r="E3" s="1834" t="s">
        <v>2074</v>
      </c>
      <c r="F3" s="1834" t="s">
        <v>2075</v>
      </c>
    </row>
    <row r="4" spans="1:6" ht="14.25" thickBot="1">
      <c r="A4" s="1835" t="s">
        <v>2076</v>
      </c>
      <c r="B4" s="1836" t="s">
        <v>2077</v>
      </c>
      <c r="C4" s="1834"/>
      <c r="D4" s="1834"/>
      <c r="E4" s="1834"/>
      <c r="F4" s="1834"/>
    </row>
    <row r="5" spans="1:6" ht="14.25" thickBot="1">
      <c r="A5" s="1837" t="s">
        <v>2078</v>
      </c>
      <c r="B5" s="1838" t="s">
        <v>2079</v>
      </c>
      <c r="C5" s="1839">
        <v>8.8999999999999996E-2</v>
      </c>
      <c r="D5" s="1839">
        <v>7.3999999999999996E-2</v>
      </c>
      <c r="E5" s="1839">
        <v>7.4999999999999997E-2</v>
      </c>
      <c r="F5" s="1840">
        <v>0.1</v>
      </c>
    </row>
    <row r="6" spans="1:6" ht="14.25" thickBot="1">
      <c r="A6" s="1837" t="s">
        <v>1093</v>
      </c>
      <c r="B6" s="1841" t="s">
        <v>2080</v>
      </c>
      <c r="C6" s="1842">
        <v>0.1</v>
      </c>
      <c r="D6" s="1842">
        <v>9.0999999999999998E-2</v>
      </c>
      <c r="E6" s="1842">
        <v>9.0999999999999998E-2</v>
      </c>
      <c r="F6" s="1843">
        <v>0.1</v>
      </c>
    </row>
    <row r="7" spans="1:6" ht="14.25" thickBot="1">
      <c r="A7" s="1837" t="s">
        <v>1093</v>
      </c>
      <c r="B7" s="1844" t="s">
        <v>1081</v>
      </c>
      <c r="C7" s="1842">
        <v>8.5999999999999993E-2</v>
      </c>
      <c r="D7" s="1842">
        <v>9.6000000000000002E-2</v>
      </c>
      <c r="E7" s="1842">
        <v>7.5999999999999998E-2</v>
      </c>
      <c r="F7" s="1843">
        <v>0.1</v>
      </c>
    </row>
    <row r="8" spans="1:6" ht="14.25" thickBot="1">
      <c r="A8" s="1837" t="s">
        <v>1093</v>
      </c>
      <c r="B8" s="1841" t="s">
        <v>1094</v>
      </c>
      <c r="C8" s="1842">
        <v>9.9000000000000005E-2</v>
      </c>
      <c r="D8" s="1842">
        <v>9.8000000000000004E-2</v>
      </c>
      <c r="E8" s="1842">
        <v>9.8000000000000004E-2</v>
      </c>
      <c r="F8" s="1843">
        <v>0.1</v>
      </c>
    </row>
    <row r="9" spans="1:6" ht="14.25" thickBot="1">
      <c r="A9" s="1845" t="s">
        <v>1093</v>
      </c>
      <c r="B9" s="1846" t="s">
        <v>1108</v>
      </c>
      <c r="C9" s="1847">
        <v>0.05</v>
      </c>
      <c r="D9" s="1848"/>
      <c r="E9" s="1848"/>
      <c r="F9" s="1849"/>
    </row>
    <row r="10" spans="1:6" ht="14.25" thickBot="1">
      <c r="A10" s="1837" t="s">
        <v>1152</v>
      </c>
      <c r="B10" s="1838" t="s">
        <v>2081</v>
      </c>
      <c r="C10" s="1839">
        <v>8.8999999999999996E-2</v>
      </c>
      <c r="D10" s="1839">
        <v>7.2999999999999995E-2</v>
      </c>
      <c r="E10" s="1839">
        <v>8.2000000000000003E-2</v>
      </c>
      <c r="F10" s="1840">
        <v>0.1</v>
      </c>
    </row>
    <row r="11" spans="1:6" ht="14.25" thickBot="1">
      <c r="A11" s="1837" t="s">
        <v>1152</v>
      </c>
      <c r="B11" s="1844" t="s">
        <v>1068</v>
      </c>
      <c r="C11" s="1842">
        <v>8.8999999999999996E-2</v>
      </c>
      <c r="D11" s="1842">
        <v>7.2999999999999995E-2</v>
      </c>
      <c r="E11" s="1842">
        <v>8.2000000000000003E-2</v>
      </c>
      <c r="F11" s="1843">
        <v>0.1</v>
      </c>
    </row>
    <row r="12" spans="1:6" ht="14.25" thickBot="1">
      <c r="A12" s="1837" t="s">
        <v>1152</v>
      </c>
      <c r="B12" s="1844" t="s">
        <v>1082</v>
      </c>
      <c r="C12" s="1842">
        <v>6.0999999999999999E-2</v>
      </c>
      <c r="D12" s="1842">
        <v>7.0999999999999994E-2</v>
      </c>
      <c r="E12" s="1842">
        <v>9.6000000000000002E-2</v>
      </c>
      <c r="F12" s="1843">
        <v>0.1</v>
      </c>
    </row>
    <row r="13" spans="1:6" ht="14.25" thickBot="1">
      <c r="A13" s="1837" t="s">
        <v>1152</v>
      </c>
      <c r="B13" s="1844" t="s">
        <v>1095</v>
      </c>
      <c r="C13" s="1842">
        <v>6.9000000000000006E-2</v>
      </c>
      <c r="D13" s="1842">
        <v>6.5000000000000002E-2</v>
      </c>
      <c r="E13" s="1842">
        <v>6.6000000000000003E-2</v>
      </c>
      <c r="F13" s="1843">
        <v>0.1</v>
      </c>
    </row>
    <row r="14" spans="1:6" ht="14.25" thickBot="1">
      <c r="A14" s="1837" t="s">
        <v>1152</v>
      </c>
      <c r="B14" s="1844" t="s">
        <v>1109</v>
      </c>
      <c r="C14" s="1842">
        <v>0.1</v>
      </c>
      <c r="D14" s="1842">
        <v>6.5000000000000002E-2</v>
      </c>
      <c r="E14" s="1842">
        <v>7.0000000000000007E-2</v>
      </c>
      <c r="F14" s="1843">
        <v>0.1</v>
      </c>
    </row>
    <row r="15" spans="1:6" ht="14.25" thickBot="1">
      <c r="A15" s="1837" t="s">
        <v>1152</v>
      </c>
      <c r="B15" s="1844" t="s">
        <v>1120</v>
      </c>
      <c r="C15" s="1842">
        <v>9.8000000000000004E-2</v>
      </c>
      <c r="D15" s="1842">
        <v>8.8999999999999996E-2</v>
      </c>
      <c r="E15" s="1842">
        <v>8.8999999999999996E-2</v>
      </c>
      <c r="F15" s="1843">
        <v>0.1</v>
      </c>
    </row>
    <row r="16" spans="1:6" ht="14.25" thickBot="1">
      <c r="A16" s="1837" t="s">
        <v>1152</v>
      </c>
      <c r="B16" s="1844" t="s">
        <v>1131</v>
      </c>
      <c r="C16" s="1842">
        <v>7.0000000000000007E-2</v>
      </c>
      <c r="D16" s="1842">
        <v>9.2999999999999999E-2</v>
      </c>
      <c r="E16" s="1842">
        <v>9.6000000000000002E-2</v>
      </c>
      <c r="F16" s="1843">
        <v>0.1</v>
      </c>
    </row>
    <row r="17" spans="1:6" ht="14.25" thickBot="1">
      <c r="A17" s="1837" t="s">
        <v>1152</v>
      </c>
      <c r="B17" s="1844" t="s">
        <v>1142</v>
      </c>
      <c r="C17" s="1842">
        <v>9.5000000000000001E-2</v>
      </c>
      <c r="D17" s="1842">
        <v>0.1</v>
      </c>
      <c r="E17" s="1842">
        <v>0.1</v>
      </c>
      <c r="F17" s="1850"/>
    </row>
    <row r="18" spans="1:6" ht="14.25" thickBot="1">
      <c r="A18" s="1837" t="s">
        <v>1152</v>
      </c>
      <c r="B18" s="1844" t="s">
        <v>1154</v>
      </c>
      <c r="C18" s="1842">
        <v>7.3999999999999996E-2</v>
      </c>
      <c r="D18" s="1842">
        <v>9.9000000000000005E-2</v>
      </c>
      <c r="E18" s="1842">
        <v>0.1</v>
      </c>
      <c r="F18" s="1850"/>
    </row>
    <row r="19" spans="1:6" ht="14.25" thickBot="1">
      <c r="A19" s="1837" t="s">
        <v>1152</v>
      </c>
      <c r="B19" s="1844" t="s">
        <v>1164</v>
      </c>
      <c r="C19" s="1842">
        <v>9.9000000000000005E-2</v>
      </c>
      <c r="D19" s="1842">
        <v>7.5999999999999998E-2</v>
      </c>
      <c r="E19" s="1842">
        <v>8.6999999999999994E-2</v>
      </c>
      <c r="F19" s="1850"/>
    </row>
    <row r="20" spans="1:6" ht="14.25" thickBot="1">
      <c r="A20" s="1837" t="s">
        <v>1152</v>
      </c>
      <c r="B20" s="1844" t="s">
        <v>1174</v>
      </c>
      <c r="C20" s="1842">
        <v>9.8000000000000004E-2</v>
      </c>
      <c r="D20" s="1842">
        <v>8.5000000000000006E-2</v>
      </c>
      <c r="E20" s="1842">
        <v>8.2000000000000003E-2</v>
      </c>
      <c r="F20" s="1850"/>
    </row>
    <row r="21" spans="1:6" ht="14.25" thickBot="1">
      <c r="A21" s="1837" t="s">
        <v>1152</v>
      </c>
      <c r="B21" s="1844" t="s">
        <v>1184</v>
      </c>
      <c r="C21" s="1842">
        <v>6.6000000000000003E-2</v>
      </c>
      <c r="D21" s="1842">
        <v>6.4000000000000001E-2</v>
      </c>
      <c r="E21" s="1842">
        <v>6.5000000000000002E-2</v>
      </c>
      <c r="F21" s="1850"/>
    </row>
    <row r="22" spans="1:6" ht="14.25" thickBot="1">
      <c r="A22" s="1837" t="s">
        <v>1152</v>
      </c>
      <c r="B22" s="1844" t="s">
        <v>2082</v>
      </c>
      <c r="C22" s="1842">
        <v>0.08</v>
      </c>
      <c r="D22" s="1842">
        <v>9.8000000000000004E-2</v>
      </c>
      <c r="E22" s="1842">
        <v>9.8000000000000004E-2</v>
      </c>
      <c r="F22" s="1850"/>
    </row>
    <row r="23" spans="1:6" ht="14.25" thickBot="1">
      <c r="A23" s="1837" t="s">
        <v>1152</v>
      </c>
      <c r="B23" s="1844" t="s">
        <v>1204</v>
      </c>
      <c r="C23" s="1842">
        <v>9.9000000000000005E-2</v>
      </c>
      <c r="D23" s="1842">
        <v>9.8000000000000004E-2</v>
      </c>
      <c r="E23" s="1842">
        <v>9.0999999999999998E-2</v>
      </c>
      <c r="F23" s="1850"/>
    </row>
    <row r="24" spans="1:6" ht="14.25" thickBot="1">
      <c r="A24" s="1837" t="s">
        <v>1152</v>
      </c>
      <c r="B24" s="1844" t="s">
        <v>1214</v>
      </c>
      <c r="C24" s="1842">
        <v>8.8999999999999996E-2</v>
      </c>
      <c r="D24" s="1842">
        <v>9.7000000000000003E-2</v>
      </c>
      <c r="E24" s="1842">
        <v>7.0000000000000007E-2</v>
      </c>
      <c r="F24" s="1850"/>
    </row>
    <row r="25" spans="1:6" ht="14.25" thickBot="1">
      <c r="A25" s="1837" t="s">
        <v>1152</v>
      </c>
      <c r="B25" s="1844" t="s">
        <v>1224</v>
      </c>
      <c r="C25" s="1842">
        <v>8.8999999999999996E-2</v>
      </c>
      <c r="D25" s="1842">
        <v>0.1</v>
      </c>
      <c r="E25" s="1842">
        <v>8.1000000000000003E-2</v>
      </c>
      <c r="F25" s="1850"/>
    </row>
    <row r="26" spans="1:6" ht="14.25" thickBot="1">
      <c r="A26" s="1837" t="s">
        <v>1152</v>
      </c>
      <c r="B26" s="1844" t="s">
        <v>1234</v>
      </c>
      <c r="C26" s="1851"/>
      <c r="D26" s="1842">
        <v>9.6000000000000002E-2</v>
      </c>
      <c r="E26" s="1842">
        <v>9.2999999999999999E-2</v>
      </c>
      <c r="F26" s="1850"/>
    </row>
    <row r="27" spans="1:6" ht="14.25" thickBot="1">
      <c r="A27" s="1837" t="s">
        <v>1152</v>
      </c>
      <c r="B27" s="1844" t="s">
        <v>1244</v>
      </c>
      <c r="C27" s="1851"/>
      <c r="D27" s="1842">
        <v>7.5999999999999998E-2</v>
      </c>
      <c r="E27" s="1842">
        <v>9.1999999999999998E-2</v>
      </c>
      <c r="F27" s="1850"/>
    </row>
    <row r="28" spans="1:6" ht="14.25" thickBot="1">
      <c r="A28" s="1845" t="s">
        <v>1152</v>
      </c>
      <c r="B28" s="1846" t="s">
        <v>1254</v>
      </c>
      <c r="C28" s="1848"/>
      <c r="D28" s="1847">
        <v>7.5999999999999998E-2</v>
      </c>
      <c r="E28" s="1847">
        <v>9.1999999999999998E-2</v>
      </c>
      <c r="F28" s="1849"/>
    </row>
    <row r="29" spans="1:6" ht="14.25" thickBot="1">
      <c r="A29" s="1837" t="s">
        <v>1323</v>
      </c>
      <c r="B29" s="1838" t="s">
        <v>2083</v>
      </c>
      <c r="C29" s="1839">
        <v>6.4000000000000001E-2</v>
      </c>
      <c r="D29" s="1839">
        <v>6.5000000000000002E-2</v>
      </c>
      <c r="E29" s="1839">
        <v>6.9000000000000006E-2</v>
      </c>
      <c r="F29" s="1840">
        <v>0.1</v>
      </c>
    </row>
    <row r="30" spans="1:6" ht="14.25" thickBot="1">
      <c r="A30" s="1837" t="s">
        <v>1323</v>
      </c>
      <c r="B30" s="1844" t="s">
        <v>1069</v>
      </c>
      <c r="C30" s="1842">
        <v>6.4000000000000001E-2</v>
      </c>
      <c r="D30" s="1842">
        <v>9.9000000000000005E-2</v>
      </c>
      <c r="E30" s="1842">
        <v>0.1</v>
      </c>
      <c r="F30" s="1843">
        <v>0.1</v>
      </c>
    </row>
    <row r="31" spans="1:6" ht="14.25" thickBot="1">
      <c r="A31" s="1837" t="s">
        <v>1323</v>
      </c>
      <c r="B31" s="1844" t="s">
        <v>1083</v>
      </c>
      <c r="C31" s="1842">
        <v>0.1</v>
      </c>
      <c r="D31" s="1842">
        <v>9.5000000000000001E-2</v>
      </c>
      <c r="E31" s="1842">
        <v>8.8999999999999996E-2</v>
      </c>
      <c r="F31" s="1843">
        <v>0.1</v>
      </c>
    </row>
    <row r="32" spans="1:6" ht="14.25" thickBot="1">
      <c r="A32" s="1837" t="s">
        <v>1323</v>
      </c>
      <c r="B32" s="1844" t="s">
        <v>1096</v>
      </c>
      <c r="C32" s="1842">
        <v>0.05</v>
      </c>
      <c r="D32" s="1842">
        <v>0.05</v>
      </c>
      <c r="E32" s="1842">
        <v>8.7999999999999995E-2</v>
      </c>
      <c r="F32" s="1843">
        <v>0.1</v>
      </c>
    </row>
    <row r="33" spans="1:6" ht="14.25" thickBot="1">
      <c r="A33" s="1837" t="s">
        <v>1323</v>
      </c>
      <c r="B33" s="1844" t="s">
        <v>1110</v>
      </c>
      <c r="C33" s="1842">
        <v>7.4999999999999997E-2</v>
      </c>
      <c r="D33" s="1842">
        <v>9.4E-2</v>
      </c>
      <c r="E33" s="1842">
        <v>9.7000000000000003E-2</v>
      </c>
      <c r="F33" s="1843">
        <v>0.1</v>
      </c>
    </row>
    <row r="34" spans="1:6" ht="14.25" thickBot="1">
      <c r="A34" s="1837" t="s">
        <v>1323</v>
      </c>
      <c r="B34" s="1844" t="s">
        <v>1121</v>
      </c>
      <c r="C34" s="1842">
        <v>9.8000000000000004E-2</v>
      </c>
      <c r="D34" s="1842">
        <v>8.5999999999999993E-2</v>
      </c>
      <c r="E34" s="1842">
        <v>9.7000000000000003E-2</v>
      </c>
      <c r="F34" s="1843">
        <v>0.1</v>
      </c>
    </row>
    <row r="35" spans="1:6" ht="14.25" thickBot="1">
      <c r="A35" s="1837" t="s">
        <v>1323</v>
      </c>
      <c r="B35" s="1844" t="s">
        <v>1132</v>
      </c>
      <c r="C35" s="1842">
        <v>5.8999999999999997E-2</v>
      </c>
      <c r="D35" s="1842">
        <v>6.5000000000000002E-2</v>
      </c>
      <c r="E35" s="1842">
        <v>7.0000000000000007E-2</v>
      </c>
      <c r="F35" s="1843">
        <v>0.1</v>
      </c>
    </row>
    <row r="36" spans="1:6" ht="14.25" thickBot="1">
      <c r="A36" s="1837" t="s">
        <v>1323</v>
      </c>
      <c r="B36" s="1844" t="s">
        <v>1143</v>
      </c>
      <c r="C36" s="1842">
        <v>6.3E-2</v>
      </c>
      <c r="D36" s="1842">
        <v>0.1</v>
      </c>
      <c r="E36" s="1842">
        <v>0.1</v>
      </c>
      <c r="F36" s="1843">
        <v>0.1</v>
      </c>
    </row>
    <row r="37" spans="1:6" ht="14.25" thickBot="1">
      <c r="A37" s="1837" t="s">
        <v>1323</v>
      </c>
      <c r="B37" s="1844" t="s">
        <v>1155</v>
      </c>
      <c r="C37" s="1842">
        <v>7.3999999999999996E-2</v>
      </c>
      <c r="D37" s="1842">
        <v>0.1</v>
      </c>
      <c r="E37" s="1842">
        <v>0.1</v>
      </c>
      <c r="F37" s="1843">
        <v>0.1</v>
      </c>
    </row>
    <row r="38" spans="1:6" ht="14.25" thickBot="1">
      <c r="A38" s="1837" t="s">
        <v>1323</v>
      </c>
      <c r="B38" s="1844" t="s">
        <v>1165</v>
      </c>
      <c r="C38" s="1842">
        <v>0.1</v>
      </c>
      <c r="D38" s="1842">
        <v>9.6000000000000002E-2</v>
      </c>
      <c r="E38" s="1842">
        <v>9.6000000000000002E-2</v>
      </c>
      <c r="F38" s="1850"/>
    </row>
    <row r="39" spans="1:6" ht="14.25" thickBot="1">
      <c r="A39" s="1837" t="s">
        <v>1323</v>
      </c>
      <c r="B39" s="1844" t="s">
        <v>1175</v>
      </c>
      <c r="C39" s="1842">
        <v>0.1</v>
      </c>
      <c r="D39" s="1842">
        <v>9.6000000000000002E-2</v>
      </c>
      <c r="E39" s="1842">
        <v>9.6000000000000002E-2</v>
      </c>
      <c r="F39" s="1850"/>
    </row>
    <row r="40" spans="1:6" ht="14.25" thickBot="1">
      <c r="A40" s="1837" t="s">
        <v>1323</v>
      </c>
      <c r="B40" s="1844" t="s">
        <v>1185</v>
      </c>
      <c r="C40" s="1842">
        <v>9.6000000000000002E-2</v>
      </c>
      <c r="D40" s="1842">
        <v>0.1</v>
      </c>
      <c r="E40" s="1842">
        <v>9.9000000000000005E-2</v>
      </c>
      <c r="F40" s="1850"/>
    </row>
    <row r="41" spans="1:6" ht="14.25" thickBot="1">
      <c r="A41" s="1837" t="s">
        <v>1323</v>
      </c>
      <c r="B41" s="1844" t="s">
        <v>1195</v>
      </c>
      <c r="C41" s="1842">
        <v>9.6000000000000002E-2</v>
      </c>
      <c r="D41" s="1842">
        <v>9.8000000000000004E-2</v>
      </c>
      <c r="E41" s="1842">
        <v>9.8000000000000004E-2</v>
      </c>
      <c r="F41" s="1850"/>
    </row>
    <row r="42" spans="1:6" ht="14.25" thickBot="1">
      <c r="A42" s="1837" t="s">
        <v>1323</v>
      </c>
      <c r="B42" s="1844" t="s">
        <v>1205</v>
      </c>
      <c r="C42" s="1842">
        <v>0.1</v>
      </c>
      <c r="D42" s="1842">
        <v>8.7999999999999995E-2</v>
      </c>
      <c r="E42" s="1842">
        <v>0.1</v>
      </c>
      <c r="F42" s="1850"/>
    </row>
    <row r="43" spans="1:6" ht="14.25" thickBot="1">
      <c r="A43" s="1837" t="s">
        <v>1323</v>
      </c>
      <c r="B43" s="1844" t="s">
        <v>1215</v>
      </c>
      <c r="C43" s="1842">
        <v>9.8000000000000004E-2</v>
      </c>
      <c r="D43" s="1842">
        <v>9.7000000000000003E-2</v>
      </c>
      <c r="E43" s="1842">
        <v>9.6000000000000002E-2</v>
      </c>
      <c r="F43" s="1850"/>
    </row>
    <row r="44" spans="1:6" ht="14.25" thickBot="1">
      <c r="A44" s="1837" t="s">
        <v>1323</v>
      </c>
      <c r="B44" s="1844" t="s">
        <v>1225</v>
      </c>
      <c r="C44" s="1842">
        <v>8.5999999999999993E-2</v>
      </c>
      <c r="D44" s="1842">
        <v>7.9000000000000001E-2</v>
      </c>
      <c r="E44" s="1842">
        <v>7.0999999999999994E-2</v>
      </c>
      <c r="F44" s="1850"/>
    </row>
    <row r="45" spans="1:6" ht="14.25" thickBot="1">
      <c r="A45" s="1837" t="s">
        <v>1323</v>
      </c>
      <c r="B45" s="1844" t="s">
        <v>1235</v>
      </c>
      <c r="C45" s="1842">
        <v>9.8000000000000004E-2</v>
      </c>
      <c r="D45" s="1842">
        <v>9.6000000000000002E-2</v>
      </c>
      <c r="E45" s="1842">
        <v>9.6000000000000002E-2</v>
      </c>
      <c r="F45" s="1850"/>
    </row>
    <row r="46" spans="1:6" ht="14.25" thickBot="1">
      <c r="A46" s="1837" t="s">
        <v>1323</v>
      </c>
      <c r="B46" s="1844" t="s">
        <v>1245</v>
      </c>
      <c r="C46" s="1842">
        <v>8.5999999999999993E-2</v>
      </c>
      <c r="D46" s="1842">
        <v>9.8000000000000004E-2</v>
      </c>
      <c r="E46" s="1842">
        <v>8.7999999999999995E-2</v>
      </c>
      <c r="F46" s="1850"/>
    </row>
    <row r="47" spans="1:6" ht="14.25" thickBot="1">
      <c r="A47" s="1837" t="s">
        <v>1323</v>
      </c>
      <c r="B47" s="1844" t="s">
        <v>1255</v>
      </c>
      <c r="C47" s="1842">
        <v>9.6000000000000002E-2</v>
      </c>
      <c r="D47" s="1851"/>
      <c r="E47" s="1842">
        <v>6.9000000000000006E-2</v>
      </c>
      <c r="F47" s="1850"/>
    </row>
    <row r="48" spans="1:6" ht="14.25" thickBot="1">
      <c r="A48" s="1845" t="s">
        <v>1323</v>
      </c>
      <c r="B48" s="1846" t="s">
        <v>1264</v>
      </c>
      <c r="C48" s="1847">
        <v>9.8000000000000004E-2</v>
      </c>
      <c r="D48" s="1848"/>
      <c r="E48" s="1847">
        <v>9.5000000000000001E-2</v>
      </c>
      <c r="F48" s="1849"/>
    </row>
    <row r="49" spans="1:6" ht="14.25" thickBot="1">
      <c r="A49" s="1837" t="s">
        <v>922</v>
      </c>
      <c r="B49" s="1838" t="s">
        <v>2084</v>
      </c>
      <c r="C49" s="1839">
        <v>9.7000000000000003E-2</v>
      </c>
      <c r="D49" s="1839">
        <v>9.5000000000000001E-2</v>
      </c>
      <c r="E49" s="1839">
        <v>9.7000000000000003E-2</v>
      </c>
      <c r="F49" s="1840">
        <v>0.1</v>
      </c>
    </row>
    <row r="50" spans="1:6" ht="14.25" thickBot="1">
      <c r="A50" s="1837" t="s">
        <v>922</v>
      </c>
      <c r="B50" s="1841" t="s">
        <v>1070</v>
      </c>
      <c r="C50" s="1842">
        <v>7.4999999999999997E-2</v>
      </c>
      <c r="D50" s="1842">
        <v>9.5000000000000001E-2</v>
      </c>
      <c r="E50" s="1842">
        <v>0.1</v>
      </c>
      <c r="F50" s="1843">
        <v>0.1</v>
      </c>
    </row>
    <row r="51" spans="1:6" ht="14.25" thickBot="1">
      <c r="A51" s="1837" t="s">
        <v>922</v>
      </c>
      <c r="B51" s="1841" t="s">
        <v>1084</v>
      </c>
      <c r="C51" s="1842">
        <v>9.8000000000000004E-2</v>
      </c>
      <c r="D51" s="1842">
        <v>8.8999999999999996E-2</v>
      </c>
      <c r="E51" s="1842">
        <v>0.1</v>
      </c>
      <c r="F51" s="1843">
        <v>0.1</v>
      </c>
    </row>
    <row r="52" spans="1:6" ht="14.25" thickBot="1">
      <c r="A52" s="1837" t="s">
        <v>922</v>
      </c>
      <c r="B52" s="1841" t="s">
        <v>1097</v>
      </c>
      <c r="C52" s="1842">
        <v>9.8000000000000004E-2</v>
      </c>
      <c r="D52" s="1842">
        <v>9.7000000000000003E-2</v>
      </c>
      <c r="E52" s="1842">
        <v>8.1000000000000003E-2</v>
      </c>
      <c r="F52" s="1843">
        <v>0.1</v>
      </c>
    </row>
    <row r="53" spans="1:6" ht="14.25" thickBot="1">
      <c r="A53" s="1837" t="s">
        <v>922</v>
      </c>
      <c r="B53" s="1841" t="s">
        <v>1111</v>
      </c>
      <c r="C53" s="1842">
        <v>9.7000000000000003E-2</v>
      </c>
      <c r="D53" s="1842">
        <v>7.5999999999999998E-2</v>
      </c>
      <c r="E53" s="1842">
        <v>7.0999999999999994E-2</v>
      </c>
      <c r="F53" s="1843">
        <v>0.1</v>
      </c>
    </row>
    <row r="54" spans="1:6" ht="14.25" thickBot="1">
      <c r="A54" s="1837" t="s">
        <v>922</v>
      </c>
      <c r="B54" s="1841" t="s">
        <v>1122</v>
      </c>
      <c r="C54" s="1842">
        <v>7.5999999999999998E-2</v>
      </c>
      <c r="D54" s="1842">
        <v>0.1</v>
      </c>
      <c r="E54" s="1842">
        <v>9.9000000000000005E-2</v>
      </c>
      <c r="F54" s="1843">
        <v>0.1</v>
      </c>
    </row>
    <row r="55" spans="1:6" ht="14.25" thickBot="1">
      <c r="A55" s="1837" t="s">
        <v>922</v>
      </c>
      <c r="B55" s="1841" t="s">
        <v>1133</v>
      </c>
      <c r="C55" s="1842">
        <v>0.1</v>
      </c>
      <c r="D55" s="1842">
        <v>0.1</v>
      </c>
      <c r="E55" s="1842">
        <v>9.6000000000000002E-2</v>
      </c>
      <c r="F55" s="1843">
        <v>0.1</v>
      </c>
    </row>
    <row r="56" spans="1:6" ht="14.25" thickBot="1">
      <c r="A56" s="1837" t="s">
        <v>922</v>
      </c>
      <c r="B56" s="1841" t="s">
        <v>1144</v>
      </c>
      <c r="C56" s="1842">
        <v>0.1</v>
      </c>
      <c r="D56" s="1842">
        <v>9.6000000000000002E-2</v>
      </c>
      <c r="E56" s="1842">
        <v>5.1999999999999998E-2</v>
      </c>
      <c r="F56" s="1843">
        <v>0.1</v>
      </c>
    </row>
    <row r="57" spans="1:6" ht="14.25" thickBot="1">
      <c r="A57" s="1837" t="s">
        <v>922</v>
      </c>
      <c r="B57" s="1841" t="s">
        <v>1156</v>
      </c>
      <c r="C57" s="1842">
        <v>9.7000000000000003E-2</v>
      </c>
      <c r="D57" s="1842">
        <v>9.6000000000000002E-2</v>
      </c>
      <c r="E57" s="1842">
        <v>9.6000000000000002E-2</v>
      </c>
      <c r="F57" s="1843">
        <v>0.1</v>
      </c>
    </row>
    <row r="58" spans="1:6" ht="14.25" thickBot="1">
      <c r="A58" s="1837" t="s">
        <v>922</v>
      </c>
      <c r="B58" s="1841" t="s">
        <v>1166</v>
      </c>
      <c r="C58" s="1842">
        <v>9.6000000000000002E-2</v>
      </c>
      <c r="D58" s="1842">
        <v>9.9000000000000005E-2</v>
      </c>
      <c r="E58" s="1842">
        <v>9.6000000000000002E-2</v>
      </c>
      <c r="F58" s="1843">
        <v>0.1</v>
      </c>
    </row>
    <row r="59" spans="1:6" ht="14.25" thickBot="1">
      <c r="A59" s="1837" t="s">
        <v>922</v>
      </c>
      <c r="B59" s="1841" t="s">
        <v>1176</v>
      </c>
      <c r="C59" s="1842">
        <v>7.1999999999999995E-2</v>
      </c>
      <c r="D59" s="1842">
        <v>9.6000000000000002E-2</v>
      </c>
      <c r="E59" s="1842">
        <v>7.0999999999999994E-2</v>
      </c>
      <c r="F59" s="1843">
        <v>0.1</v>
      </c>
    </row>
    <row r="60" spans="1:6" ht="14.25" thickBot="1">
      <c r="A60" s="1837" t="s">
        <v>922</v>
      </c>
      <c r="B60" s="1841" t="s">
        <v>1186</v>
      </c>
      <c r="C60" s="1842">
        <v>9.6000000000000002E-2</v>
      </c>
      <c r="D60" s="1842">
        <v>8.8999999999999996E-2</v>
      </c>
      <c r="E60" s="1842">
        <v>9.6000000000000002E-2</v>
      </c>
      <c r="F60" s="1843">
        <v>0.1</v>
      </c>
    </row>
    <row r="61" spans="1:6" ht="14.25" thickBot="1">
      <c r="A61" s="1837" t="s">
        <v>922</v>
      </c>
      <c r="B61" s="1841" t="s">
        <v>1196</v>
      </c>
      <c r="C61" s="1842">
        <v>8.8999999999999996E-2</v>
      </c>
      <c r="D61" s="1842">
        <v>9.8000000000000004E-2</v>
      </c>
      <c r="E61" s="1842">
        <v>8.7999999999999995E-2</v>
      </c>
      <c r="F61" s="1850"/>
    </row>
    <row r="62" spans="1:6" ht="14.25" thickBot="1">
      <c r="A62" s="1837" t="s">
        <v>922</v>
      </c>
      <c r="B62" s="1841" t="s">
        <v>1206</v>
      </c>
      <c r="C62" s="1842">
        <v>9.8000000000000004E-2</v>
      </c>
      <c r="D62" s="1842">
        <v>9.2999999999999999E-2</v>
      </c>
      <c r="E62" s="1842">
        <v>9.7000000000000003E-2</v>
      </c>
      <c r="F62" s="1850"/>
    </row>
    <row r="63" spans="1:6" ht="14.25" thickBot="1">
      <c r="A63" s="1837" t="s">
        <v>922</v>
      </c>
      <c r="B63" s="1841" t="s">
        <v>1216</v>
      </c>
      <c r="C63" s="1842">
        <v>9.6000000000000002E-2</v>
      </c>
      <c r="D63" s="1842">
        <v>9.8000000000000004E-2</v>
      </c>
      <c r="E63" s="1842">
        <v>0.09</v>
      </c>
      <c r="F63" s="1850"/>
    </row>
    <row r="64" spans="1:6" ht="14.25" thickBot="1">
      <c r="A64" s="1837" t="s">
        <v>922</v>
      </c>
      <c r="B64" s="1841" t="s">
        <v>1226</v>
      </c>
      <c r="C64" s="1842">
        <v>9.9000000000000005E-2</v>
      </c>
      <c r="D64" s="1842">
        <v>9.7000000000000003E-2</v>
      </c>
      <c r="E64" s="1842">
        <v>9.9000000000000005E-2</v>
      </c>
      <c r="F64" s="1850"/>
    </row>
    <row r="65" spans="1:6" ht="14.25" thickBot="1">
      <c r="A65" s="1837" t="s">
        <v>922</v>
      </c>
      <c r="B65" s="1841" t="s">
        <v>1236</v>
      </c>
      <c r="C65" s="1842">
        <v>9.8000000000000004E-2</v>
      </c>
      <c r="D65" s="1842">
        <v>9.6000000000000002E-2</v>
      </c>
      <c r="E65" s="1842">
        <v>9.6000000000000002E-2</v>
      </c>
      <c r="F65" s="1850"/>
    </row>
    <row r="66" spans="1:6" ht="14.25" thickBot="1">
      <c r="A66" s="1837" t="s">
        <v>922</v>
      </c>
      <c r="B66" s="1841" t="s">
        <v>1246</v>
      </c>
      <c r="C66" s="1842">
        <v>9.6000000000000002E-2</v>
      </c>
      <c r="D66" s="1842">
        <v>9.1999999999999998E-2</v>
      </c>
      <c r="E66" s="1842">
        <v>9.6000000000000002E-2</v>
      </c>
      <c r="F66" s="1850"/>
    </row>
    <row r="67" spans="1:6" ht="14.25" thickBot="1">
      <c r="A67" s="1837" t="s">
        <v>922</v>
      </c>
      <c r="B67" s="1841" t="s">
        <v>1256</v>
      </c>
      <c r="C67" s="1842">
        <v>9.4E-2</v>
      </c>
      <c r="D67" s="1842">
        <v>0.1</v>
      </c>
      <c r="E67" s="1842">
        <v>8.7999999999999995E-2</v>
      </c>
      <c r="F67" s="1850"/>
    </row>
    <row r="68" spans="1:6" ht="14.25" thickBot="1">
      <c r="A68" s="1837" t="s">
        <v>922</v>
      </c>
      <c r="B68" s="1841" t="s">
        <v>1265</v>
      </c>
      <c r="C68" s="1842">
        <v>0.1</v>
      </c>
      <c r="D68" s="1842">
        <v>8.7999999999999995E-2</v>
      </c>
      <c r="E68" s="1842">
        <v>9.7000000000000003E-2</v>
      </c>
      <c r="F68" s="1850"/>
    </row>
    <row r="69" spans="1:6" ht="14.25" thickBot="1">
      <c r="A69" s="1837" t="s">
        <v>922</v>
      </c>
      <c r="B69" s="1841" t="s">
        <v>1274</v>
      </c>
      <c r="C69" s="1842">
        <v>6.4000000000000001E-2</v>
      </c>
      <c r="D69" s="1842">
        <v>0.1</v>
      </c>
      <c r="E69" s="1842">
        <v>0.1</v>
      </c>
      <c r="F69" s="1850"/>
    </row>
    <row r="70" spans="1:6" ht="14.25" thickBot="1">
      <c r="A70" s="1837" t="s">
        <v>922</v>
      </c>
      <c r="B70" s="1841" t="s">
        <v>1282</v>
      </c>
      <c r="C70" s="1842">
        <v>9.0999999999999998E-2</v>
      </c>
      <c r="D70" s="1851"/>
      <c r="E70" s="1851"/>
      <c r="F70" s="1850"/>
    </row>
    <row r="71" spans="1:6" ht="14.25" thickBot="1">
      <c r="A71" s="1837" t="s">
        <v>922</v>
      </c>
      <c r="B71" s="1841" t="s">
        <v>1289</v>
      </c>
      <c r="C71" s="1842">
        <v>0.1</v>
      </c>
      <c r="D71" s="1851"/>
      <c r="E71" s="1851"/>
      <c r="F71" s="1850"/>
    </row>
    <row r="72" spans="1:6" ht="14.25" thickBot="1">
      <c r="A72" s="1837" t="s">
        <v>922</v>
      </c>
      <c r="B72" s="1841" t="s">
        <v>2085</v>
      </c>
      <c r="C72" s="1851"/>
      <c r="D72" s="1851"/>
      <c r="E72" s="1851"/>
      <c r="F72" s="1843">
        <v>0.05</v>
      </c>
    </row>
    <row r="73" spans="1:6" ht="14.25" thickBot="1">
      <c r="A73" s="1837" t="s">
        <v>922</v>
      </c>
      <c r="B73" s="1841" t="s">
        <v>2086</v>
      </c>
      <c r="C73" s="1851"/>
      <c r="D73" s="1851"/>
      <c r="E73" s="1851"/>
      <c r="F73" s="1843">
        <v>0.05</v>
      </c>
    </row>
    <row r="74" spans="1:6" ht="14.25" thickBot="1">
      <c r="A74" s="1837" t="s">
        <v>922</v>
      </c>
      <c r="B74" s="1841" t="s">
        <v>2087</v>
      </c>
      <c r="C74" s="1851"/>
      <c r="D74" s="1851"/>
      <c r="E74" s="1851"/>
      <c r="F74" s="1843">
        <v>0.05</v>
      </c>
    </row>
    <row r="75" spans="1:6" ht="14.25" thickBot="1">
      <c r="A75" s="1845" t="s">
        <v>922</v>
      </c>
      <c r="B75" s="1852" t="s">
        <v>2088</v>
      </c>
      <c r="C75" s="1848"/>
      <c r="D75" s="1848"/>
      <c r="E75" s="1848"/>
      <c r="F75" s="1853">
        <v>0.05</v>
      </c>
    </row>
    <row r="76" spans="1:6" ht="14.25" thickBot="1">
      <c r="A76" s="1837" t="s">
        <v>1404</v>
      </c>
      <c r="B76" s="1838" t="s">
        <v>2089</v>
      </c>
      <c r="C76" s="1839">
        <v>0.1</v>
      </c>
      <c r="D76" s="1839">
        <v>0.1</v>
      </c>
      <c r="E76" s="1839">
        <v>0.1</v>
      </c>
      <c r="F76" s="1840">
        <v>0.1</v>
      </c>
    </row>
    <row r="77" spans="1:6" ht="14.25" thickBot="1">
      <c r="A77" s="1837" t="s">
        <v>1404</v>
      </c>
      <c r="B77" s="1841" t="s">
        <v>1071</v>
      </c>
      <c r="C77" s="1842">
        <v>8.7999999999999995E-2</v>
      </c>
      <c r="D77" s="1842">
        <v>8.6999999999999994E-2</v>
      </c>
      <c r="E77" s="1842">
        <v>7.9000000000000001E-2</v>
      </c>
      <c r="F77" s="1843">
        <v>0.1</v>
      </c>
    </row>
    <row r="78" spans="1:6" ht="14.25" thickBot="1">
      <c r="A78" s="1837" t="s">
        <v>1404</v>
      </c>
      <c r="B78" s="1841" t="s">
        <v>1085</v>
      </c>
      <c r="C78" s="1842">
        <v>8.6999999999999994E-2</v>
      </c>
      <c r="D78" s="1842">
        <v>8.4000000000000005E-2</v>
      </c>
      <c r="E78" s="1842">
        <v>9.6000000000000002E-2</v>
      </c>
      <c r="F78" s="1843">
        <v>0.1</v>
      </c>
    </row>
    <row r="79" spans="1:6" ht="14.25" thickBot="1">
      <c r="A79" s="1837" t="s">
        <v>1404</v>
      </c>
      <c r="B79" s="1841" t="s">
        <v>1098</v>
      </c>
      <c r="C79" s="1842">
        <v>9.8000000000000004E-2</v>
      </c>
      <c r="D79" s="1842">
        <v>9.8000000000000004E-2</v>
      </c>
      <c r="E79" s="1842">
        <v>9.0999999999999998E-2</v>
      </c>
      <c r="F79" s="1843">
        <v>0.1</v>
      </c>
    </row>
    <row r="80" spans="1:6" ht="14.25" thickBot="1">
      <c r="A80" s="1837" t="s">
        <v>1404</v>
      </c>
      <c r="B80" s="1841" t="s">
        <v>1112</v>
      </c>
      <c r="C80" s="1842">
        <v>9.6000000000000002E-2</v>
      </c>
      <c r="D80" s="1842">
        <v>9.6000000000000002E-2</v>
      </c>
      <c r="E80" s="1842">
        <v>0.1</v>
      </c>
      <c r="F80" s="1843">
        <v>0.1</v>
      </c>
    </row>
    <row r="81" spans="1:6" ht="14.25" thickBot="1">
      <c r="A81" s="1837" t="s">
        <v>1404</v>
      </c>
      <c r="B81" s="1841" t="s">
        <v>1123</v>
      </c>
      <c r="C81" s="1842">
        <v>9.9000000000000005E-2</v>
      </c>
      <c r="D81" s="1842">
        <v>9.9000000000000005E-2</v>
      </c>
      <c r="E81" s="1842">
        <v>9.8000000000000004E-2</v>
      </c>
      <c r="F81" s="1843">
        <v>0.1</v>
      </c>
    </row>
    <row r="82" spans="1:6" ht="14.25" thickBot="1">
      <c r="A82" s="1837" t="s">
        <v>1404</v>
      </c>
      <c r="B82" s="1841" t="s">
        <v>1134</v>
      </c>
      <c r="C82" s="1842">
        <v>9.9000000000000005E-2</v>
      </c>
      <c r="D82" s="1842">
        <v>9.9000000000000005E-2</v>
      </c>
      <c r="E82" s="1842">
        <v>9.7000000000000003E-2</v>
      </c>
      <c r="F82" s="1843">
        <v>0.1</v>
      </c>
    </row>
    <row r="83" spans="1:6" ht="14.25" thickBot="1">
      <c r="A83" s="1837" t="s">
        <v>1404</v>
      </c>
      <c r="B83" s="1841" t="s">
        <v>1145</v>
      </c>
      <c r="C83" s="1842">
        <v>9.8000000000000004E-2</v>
      </c>
      <c r="D83" s="1842">
        <v>9.8000000000000004E-2</v>
      </c>
      <c r="E83" s="1842">
        <v>9.8000000000000004E-2</v>
      </c>
      <c r="F83" s="1843">
        <v>0.1</v>
      </c>
    </row>
    <row r="84" spans="1:6" ht="14.25" thickBot="1">
      <c r="A84" s="1837" t="s">
        <v>1404</v>
      </c>
      <c r="B84" s="1841" t="s">
        <v>1157</v>
      </c>
      <c r="C84" s="1842">
        <v>9.9000000000000005E-2</v>
      </c>
      <c r="D84" s="1842">
        <v>9.9000000000000005E-2</v>
      </c>
      <c r="E84" s="1842">
        <v>9.9000000000000005E-2</v>
      </c>
      <c r="F84" s="1843">
        <v>0.1</v>
      </c>
    </row>
    <row r="85" spans="1:6" ht="14.25" thickBot="1">
      <c r="A85" s="1837" t="s">
        <v>1404</v>
      </c>
      <c r="B85" s="1841" t="s">
        <v>1167</v>
      </c>
      <c r="C85" s="1842">
        <v>9.9000000000000005E-2</v>
      </c>
      <c r="D85" s="1842">
        <v>9.9000000000000005E-2</v>
      </c>
      <c r="E85" s="1842">
        <v>9.9000000000000005E-2</v>
      </c>
      <c r="F85" s="1843">
        <v>0.1</v>
      </c>
    </row>
    <row r="86" spans="1:6" ht="14.25" thickBot="1">
      <c r="A86" s="1837" t="s">
        <v>1404</v>
      </c>
      <c r="B86" s="1841" t="s">
        <v>1177</v>
      </c>
      <c r="C86" s="1842">
        <v>0.1</v>
      </c>
      <c r="D86" s="1842">
        <v>0.1</v>
      </c>
      <c r="E86" s="1842">
        <v>7.6999999999999999E-2</v>
      </c>
      <c r="F86" s="1843">
        <v>0.1</v>
      </c>
    </row>
    <row r="87" spans="1:6" ht="14.25" thickBot="1">
      <c r="A87" s="1837" t="s">
        <v>1404</v>
      </c>
      <c r="B87" s="1841" t="s">
        <v>1187</v>
      </c>
      <c r="C87" s="1842">
        <v>0.1</v>
      </c>
      <c r="D87" s="1842">
        <v>0.1</v>
      </c>
      <c r="E87" s="1842">
        <v>9.8000000000000004E-2</v>
      </c>
      <c r="F87" s="1850"/>
    </row>
    <row r="88" spans="1:6" ht="14.25" thickBot="1">
      <c r="A88" s="1837" t="s">
        <v>1404</v>
      </c>
      <c r="B88" s="1841" t="s">
        <v>1197</v>
      </c>
      <c r="C88" s="1842">
        <v>9.1999999999999998E-2</v>
      </c>
      <c r="D88" s="1842">
        <v>8.5000000000000006E-2</v>
      </c>
      <c r="E88" s="1842">
        <v>9.6000000000000002E-2</v>
      </c>
      <c r="F88" s="1850"/>
    </row>
    <row r="89" spans="1:6" ht="14.25" thickBot="1">
      <c r="A89" s="1837" t="s">
        <v>1404</v>
      </c>
      <c r="B89" s="1841" t="s">
        <v>1207</v>
      </c>
      <c r="C89" s="1842">
        <v>0.1</v>
      </c>
      <c r="D89" s="1842">
        <v>0.1</v>
      </c>
      <c r="E89" s="1842">
        <v>9.7000000000000003E-2</v>
      </c>
      <c r="F89" s="1850"/>
    </row>
    <row r="90" spans="1:6" ht="14.25" thickBot="1">
      <c r="A90" s="1837" t="s">
        <v>1404</v>
      </c>
      <c r="B90" s="1841" t="s">
        <v>1217</v>
      </c>
      <c r="C90" s="1842">
        <v>9.8000000000000004E-2</v>
      </c>
      <c r="D90" s="1842">
        <v>9.8000000000000004E-2</v>
      </c>
      <c r="E90" s="1842">
        <v>8.7999999999999995E-2</v>
      </c>
      <c r="F90" s="1850"/>
    </row>
    <row r="91" spans="1:6" ht="14.25" thickBot="1">
      <c r="A91" s="1837" t="s">
        <v>1404</v>
      </c>
      <c r="B91" s="1841" t="s">
        <v>1227</v>
      </c>
      <c r="C91" s="1842">
        <v>9.9000000000000005E-2</v>
      </c>
      <c r="D91" s="1842">
        <v>9.9000000000000005E-2</v>
      </c>
      <c r="E91" s="1842">
        <v>9.0999999999999998E-2</v>
      </c>
      <c r="F91" s="1850"/>
    </row>
    <row r="92" spans="1:6" ht="14.25" thickBot="1">
      <c r="A92" s="1837" t="s">
        <v>1404</v>
      </c>
      <c r="B92" s="1841" t="s">
        <v>1237</v>
      </c>
      <c r="C92" s="1842">
        <v>9.6000000000000002E-2</v>
      </c>
      <c r="D92" s="1842">
        <v>9.6000000000000002E-2</v>
      </c>
      <c r="E92" s="1842">
        <v>7.2999999999999995E-2</v>
      </c>
      <c r="F92" s="1850"/>
    </row>
    <row r="93" spans="1:6" ht="14.25" thickBot="1">
      <c r="A93" s="1837" t="s">
        <v>1404</v>
      </c>
      <c r="B93" s="1841" t="s">
        <v>1247</v>
      </c>
      <c r="C93" s="1842">
        <v>9.6000000000000002E-2</v>
      </c>
      <c r="D93" s="1842">
        <v>9.6000000000000002E-2</v>
      </c>
      <c r="E93" s="1842">
        <v>9.9000000000000005E-2</v>
      </c>
      <c r="F93" s="1850"/>
    </row>
    <row r="94" spans="1:6" ht="14.25" thickBot="1">
      <c r="A94" s="1837" t="s">
        <v>1404</v>
      </c>
      <c r="B94" s="1841" t="s">
        <v>1257</v>
      </c>
      <c r="C94" s="1842">
        <v>7.5999999999999998E-2</v>
      </c>
      <c r="D94" s="1842">
        <v>7.3999999999999996E-2</v>
      </c>
      <c r="E94" s="1842">
        <v>9.7000000000000003E-2</v>
      </c>
      <c r="F94" s="1850"/>
    </row>
    <row r="95" spans="1:6" ht="14.25" thickBot="1">
      <c r="A95" s="1837" t="s">
        <v>1404</v>
      </c>
      <c r="B95" s="1841" t="s">
        <v>1266</v>
      </c>
      <c r="C95" s="1842">
        <v>9.9000000000000005E-2</v>
      </c>
      <c r="D95" s="1842">
        <v>9.4E-2</v>
      </c>
      <c r="E95" s="1842">
        <v>9.6000000000000002E-2</v>
      </c>
      <c r="F95" s="1850"/>
    </row>
    <row r="96" spans="1:6" ht="14.25" thickBot="1">
      <c r="A96" s="1837" t="s">
        <v>1404</v>
      </c>
      <c r="B96" s="1841" t="s">
        <v>1275</v>
      </c>
      <c r="C96" s="1842">
        <v>9.9000000000000005E-2</v>
      </c>
      <c r="D96" s="1842">
        <v>9.9000000000000005E-2</v>
      </c>
      <c r="E96" s="1842">
        <v>9.9000000000000005E-2</v>
      </c>
      <c r="F96" s="1850"/>
    </row>
    <row r="97" spans="1:6" ht="14.25" thickBot="1">
      <c r="A97" s="1837" t="s">
        <v>1404</v>
      </c>
      <c r="B97" s="1841" t="s">
        <v>1283</v>
      </c>
      <c r="C97" s="1842">
        <v>9.8000000000000004E-2</v>
      </c>
      <c r="D97" s="1842">
        <v>9.8000000000000004E-2</v>
      </c>
      <c r="E97" s="1842">
        <v>9.7000000000000003E-2</v>
      </c>
      <c r="F97" s="1850"/>
    </row>
    <row r="98" spans="1:6" ht="14.25" thickBot="1">
      <c r="A98" s="1837" t="s">
        <v>1404</v>
      </c>
      <c r="B98" s="1841" t="s">
        <v>1290</v>
      </c>
      <c r="C98" s="1842">
        <v>0.1</v>
      </c>
      <c r="D98" s="1842">
        <v>0.1</v>
      </c>
      <c r="E98" s="1842">
        <v>9.7000000000000003E-2</v>
      </c>
      <c r="F98" s="1850"/>
    </row>
    <row r="99" spans="1:6" ht="14.25" thickBot="1">
      <c r="A99" s="1837" t="s">
        <v>1404</v>
      </c>
      <c r="B99" s="1841" t="s">
        <v>1297</v>
      </c>
      <c r="C99" s="1842">
        <v>0.1</v>
      </c>
      <c r="D99" s="1842">
        <v>0.1</v>
      </c>
      <c r="E99" s="1851"/>
      <c r="F99" s="1850"/>
    </row>
    <row r="100" spans="1:6" ht="14.25" thickBot="1">
      <c r="A100" s="1837" t="s">
        <v>1404</v>
      </c>
      <c r="B100" s="1841" t="s">
        <v>1304</v>
      </c>
      <c r="C100" s="1842">
        <v>0.09</v>
      </c>
      <c r="D100" s="1842">
        <v>8.8999999999999996E-2</v>
      </c>
      <c r="E100" s="1851"/>
      <c r="F100" s="1850"/>
    </row>
    <row r="101" spans="1:6" ht="14.25" thickBot="1">
      <c r="A101" s="1837" t="s">
        <v>1404</v>
      </c>
      <c r="B101" s="1841" t="s">
        <v>1311</v>
      </c>
      <c r="C101" s="1842">
        <v>9.8000000000000004E-2</v>
      </c>
      <c r="D101" s="1842">
        <v>9.7000000000000003E-2</v>
      </c>
      <c r="E101" s="1851"/>
      <c r="F101" s="1850"/>
    </row>
    <row r="102" spans="1:6" ht="14.25" thickBot="1">
      <c r="A102" s="1837" t="s">
        <v>1404</v>
      </c>
      <c r="B102" s="1841" t="s">
        <v>2090</v>
      </c>
      <c r="C102" s="1851"/>
      <c r="D102" s="1851"/>
      <c r="E102" s="1851"/>
      <c r="F102" s="1843">
        <v>0.05</v>
      </c>
    </row>
    <row r="103" spans="1:6" ht="24.75" thickBot="1">
      <c r="A103" s="1837" t="s">
        <v>1404</v>
      </c>
      <c r="B103" s="1841" t="s">
        <v>2091</v>
      </c>
      <c r="C103" s="1851"/>
      <c r="D103" s="1851"/>
      <c r="E103" s="1851"/>
      <c r="F103" s="1843">
        <v>0.05</v>
      </c>
    </row>
    <row r="104" spans="1:6" ht="14.25" thickBot="1">
      <c r="A104" s="1837" t="s">
        <v>1404</v>
      </c>
      <c r="B104" s="1841" t="s">
        <v>2092</v>
      </c>
      <c r="C104" s="1851"/>
      <c r="D104" s="1851"/>
      <c r="E104" s="1851"/>
      <c r="F104" s="1843">
        <v>0.05</v>
      </c>
    </row>
    <row r="105" spans="1:6" ht="14.25" thickBot="1">
      <c r="A105" s="1837" t="s">
        <v>1404</v>
      </c>
      <c r="B105" s="1841" t="s">
        <v>2093</v>
      </c>
      <c r="C105" s="1851"/>
      <c r="D105" s="1851"/>
      <c r="E105" s="1851"/>
      <c r="F105" s="1843">
        <v>0.05</v>
      </c>
    </row>
    <row r="106" spans="1:6" ht="14.25" thickBot="1">
      <c r="A106" s="1837" t="s">
        <v>1404</v>
      </c>
      <c r="B106" s="1841" t="s">
        <v>2094</v>
      </c>
      <c r="C106" s="1851"/>
      <c r="D106" s="1851"/>
      <c r="E106" s="1851"/>
      <c r="F106" s="1843">
        <v>0.05</v>
      </c>
    </row>
    <row r="107" spans="1:6" ht="24.75" thickBot="1">
      <c r="A107" s="1837" t="s">
        <v>1404</v>
      </c>
      <c r="B107" s="1841" t="s">
        <v>2095</v>
      </c>
      <c r="C107" s="1851"/>
      <c r="D107" s="1851"/>
      <c r="E107" s="1851"/>
      <c r="F107" s="1843">
        <v>0.05</v>
      </c>
    </row>
    <row r="108" spans="1:6" ht="24.75" thickBot="1">
      <c r="A108" s="1837" t="s">
        <v>1404</v>
      </c>
      <c r="B108" s="1841" t="s">
        <v>2096</v>
      </c>
      <c r="C108" s="1851"/>
      <c r="D108" s="1851"/>
      <c r="E108" s="1851"/>
      <c r="F108" s="1843">
        <v>0.05</v>
      </c>
    </row>
    <row r="109" spans="1:6" ht="24.75" thickBot="1">
      <c r="A109" s="1845" t="s">
        <v>1404</v>
      </c>
      <c r="B109" s="1852" t="s">
        <v>2097</v>
      </c>
      <c r="C109" s="1848"/>
      <c r="D109" s="1848"/>
      <c r="E109" s="1848"/>
      <c r="F109" s="1853">
        <v>0.05</v>
      </c>
    </row>
    <row r="110" spans="1:6" ht="14.25" thickBot="1">
      <c r="A110" s="1837" t="s">
        <v>1406</v>
      </c>
      <c r="B110" s="1838" t="s">
        <v>2098</v>
      </c>
      <c r="C110" s="1839">
        <v>0.129</v>
      </c>
      <c r="D110" s="1839">
        <v>0.129</v>
      </c>
      <c r="E110" s="1839">
        <v>0.126</v>
      </c>
      <c r="F110" s="1840">
        <v>0.13</v>
      </c>
    </row>
    <row r="111" spans="1:6" ht="14.25" thickBot="1">
      <c r="A111" s="1837" t="s">
        <v>1406</v>
      </c>
      <c r="B111" s="1841" t="s">
        <v>1072</v>
      </c>
      <c r="C111" s="1842">
        <v>0.11</v>
      </c>
      <c r="D111" s="1842">
        <v>0.11</v>
      </c>
      <c r="E111" s="1842">
        <v>9.9000000000000005E-2</v>
      </c>
      <c r="F111" s="1843">
        <v>0.128</v>
      </c>
    </row>
    <row r="112" spans="1:6" ht="14.25" thickBot="1">
      <c r="A112" s="1837" t="s">
        <v>1406</v>
      </c>
      <c r="B112" s="1841" t="s">
        <v>1086</v>
      </c>
      <c r="C112" s="1842">
        <v>0.125</v>
      </c>
      <c r="D112" s="1842">
        <v>0.125</v>
      </c>
      <c r="E112" s="1842">
        <v>0.12</v>
      </c>
      <c r="F112" s="1843">
        <v>0.125</v>
      </c>
    </row>
    <row r="113" spans="1:6" ht="14.25" thickBot="1">
      <c r="A113" s="1837" t="s">
        <v>1406</v>
      </c>
      <c r="B113" s="1841" t="s">
        <v>1099</v>
      </c>
      <c r="C113" s="1842">
        <v>0.13</v>
      </c>
      <c r="D113" s="1842">
        <v>0.13</v>
      </c>
      <c r="E113" s="1842">
        <v>0.13</v>
      </c>
      <c r="F113" s="1843">
        <v>0.13</v>
      </c>
    </row>
    <row r="114" spans="1:6" ht="14.25" thickBot="1">
      <c r="A114" s="1837" t="s">
        <v>1406</v>
      </c>
      <c r="B114" s="1841" t="s">
        <v>1113</v>
      </c>
      <c r="C114" s="1842">
        <v>0.123</v>
      </c>
      <c r="D114" s="1842">
        <v>0.123</v>
      </c>
      <c r="E114" s="1842">
        <v>0.12</v>
      </c>
      <c r="F114" s="1843">
        <v>0.13</v>
      </c>
    </row>
    <row r="115" spans="1:6" ht="14.25" thickBot="1">
      <c r="A115" s="1837" t="s">
        <v>1406</v>
      </c>
      <c r="B115" s="1841" t="s">
        <v>1124</v>
      </c>
      <c r="C115" s="1842">
        <v>0.125</v>
      </c>
      <c r="D115" s="1842">
        <v>0.125</v>
      </c>
      <c r="E115" s="1842">
        <v>0.11700000000000001</v>
      </c>
      <c r="F115" s="1843">
        <v>0.13</v>
      </c>
    </row>
    <row r="116" spans="1:6" ht="14.25" thickBot="1">
      <c r="A116" s="1837" t="s">
        <v>1406</v>
      </c>
      <c r="B116" s="1841" t="s">
        <v>1135</v>
      </c>
      <c r="C116" s="1842">
        <v>0.11700000000000001</v>
      </c>
      <c r="D116" s="1842">
        <v>0.11700000000000001</v>
      </c>
      <c r="E116" s="1842">
        <v>8.7999999999999995E-2</v>
      </c>
      <c r="F116" s="1843">
        <v>0.13</v>
      </c>
    </row>
    <row r="117" spans="1:6" ht="14.25" thickBot="1">
      <c r="A117" s="1837" t="s">
        <v>1406</v>
      </c>
      <c r="B117" s="1841" t="s">
        <v>1146</v>
      </c>
      <c r="C117" s="1842">
        <v>0.13</v>
      </c>
      <c r="D117" s="1842">
        <v>0.13</v>
      </c>
      <c r="E117" s="1842">
        <v>0.129</v>
      </c>
      <c r="F117" s="1843">
        <v>0.13</v>
      </c>
    </row>
    <row r="118" spans="1:6" ht="14.25" thickBot="1">
      <c r="A118" s="1837" t="s">
        <v>1406</v>
      </c>
      <c r="B118" s="1841" t="s">
        <v>1158</v>
      </c>
      <c r="C118" s="1842">
        <v>0.123</v>
      </c>
      <c r="D118" s="1842">
        <v>0.123</v>
      </c>
      <c r="E118" s="1842">
        <v>0.11600000000000001</v>
      </c>
      <c r="F118" s="1843">
        <v>0.13</v>
      </c>
    </row>
    <row r="119" spans="1:6" ht="14.25" thickBot="1">
      <c r="A119" s="1837" t="s">
        <v>1406</v>
      </c>
      <c r="B119" s="1841" t="s">
        <v>1168</v>
      </c>
      <c r="C119" s="1842">
        <v>0.127</v>
      </c>
      <c r="D119" s="1842">
        <v>0.127</v>
      </c>
      <c r="E119" s="1842">
        <v>0.124</v>
      </c>
      <c r="F119" s="1843">
        <v>0.13</v>
      </c>
    </row>
    <row r="120" spans="1:6" ht="14.25" thickBot="1">
      <c r="A120" s="1837" t="s">
        <v>1406</v>
      </c>
      <c r="B120" s="1841" t="s">
        <v>1178</v>
      </c>
      <c r="C120" s="1842">
        <v>0.125</v>
      </c>
      <c r="D120" s="1842">
        <v>0.125</v>
      </c>
      <c r="E120" s="1842">
        <v>0.122</v>
      </c>
      <c r="F120" s="1843">
        <v>0.13</v>
      </c>
    </row>
    <row r="121" spans="1:6" ht="14.25" thickBot="1">
      <c r="A121" s="1837" t="s">
        <v>1406</v>
      </c>
      <c r="B121" s="1841" t="s">
        <v>1188</v>
      </c>
      <c r="C121" s="1842">
        <v>0.13</v>
      </c>
      <c r="D121" s="1842">
        <v>0.13</v>
      </c>
      <c r="E121" s="1842">
        <v>0.13</v>
      </c>
      <c r="F121" s="1843">
        <v>0.13</v>
      </c>
    </row>
    <row r="122" spans="1:6" ht="14.25" thickBot="1">
      <c r="A122" s="1837" t="s">
        <v>1406</v>
      </c>
      <c r="B122" s="1841" t="s">
        <v>1198</v>
      </c>
      <c r="C122" s="1842">
        <v>0.13</v>
      </c>
      <c r="D122" s="1842">
        <v>0.13</v>
      </c>
      <c r="E122" s="1842">
        <v>0.125</v>
      </c>
      <c r="F122" s="1843">
        <v>0.13</v>
      </c>
    </row>
    <row r="123" spans="1:6" ht="14.25" thickBot="1">
      <c r="A123" s="1837" t="s">
        <v>1406</v>
      </c>
      <c r="B123" s="1841" t="s">
        <v>1208</v>
      </c>
      <c r="C123" s="1842">
        <v>0.129</v>
      </c>
      <c r="D123" s="1842">
        <v>0.129</v>
      </c>
      <c r="E123" s="1842">
        <v>0.123</v>
      </c>
      <c r="F123" s="1843">
        <v>0.13</v>
      </c>
    </row>
    <row r="124" spans="1:6" ht="14.25" thickBot="1">
      <c r="A124" s="1837" t="s">
        <v>1406</v>
      </c>
      <c r="B124" s="1841" t="s">
        <v>1218</v>
      </c>
      <c r="C124" s="1842">
        <v>0.10199999999999999</v>
      </c>
      <c r="D124" s="1842">
        <v>0.10100000000000001</v>
      </c>
      <c r="E124" s="1842">
        <v>0.08</v>
      </c>
      <c r="F124" s="1850"/>
    </row>
    <row r="125" spans="1:6" ht="14.25" thickBot="1">
      <c r="A125" s="1837" t="s">
        <v>1406</v>
      </c>
      <c r="B125" s="1841" t="s">
        <v>1228</v>
      </c>
      <c r="C125" s="1842">
        <v>0.13</v>
      </c>
      <c r="D125" s="1842">
        <v>0.13</v>
      </c>
      <c r="E125" s="1842">
        <v>0.129</v>
      </c>
      <c r="F125" s="1850"/>
    </row>
    <row r="126" spans="1:6" ht="14.25" thickBot="1">
      <c r="A126" s="1837" t="s">
        <v>1406</v>
      </c>
      <c r="B126" s="1841" t="s">
        <v>1238</v>
      </c>
      <c r="C126" s="1842">
        <v>0.13</v>
      </c>
      <c r="D126" s="1842">
        <v>0.13</v>
      </c>
      <c r="E126" s="1842">
        <v>0.126</v>
      </c>
      <c r="F126" s="1850"/>
    </row>
    <row r="127" spans="1:6" ht="14.25" thickBot="1">
      <c r="A127" s="1837" t="s">
        <v>1406</v>
      </c>
      <c r="B127" s="1841" t="s">
        <v>1248</v>
      </c>
      <c r="C127" s="1842">
        <v>0.125</v>
      </c>
      <c r="D127" s="1842">
        <v>0.125</v>
      </c>
      <c r="E127" s="1842">
        <v>0.121</v>
      </c>
      <c r="F127" s="1850"/>
    </row>
    <row r="128" spans="1:6" ht="14.25" thickBot="1">
      <c r="A128" s="1837" t="s">
        <v>1406</v>
      </c>
      <c r="B128" s="1841" t="s">
        <v>1258</v>
      </c>
      <c r="C128" s="1842">
        <v>0.12</v>
      </c>
      <c r="D128" s="1842">
        <v>0.12</v>
      </c>
      <c r="E128" s="1842">
        <v>0.105</v>
      </c>
      <c r="F128" s="1850"/>
    </row>
    <row r="129" spans="1:6" ht="14.25" thickBot="1">
      <c r="A129" s="1837" t="s">
        <v>1406</v>
      </c>
      <c r="B129" s="1841" t="s">
        <v>1267</v>
      </c>
      <c r="C129" s="1842">
        <v>0.13</v>
      </c>
      <c r="D129" s="1842">
        <v>0.13</v>
      </c>
      <c r="E129" s="1842">
        <v>0.126</v>
      </c>
      <c r="F129" s="1850"/>
    </row>
    <row r="130" spans="1:6" ht="14.25" thickBot="1">
      <c r="A130" s="1837" t="s">
        <v>1406</v>
      </c>
      <c r="B130" s="1841" t="s">
        <v>1276</v>
      </c>
      <c r="C130" s="1842">
        <v>0.125</v>
      </c>
      <c r="D130" s="1842">
        <v>0.125</v>
      </c>
      <c r="E130" s="1842">
        <v>0.122</v>
      </c>
      <c r="F130" s="1850"/>
    </row>
    <row r="131" spans="1:6" ht="14.25" thickBot="1">
      <c r="A131" s="1837" t="s">
        <v>1406</v>
      </c>
      <c r="B131" s="1841" t="s">
        <v>1284</v>
      </c>
      <c r="C131" s="1842">
        <v>0.127</v>
      </c>
      <c r="D131" s="1842">
        <v>0.126</v>
      </c>
      <c r="E131" s="1842">
        <v>0.123</v>
      </c>
      <c r="F131" s="1850"/>
    </row>
    <row r="132" spans="1:6" ht="14.25" thickBot="1">
      <c r="A132" s="1837" t="s">
        <v>1406</v>
      </c>
      <c r="B132" s="1841" t="s">
        <v>1291</v>
      </c>
      <c r="C132" s="1842">
        <v>9.0999999999999998E-2</v>
      </c>
      <c r="D132" s="1842">
        <v>0.121</v>
      </c>
      <c r="E132" s="1842">
        <v>9.9000000000000005E-2</v>
      </c>
      <c r="F132" s="1850"/>
    </row>
    <row r="133" spans="1:6" ht="14.25" thickBot="1">
      <c r="A133" s="1837" t="s">
        <v>1406</v>
      </c>
      <c r="B133" s="1841" t="s">
        <v>1298</v>
      </c>
      <c r="C133" s="1842">
        <v>0.13</v>
      </c>
      <c r="D133" s="1842">
        <v>0.13</v>
      </c>
      <c r="E133" s="1842">
        <v>0.129</v>
      </c>
      <c r="F133" s="1850"/>
    </row>
    <row r="134" spans="1:6" ht="14.25" thickBot="1">
      <c r="A134" s="1837" t="s">
        <v>1406</v>
      </c>
      <c r="B134" s="1841" t="s">
        <v>2099</v>
      </c>
      <c r="C134" s="1842">
        <v>6.8000000000000005E-2</v>
      </c>
      <c r="D134" s="1842">
        <v>6.5000000000000002E-2</v>
      </c>
      <c r="E134" s="1842">
        <v>6.5000000000000002E-2</v>
      </c>
      <c r="F134" s="1843">
        <v>0.13</v>
      </c>
    </row>
    <row r="135" spans="1:6" ht="14.25" thickBot="1">
      <c r="A135" s="1837" t="s">
        <v>1406</v>
      </c>
      <c r="B135" s="1841" t="s">
        <v>1312</v>
      </c>
      <c r="C135" s="1842">
        <v>0.123</v>
      </c>
      <c r="D135" s="1842">
        <v>0.123</v>
      </c>
      <c r="E135" s="1842">
        <v>0.11</v>
      </c>
      <c r="F135" s="1850"/>
    </row>
    <row r="136" spans="1:6" ht="14.25" thickBot="1">
      <c r="A136" s="1837" t="s">
        <v>1406</v>
      </c>
      <c r="B136" s="1841" t="s">
        <v>1319</v>
      </c>
      <c r="C136" s="1842">
        <v>0.13</v>
      </c>
      <c r="D136" s="1842">
        <v>0.13</v>
      </c>
      <c r="E136" s="1842">
        <v>0.125</v>
      </c>
      <c r="F136" s="1850"/>
    </row>
    <row r="137" spans="1:6" ht="14.25" thickBot="1">
      <c r="A137" s="1837" t="s">
        <v>1406</v>
      </c>
      <c r="B137" s="1841" t="s">
        <v>1326</v>
      </c>
      <c r="C137" s="1842">
        <v>0.121</v>
      </c>
      <c r="D137" s="1842">
        <v>0.122</v>
      </c>
      <c r="E137" s="1842">
        <v>0.115</v>
      </c>
      <c r="F137" s="1850"/>
    </row>
    <row r="138" spans="1:6" ht="14.25" thickBot="1">
      <c r="A138" s="1837" t="s">
        <v>1406</v>
      </c>
      <c r="B138" s="1841" t="s">
        <v>2100</v>
      </c>
      <c r="C138" s="1842">
        <v>0.105</v>
      </c>
      <c r="D138" s="1842">
        <v>0.125</v>
      </c>
      <c r="E138" s="1842">
        <v>0.112</v>
      </c>
      <c r="F138" s="1850"/>
    </row>
    <row r="139" spans="1:6" ht="14.25" thickBot="1">
      <c r="A139" s="1837" t="s">
        <v>1406</v>
      </c>
      <c r="B139" s="1841" t="s">
        <v>2101</v>
      </c>
      <c r="C139" s="1842">
        <v>0.127</v>
      </c>
      <c r="D139" s="1842">
        <v>0.127</v>
      </c>
      <c r="E139" s="1842">
        <v>0.122</v>
      </c>
      <c r="F139" s="1843">
        <v>0.13</v>
      </c>
    </row>
    <row r="140" spans="1:6" ht="14.25" thickBot="1">
      <c r="A140" s="1837" t="s">
        <v>1406</v>
      </c>
      <c r="B140" s="1841" t="s">
        <v>2102</v>
      </c>
      <c r="C140" s="1842">
        <v>0.125</v>
      </c>
      <c r="D140" s="1842">
        <v>0.125</v>
      </c>
      <c r="E140" s="1842">
        <v>0.11899999999999999</v>
      </c>
      <c r="F140" s="1843">
        <v>0.13</v>
      </c>
    </row>
    <row r="141" spans="1:6" ht="14.25" thickBot="1">
      <c r="A141" s="1837" t="s">
        <v>1406</v>
      </c>
      <c r="B141" s="1841" t="s">
        <v>1345</v>
      </c>
      <c r="C141" s="1842">
        <v>0.125</v>
      </c>
      <c r="D141" s="1842">
        <v>0.125</v>
      </c>
      <c r="E141" s="1842">
        <v>0.11700000000000001</v>
      </c>
      <c r="F141" s="1850"/>
    </row>
    <row r="142" spans="1:6" ht="14.25" thickBot="1">
      <c r="A142" s="1837" t="s">
        <v>1406</v>
      </c>
      <c r="B142" s="1841" t="s">
        <v>1350</v>
      </c>
      <c r="C142" s="1842">
        <v>0.125</v>
      </c>
      <c r="D142" s="1842">
        <v>0.125</v>
      </c>
      <c r="E142" s="1842">
        <v>0.115</v>
      </c>
      <c r="F142" s="1850"/>
    </row>
    <row r="143" spans="1:6" ht="14.25" thickBot="1">
      <c r="A143" s="1837" t="s">
        <v>1406</v>
      </c>
      <c r="B143" s="1841" t="s">
        <v>1355</v>
      </c>
      <c r="C143" s="1842">
        <v>0.121</v>
      </c>
      <c r="D143" s="1842">
        <v>0.121</v>
      </c>
      <c r="E143" s="1842">
        <v>0.108</v>
      </c>
      <c r="F143" s="1850"/>
    </row>
    <row r="144" spans="1:6" ht="14.25" thickBot="1">
      <c r="A144" s="1837" t="s">
        <v>1406</v>
      </c>
      <c r="B144" s="1854" t="s">
        <v>2103</v>
      </c>
      <c r="C144" s="1855">
        <v>0.126</v>
      </c>
      <c r="D144" s="1855">
        <v>0.126</v>
      </c>
      <c r="E144" s="1855">
        <v>0.121</v>
      </c>
      <c r="F144" s="1850"/>
    </row>
    <row r="145" spans="1:6" ht="14.25" thickBot="1">
      <c r="A145" s="1845" t="s">
        <v>1406</v>
      </c>
      <c r="B145" s="1856" t="s">
        <v>2104</v>
      </c>
      <c r="C145" s="1857"/>
      <c r="D145" s="1857"/>
      <c r="E145" s="1857"/>
      <c r="F145" s="1858">
        <v>0.05</v>
      </c>
    </row>
    <row r="146" spans="1:6" ht="24.75" thickBot="1">
      <c r="A146" s="1859" t="s">
        <v>1406</v>
      </c>
      <c r="B146" s="1844" t="s">
        <v>2105</v>
      </c>
      <c r="C146" s="1851"/>
      <c r="D146" s="1851"/>
      <c r="E146" s="1851"/>
      <c r="F146" s="1860">
        <v>0.05</v>
      </c>
    </row>
    <row r="147" spans="1:6" ht="24.75" thickBot="1">
      <c r="A147" s="1837" t="s">
        <v>1406</v>
      </c>
      <c r="B147" s="1841" t="s">
        <v>2106</v>
      </c>
      <c r="C147" s="1851"/>
      <c r="D147" s="1851"/>
      <c r="E147" s="1851"/>
      <c r="F147" s="1843">
        <v>0.05</v>
      </c>
    </row>
    <row r="148" spans="1:6" ht="24.75" thickBot="1">
      <c r="A148" s="1837" t="s">
        <v>1406</v>
      </c>
      <c r="B148" s="1841" t="s">
        <v>2107</v>
      </c>
      <c r="C148" s="1851"/>
      <c r="D148" s="1851"/>
      <c r="E148" s="1851"/>
      <c r="F148" s="1843">
        <v>0.05</v>
      </c>
    </row>
    <row r="149" spans="1:6" ht="24.75" thickBot="1">
      <c r="A149" s="1837" t="s">
        <v>1406</v>
      </c>
      <c r="B149" s="1841" t="s">
        <v>2108</v>
      </c>
      <c r="C149" s="1851"/>
      <c r="D149" s="1851"/>
      <c r="E149" s="1851"/>
      <c r="F149" s="1843">
        <v>0.05</v>
      </c>
    </row>
    <row r="150" spans="1:6" ht="24.75" thickBot="1">
      <c r="A150" s="1837" t="s">
        <v>1406</v>
      </c>
      <c r="B150" s="1841" t="s">
        <v>2109</v>
      </c>
      <c r="C150" s="1851"/>
      <c r="D150" s="1851"/>
      <c r="E150" s="1851"/>
      <c r="F150" s="1843">
        <v>0.05</v>
      </c>
    </row>
    <row r="151" spans="1:6" ht="24.75" thickBot="1">
      <c r="A151" s="1837" t="s">
        <v>1406</v>
      </c>
      <c r="B151" s="1841" t="s">
        <v>2110</v>
      </c>
      <c r="C151" s="1851"/>
      <c r="D151" s="1851"/>
      <c r="E151" s="1851"/>
      <c r="F151" s="1843">
        <v>0.05</v>
      </c>
    </row>
    <row r="152" spans="1:6" ht="24.75" thickBot="1">
      <c r="A152" s="1837" t="s">
        <v>1406</v>
      </c>
      <c r="B152" s="1841" t="s">
        <v>1388</v>
      </c>
      <c r="C152" s="1851"/>
      <c r="D152" s="1851"/>
      <c r="E152" s="1851"/>
      <c r="F152" s="1843">
        <v>0.05</v>
      </c>
    </row>
    <row r="153" spans="1:6" ht="14.25" thickBot="1">
      <c r="A153" s="1837" t="s">
        <v>1406</v>
      </c>
      <c r="B153" s="1841" t="s">
        <v>2111</v>
      </c>
      <c r="C153" s="1851"/>
      <c r="D153" s="1851"/>
      <c r="E153" s="1851"/>
      <c r="F153" s="1843">
        <v>0.05</v>
      </c>
    </row>
    <row r="154" spans="1:6" ht="14.25" thickBot="1">
      <c r="A154" s="1837" t="s">
        <v>1406</v>
      </c>
      <c r="B154" s="1841" t="s">
        <v>2112</v>
      </c>
      <c r="C154" s="1851"/>
      <c r="D154" s="1851"/>
      <c r="E154" s="1851"/>
      <c r="F154" s="1843">
        <v>0.05</v>
      </c>
    </row>
    <row r="155" spans="1:6" ht="24.75" thickBot="1">
      <c r="A155" s="1837" t="s">
        <v>1406</v>
      </c>
      <c r="B155" s="1841" t="s">
        <v>2113</v>
      </c>
      <c r="C155" s="1851"/>
      <c r="D155" s="1851"/>
      <c r="E155" s="1851"/>
      <c r="F155" s="1843">
        <v>0.05</v>
      </c>
    </row>
    <row r="156" spans="1:6" ht="24.75" thickBot="1">
      <c r="A156" s="1837" t="s">
        <v>1406</v>
      </c>
      <c r="B156" s="1841" t="s">
        <v>2114</v>
      </c>
      <c r="C156" s="1851"/>
      <c r="D156" s="1851"/>
      <c r="E156" s="1851"/>
      <c r="F156" s="1843">
        <v>0.05</v>
      </c>
    </row>
    <row r="157" spans="1:6" ht="14.25" thickBot="1">
      <c r="A157" s="1845" t="s">
        <v>1406</v>
      </c>
      <c r="B157" s="1852" t="s">
        <v>2115</v>
      </c>
      <c r="C157" s="1848"/>
      <c r="D157" s="1848"/>
      <c r="E157" s="1848"/>
      <c r="F157" s="1853">
        <v>0.05</v>
      </c>
    </row>
    <row r="158" spans="1:6" ht="14.25" thickBot="1">
      <c r="A158" s="1837" t="s">
        <v>1408</v>
      </c>
      <c r="B158" s="1838" t="s">
        <v>2116</v>
      </c>
      <c r="C158" s="1839">
        <v>0.13</v>
      </c>
      <c r="D158" s="1839">
        <v>0.13</v>
      </c>
      <c r="E158" s="1839">
        <v>0.13</v>
      </c>
      <c r="F158" s="1840">
        <v>0.13</v>
      </c>
    </row>
    <row r="159" spans="1:6" ht="14.25" thickBot="1">
      <c r="A159" s="1837" t="s">
        <v>1408</v>
      </c>
      <c r="B159" s="1841" t="s">
        <v>1073</v>
      </c>
      <c r="C159" s="1842">
        <v>0.13</v>
      </c>
      <c r="D159" s="1842">
        <v>0.13</v>
      </c>
      <c r="E159" s="1842">
        <v>0.13</v>
      </c>
      <c r="F159" s="1843">
        <v>0.13</v>
      </c>
    </row>
    <row r="160" spans="1:6" ht="14.25" thickBot="1">
      <c r="A160" s="1837" t="s">
        <v>1408</v>
      </c>
      <c r="B160" s="1841" t="s">
        <v>1087</v>
      </c>
      <c r="C160" s="1842">
        <v>0.13</v>
      </c>
      <c r="D160" s="1842">
        <v>0.13</v>
      </c>
      <c r="E160" s="1842">
        <v>0.129</v>
      </c>
      <c r="F160" s="1843">
        <v>0.13</v>
      </c>
    </row>
    <row r="161" spans="1:6" ht="14.25" thickBot="1">
      <c r="A161" s="1837" t="s">
        <v>1408</v>
      </c>
      <c r="B161" s="1841" t="s">
        <v>1100</v>
      </c>
      <c r="C161" s="1842">
        <v>0.128</v>
      </c>
      <c r="D161" s="1842">
        <v>0.128</v>
      </c>
      <c r="E161" s="1842">
        <v>0.125</v>
      </c>
      <c r="F161" s="1843">
        <v>0.13</v>
      </c>
    </row>
    <row r="162" spans="1:6" ht="14.25" thickBot="1">
      <c r="A162" s="1837" t="s">
        <v>1408</v>
      </c>
      <c r="B162" s="1841" t="s">
        <v>1114</v>
      </c>
      <c r="C162" s="1842">
        <v>0.122</v>
      </c>
      <c r="D162" s="1842">
        <v>0.122</v>
      </c>
      <c r="E162" s="1842">
        <v>0.126</v>
      </c>
      <c r="F162" s="1843">
        <v>0.122</v>
      </c>
    </row>
    <row r="163" spans="1:6" ht="14.25" thickBot="1">
      <c r="A163" s="1837" t="s">
        <v>1408</v>
      </c>
      <c r="B163" s="1841" t="s">
        <v>1125</v>
      </c>
      <c r="C163" s="1842">
        <v>0.13</v>
      </c>
      <c r="D163" s="1842">
        <v>0.13</v>
      </c>
      <c r="E163" s="1842">
        <v>0.125</v>
      </c>
      <c r="F163" s="1843">
        <v>0.13</v>
      </c>
    </row>
    <row r="164" spans="1:6" ht="14.25" thickBot="1">
      <c r="A164" s="1837" t="s">
        <v>1408</v>
      </c>
      <c r="B164" s="1841" t="s">
        <v>1136</v>
      </c>
      <c r="C164" s="1842">
        <v>0.13</v>
      </c>
      <c r="D164" s="1842">
        <v>0.13</v>
      </c>
      <c r="E164" s="1842">
        <v>0.13</v>
      </c>
      <c r="F164" s="1843">
        <v>0.13</v>
      </c>
    </row>
    <row r="165" spans="1:6" ht="14.25" thickBot="1">
      <c r="A165" s="1837" t="s">
        <v>1408</v>
      </c>
      <c r="B165" s="1841" t="s">
        <v>1147</v>
      </c>
      <c r="C165" s="1842">
        <v>0.13</v>
      </c>
      <c r="D165" s="1842">
        <v>0.13</v>
      </c>
      <c r="E165" s="1842">
        <v>0.124</v>
      </c>
      <c r="F165" s="1843">
        <v>0.13</v>
      </c>
    </row>
    <row r="166" spans="1:6" ht="14.25" thickBot="1">
      <c r="A166" s="1837" t="s">
        <v>1408</v>
      </c>
      <c r="B166" s="1841" t="s">
        <v>1159</v>
      </c>
      <c r="C166" s="1842">
        <v>0.13</v>
      </c>
      <c r="D166" s="1842">
        <v>0.13</v>
      </c>
      <c r="E166" s="1842">
        <v>0.13</v>
      </c>
      <c r="F166" s="1843">
        <v>0.13</v>
      </c>
    </row>
    <row r="167" spans="1:6" ht="14.25" thickBot="1">
      <c r="A167" s="1837" t="s">
        <v>1408</v>
      </c>
      <c r="B167" s="1841" t="s">
        <v>1169</v>
      </c>
      <c r="C167" s="1842">
        <v>0.125</v>
      </c>
      <c r="D167" s="1842">
        <v>0.125</v>
      </c>
      <c r="E167" s="1842">
        <v>0.121</v>
      </c>
      <c r="F167" s="1850"/>
    </row>
    <row r="168" spans="1:6" ht="14.25" thickBot="1">
      <c r="A168" s="1837" t="s">
        <v>1408</v>
      </c>
      <c r="B168" s="1841" t="s">
        <v>1179</v>
      </c>
      <c r="C168" s="1842">
        <v>0.13</v>
      </c>
      <c r="D168" s="1842">
        <v>0.13</v>
      </c>
      <c r="E168" s="1842">
        <v>0.126</v>
      </c>
      <c r="F168" s="1850"/>
    </row>
    <row r="169" spans="1:6" ht="14.25" thickBot="1">
      <c r="A169" s="1837" t="s">
        <v>1408</v>
      </c>
      <c r="B169" s="1841" t="s">
        <v>1189</v>
      </c>
      <c r="C169" s="1842">
        <v>0.128</v>
      </c>
      <c r="D169" s="1842">
        <v>0.129</v>
      </c>
      <c r="E169" s="1842">
        <v>0.13</v>
      </c>
      <c r="F169" s="1850"/>
    </row>
    <row r="170" spans="1:6" ht="14.25" thickBot="1">
      <c r="A170" s="1837" t="s">
        <v>1408</v>
      </c>
      <c r="B170" s="1841" t="s">
        <v>1199</v>
      </c>
      <c r="C170" s="1842">
        <v>0.14099999999999999</v>
      </c>
      <c r="D170" s="1842">
        <v>0.13</v>
      </c>
      <c r="E170" s="1842">
        <v>0.125</v>
      </c>
      <c r="F170" s="1850"/>
    </row>
    <row r="171" spans="1:6" ht="14.25" thickBot="1">
      <c r="A171" s="1837" t="s">
        <v>1408</v>
      </c>
      <c r="B171" s="1841" t="s">
        <v>2117</v>
      </c>
      <c r="C171" s="1842">
        <v>0.127</v>
      </c>
      <c r="D171" s="1842">
        <v>0.126</v>
      </c>
      <c r="E171" s="1842">
        <v>0.126</v>
      </c>
      <c r="F171" s="1843">
        <v>0.11799999999999999</v>
      </c>
    </row>
    <row r="172" spans="1:6" ht="14.25" thickBot="1">
      <c r="A172" s="1837" t="s">
        <v>1408</v>
      </c>
      <c r="B172" s="1841" t="s">
        <v>2118</v>
      </c>
      <c r="C172" s="1842">
        <v>0.13</v>
      </c>
      <c r="D172" s="1842">
        <v>0.13</v>
      </c>
      <c r="E172" s="1842">
        <v>0.13</v>
      </c>
      <c r="F172" s="1850"/>
    </row>
    <row r="173" spans="1:6" ht="14.25" thickBot="1">
      <c r="A173" s="1837" t="s">
        <v>1408</v>
      </c>
      <c r="B173" s="1841" t="s">
        <v>1229</v>
      </c>
      <c r="C173" s="1842">
        <v>0.13</v>
      </c>
      <c r="D173" s="1842">
        <v>0.13</v>
      </c>
      <c r="E173" s="1842">
        <v>0.13</v>
      </c>
      <c r="F173" s="1850"/>
    </row>
    <row r="174" spans="1:6" ht="14.25" thickBot="1">
      <c r="A174" s="1837" t="s">
        <v>1408</v>
      </c>
      <c r="B174" s="1841" t="s">
        <v>2119</v>
      </c>
      <c r="C174" s="1842">
        <v>0.13</v>
      </c>
      <c r="D174" s="1842">
        <v>0.13</v>
      </c>
      <c r="E174" s="1842">
        <v>0.13</v>
      </c>
      <c r="F174" s="1843">
        <v>0.13</v>
      </c>
    </row>
    <row r="175" spans="1:6" ht="14.25" thickBot="1">
      <c r="A175" s="1837" t="s">
        <v>1408</v>
      </c>
      <c r="B175" s="1841" t="s">
        <v>2120</v>
      </c>
      <c r="C175" s="1842">
        <v>0.13</v>
      </c>
      <c r="D175" s="1842">
        <v>0.13</v>
      </c>
      <c r="E175" s="1842">
        <v>0.13</v>
      </c>
      <c r="F175" s="1843">
        <v>0.13</v>
      </c>
    </row>
    <row r="176" spans="1:6" ht="14.25" thickBot="1">
      <c r="A176" s="1837" t="s">
        <v>1408</v>
      </c>
      <c r="B176" s="1841" t="s">
        <v>1259</v>
      </c>
      <c r="C176" s="1842">
        <v>0.13</v>
      </c>
      <c r="D176" s="1842">
        <v>0.13</v>
      </c>
      <c r="E176" s="1842">
        <v>0.13</v>
      </c>
      <c r="F176" s="1843">
        <v>0.13</v>
      </c>
    </row>
    <row r="177" spans="1:6" ht="14.25" thickBot="1">
      <c r="A177" s="1837" t="s">
        <v>1408</v>
      </c>
      <c r="B177" s="1841" t="s">
        <v>2121</v>
      </c>
      <c r="C177" s="1842">
        <v>0.13</v>
      </c>
      <c r="D177" s="1842">
        <v>0.13</v>
      </c>
      <c r="E177" s="1842">
        <v>0.13</v>
      </c>
      <c r="F177" s="1843">
        <v>0.13</v>
      </c>
    </row>
    <row r="178" spans="1:6" ht="14.25" thickBot="1">
      <c r="A178" s="1837" t="s">
        <v>1408</v>
      </c>
      <c r="B178" s="1841" t="s">
        <v>1277</v>
      </c>
      <c r="C178" s="1842">
        <v>0.13</v>
      </c>
      <c r="D178" s="1842">
        <v>0.13</v>
      </c>
      <c r="E178" s="1842">
        <v>0.13</v>
      </c>
      <c r="F178" s="1843">
        <v>0.127</v>
      </c>
    </row>
    <row r="179" spans="1:6" ht="14.25" thickBot="1">
      <c r="A179" s="1837" t="s">
        <v>1408</v>
      </c>
      <c r="B179" s="1841" t="s">
        <v>1285</v>
      </c>
      <c r="C179" s="1842">
        <v>0.13</v>
      </c>
      <c r="D179" s="1842">
        <v>0.13</v>
      </c>
      <c r="E179" s="1842">
        <v>0.13</v>
      </c>
      <c r="F179" s="1850"/>
    </row>
    <row r="180" spans="1:6" ht="14.25" thickBot="1">
      <c r="A180" s="1837" t="s">
        <v>1408</v>
      </c>
      <c r="B180" s="1841" t="s">
        <v>2122</v>
      </c>
      <c r="C180" s="1842">
        <v>0.13</v>
      </c>
      <c r="D180" s="1842">
        <v>0.13</v>
      </c>
      <c r="E180" s="1842">
        <v>0.125</v>
      </c>
      <c r="F180" s="1843">
        <v>0.13</v>
      </c>
    </row>
    <row r="181" spans="1:6" ht="14.25" thickBot="1">
      <c r="A181" s="1837" t="s">
        <v>1408</v>
      </c>
      <c r="B181" s="1841" t="s">
        <v>1299</v>
      </c>
      <c r="C181" s="1842">
        <v>0.122</v>
      </c>
      <c r="D181" s="1842">
        <v>0.123</v>
      </c>
      <c r="E181" s="1842">
        <v>0.126</v>
      </c>
      <c r="F181" s="1843">
        <v>0.121</v>
      </c>
    </row>
    <row r="182" spans="1:6" ht="14.25" thickBot="1">
      <c r="A182" s="1837" t="s">
        <v>1408</v>
      </c>
      <c r="B182" s="1841" t="s">
        <v>1306</v>
      </c>
      <c r="C182" s="1842">
        <v>0.125</v>
      </c>
      <c r="D182" s="1842">
        <v>0.125</v>
      </c>
      <c r="E182" s="1842">
        <v>0.11700000000000001</v>
      </c>
      <c r="F182" s="1843">
        <v>0.13</v>
      </c>
    </row>
    <row r="183" spans="1:6" ht="14.25" thickBot="1">
      <c r="A183" s="1837" t="s">
        <v>1408</v>
      </c>
      <c r="B183" s="1841" t="s">
        <v>1313</v>
      </c>
      <c r="C183" s="1842">
        <v>0.127</v>
      </c>
      <c r="D183" s="1842">
        <v>0.127</v>
      </c>
      <c r="E183" s="1842">
        <v>0.128</v>
      </c>
      <c r="F183" s="1850"/>
    </row>
    <row r="184" spans="1:6" ht="14.25" thickBot="1">
      <c r="A184" s="1837" t="s">
        <v>1408</v>
      </c>
      <c r="B184" s="1841" t="s">
        <v>1320</v>
      </c>
      <c r="C184" s="1842">
        <v>0.125</v>
      </c>
      <c r="D184" s="1842">
        <v>0.125</v>
      </c>
      <c r="E184" s="1842">
        <v>0.127</v>
      </c>
      <c r="F184" s="1850"/>
    </row>
    <row r="185" spans="1:6" ht="14.25" thickBot="1">
      <c r="A185" s="1837" t="s">
        <v>1408</v>
      </c>
      <c r="B185" s="1841" t="s">
        <v>2123</v>
      </c>
      <c r="C185" s="1842">
        <v>0.127</v>
      </c>
      <c r="D185" s="1842">
        <v>0.127</v>
      </c>
      <c r="E185" s="1842">
        <v>0.128</v>
      </c>
      <c r="F185" s="1843">
        <v>0.13</v>
      </c>
    </row>
    <row r="186" spans="1:6" ht="24.75" thickBot="1">
      <c r="A186" s="1837" t="s">
        <v>1408</v>
      </c>
      <c r="B186" s="1841" t="s">
        <v>2124</v>
      </c>
      <c r="C186" s="1851"/>
      <c r="D186" s="1851"/>
      <c r="E186" s="1851"/>
      <c r="F186" s="1843">
        <v>0.05</v>
      </c>
    </row>
    <row r="187" spans="1:6" ht="14.25" thickBot="1">
      <c r="A187" s="1837" t="s">
        <v>1408</v>
      </c>
      <c r="B187" s="1841" t="s">
        <v>2125</v>
      </c>
      <c r="C187" s="1851"/>
      <c r="D187" s="1851"/>
      <c r="E187" s="1851"/>
      <c r="F187" s="1843">
        <v>0.05</v>
      </c>
    </row>
    <row r="188" spans="1:6" ht="14.25" thickBot="1">
      <c r="A188" s="1837" t="s">
        <v>1408</v>
      </c>
      <c r="B188" s="1841" t="s">
        <v>2126</v>
      </c>
      <c r="C188" s="1851"/>
      <c r="D188" s="1851"/>
      <c r="E188" s="1851"/>
      <c r="F188" s="1843">
        <v>0.05</v>
      </c>
    </row>
    <row r="189" spans="1:6" ht="24.75" thickBot="1">
      <c r="A189" s="1837" t="s">
        <v>1408</v>
      </c>
      <c r="B189" s="1841" t="s">
        <v>2127</v>
      </c>
      <c r="C189" s="1851"/>
      <c r="D189" s="1851"/>
      <c r="E189" s="1851"/>
      <c r="F189" s="1843">
        <v>0.05</v>
      </c>
    </row>
    <row r="190" spans="1:6" ht="24.75" thickBot="1">
      <c r="A190" s="1837" t="s">
        <v>1408</v>
      </c>
      <c r="B190" s="1841" t="s">
        <v>2128</v>
      </c>
      <c r="C190" s="1851"/>
      <c r="D190" s="1851"/>
      <c r="E190" s="1851"/>
      <c r="F190" s="1843">
        <v>0.05</v>
      </c>
    </row>
    <row r="191" spans="1:6" ht="24.75" thickBot="1">
      <c r="A191" s="1837" t="s">
        <v>1408</v>
      </c>
      <c r="B191" s="1841" t="s">
        <v>2129</v>
      </c>
      <c r="C191" s="1851"/>
      <c r="D191" s="1851"/>
      <c r="E191" s="1851"/>
      <c r="F191" s="1843">
        <v>0.05</v>
      </c>
    </row>
    <row r="192" spans="1:6" ht="24.75" thickBot="1">
      <c r="A192" s="1837" t="s">
        <v>1408</v>
      </c>
      <c r="B192" s="1841" t="s">
        <v>2130</v>
      </c>
      <c r="C192" s="1851"/>
      <c r="D192" s="1851"/>
      <c r="E192" s="1851"/>
      <c r="F192" s="1843">
        <v>0.05</v>
      </c>
    </row>
    <row r="193" spans="1:6" ht="24.75" thickBot="1">
      <c r="A193" s="1837" t="s">
        <v>1408</v>
      </c>
      <c r="B193" s="1841" t="s">
        <v>2131</v>
      </c>
      <c r="C193" s="1851"/>
      <c r="D193" s="1851"/>
      <c r="E193" s="1851"/>
      <c r="F193" s="1843">
        <v>0.05</v>
      </c>
    </row>
    <row r="194" spans="1:6" ht="24.75" thickBot="1">
      <c r="A194" s="1837" t="s">
        <v>1408</v>
      </c>
      <c r="B194" s="1841" t="s">
        <v>2132</v>
      </c>
      <c r="C194" s="1851"/>
      <c r="D194" s="1851"/>
      <c r="E194" s="1851"/>
      <c r="F194" s="1843">
        <v>0.05</v>
      </c>
    </row>
    <row r="195" spans="1:6" ht="14.25" thickBot="1">
      <c r="A195" s="1837" t="s">
        <v>1408</v>
      </c>
      <c r="B195" s="1841" t="s">
        <v>2133</v>
      </c>
      <c r="C195" s="1851"/>
      <c r="D195" s="1851"/>
      <c r="E195" s="1851"/>
      <c r="F195" s="1843">
        <v>0.05</v>
      </c>
    </row>
    <row r="196" spans="1:6" ht="24.75" thickBot="1">
      <c r="A196" s="1837" t="s">
        <v>1408</v>
      </c>
      <c r="B196" s="1841" t="s">
        <v>2134</v>
      </c>
      <c r="C196" s="1851"/>
      <c r="D196" s="1851"/>
      <c r="E196" s="1851"/>
      <c r="F196" s="1843">
        <v>0.05</v>
      </c>
    </row>
    <row r="197" spans="1:6" ht="24.75" thickBot="1">
      <c r="A197" s="1837" t="s">
        <v>1408</v>
      </c>
      <c r="B197" s="1841" t="s">
        <v>2135</v>
      </c>
      <c r="C197" s="1851"/>
      <c r="D197" s="1851"/>
      <c r="E197" s="1851"/>
      <c r="F197" s="1843">
        <v>0.05</v>
      </c>
    </row>
    <row r="198" spans="1:6" ht="24.75" thickBot="1">
      <c r="A198" s="1837" t="s">
        <v>1408</v>
      </c>
      <c r="B198" s="1841" t="s">
        <v>2136</v>
      </c>
      <c r="C198" s="1851"/>
      <c r="D198" s="1851"/>
      <c r="E198" s="1851"/>
      <c r="F198" s="1843">
        <v>0.05</v>
      </c>
    </row>
    <row r="199" spans="1:6" ht="24.75" thickBot="1">
      <c r="A199" s="1837" t="s">
        <v>1408</v>
      </c>
      <c r="B199" s="1841" t="s">
        <v>2137</v>
      </c>
      <c r="C199" s="1851"/>
      <c r="D199" s="1851"/>
      <c r="E199" s="1851"/>
      <c r="F199" s="1843">
        <v>0.05</v>
      </c>
    </row>
    <row r="200" spans="1:6" ht="24.75" thickBot="1">
      <c r="A200" s="1837" t="s">
        <v>1408</v>
      </c>
      <c r="B200" s="1841" t="s">
        <v>2138</v>
      </c>
      <c r="C200" s="1851"/>
      <c r="D200" s="1851"/>
      <c r="E200" s="1851"/>
      <c r="F200" s="1843">
        <v>0.05</v>
      </c>
    </row>
    <row r="201" spans="1:6" ht="24.75" thickBot="1">
      <c r="A201" s="1837" t="s">
        <v>1408</v>
      </c>
      <c r="B201" s="1841" t="s">
        <v>2139</v>
      </c>
      <c r="C201" s="1851"/>
      <c r="D201" s="1851"/>
      <c r="E201" s="1851"/>
      <c r="F201" s="1843">
        <v>0.05</v>
      </c>
    </row>
    <row r="202" spans="1:6" ht="24.75" thickBot="1">
      <c r="A202" s="1837" t="s">
        <v>1408</v>
      </c>
      <c r="B202" s="1841" t="s">
        <v>2140</v>
      </c>
      <c r="C202" s="1851"/>
      <c r="D202" s="1851"/>
      <c r="E202" s="1851"/>
      <c r="F202" s="1843">
        <v>0.05</v>
      </c>
    </row>
    <row r="203" spans="1:6" ht="24.75" thickBot="1">
      <c r="A203" s="1837" t="s">
        <v>1408</v>
      </c>
      <c r="B203" s="1841" t="s">
        <v>2141</v>
      </c>
      <c r="C203" s="1851"/>
      <c r="D203" s="1851"/>
      <c r="E203" s="1851"/>
      <c r="F203" s="1843">
        <v>0.05</v>
      </c>
    </row>
    <row r="204" spans="1:6" ht="14.25" thickBot="1">
      <c r="A204" s="1837" t="s">
        <v>1408</v>
      </c>
      <c r="B204" s="1841" t="s">
        <v>2142</v>
      </c>
      <c r="C204" s="1851"/>
      <c r="D204" s="1851"/>
      <c r="E204" s="1851"/>
      <c r="F204" s="1843">
        <v>0.05</v>
      </c>
    </row>
    <row r="205" spans="1:6" ht="14.25" thickBot="1">
      <c r="A205" s="1845" t="s">
        <v>1408</v>
      </c>
      <c r="B205" s="1852" t="s">
        <v>2143</v>
      </c>
      <c r="C205" s="1848"/>
      <c r="D205" s="1848"/>
      <c r="E205" s="1848"/>
      <c r="F205" s="1853">
        <v>0.05</v>
      </c>
    </row>
    <row r="206" spans="1:6" ht="14.25" thickBot="1">
      <c r="A206" s="1837" t="s">
        <v>1410</v>
      </c>
      <c r="B206" s="1838" t="s">
        <v>2144</v>
      </c>
      <c r="C206" s="1839">
        <v>0.15</v>
      </c>
      <c r="D206" s="1839">
        <v>0.15</v>
      </c>
      <c r="E206" s="1839">
        <v>0.15</v>
      </c>
      <c r="F206" s="1840">
        <v>0.15</v>
      </c>
    </row>
    <row r="207" spans="1:6" ht="14.25" thickBot="1">
      <c r="A207" s="1837" t="s">
        <v>1410</v>
      </c>
      <c r="B207" s="1841" t="s">
        <v>1074</v>
      </c>
      <c r="C207" s="1842">
        <v>0.15</v>
      </c>
      <c r="D207" s="1842">
        <v>0.15</v>
      </c>
      <c r="E207" s="1842">
        <v>0.15</v>
      </c>
      <c r="F207" s="1843">
        <v>0.14399999999999999</v>
      </c>
    </row>
    <row r="208" spans="1:6" ht="14.25" thickBot="1">
      <c r="A208" s="1837" t="s">
        <v>1410</v>
      </c>
      <c r="B208" s="1841" t="s">
        <v>1088</v>
      </c>
      <c r="C208" s="1842">
        <v>0.15</v>
      </c>
      <c r="D208" s="1842">
        <v>0.15</v>
      </c>
      <c r="E208" s="1842">
        <v>0.15</v>
      </c>
      <c r="F208" s="1843">
        <v>0.15</v>
      </c>
    </row>
    <row r="209" spans="1:6" ht="14.25" thickBot="1">
      <c r="A209" s="1837" t="s">
        <v>1410</v>
      </c>
      <c r="B209" s="1841" t="s">
        <v>1101</v>
      </c>
      <c r="C209" s="1842">
        <v>0.13700000000000001</v>
      </c>
      <c r="D209" s="1842">
        <v>0.13700000000000001</v>
      </c>
      <c r="E209" s="1842">
        <v>0.14000000000000001</v>
      </c>
      <c r="F209" s="1843">
        <v>0.11700000000000001</v>
      </c>
    </row>
    <row r="210" spans="1:6" ht="14.25" thickBot="1">
      <c r="A210" s="1837" t="s">
        <v>1410</v>
      </c>
      <c r="B210" s="1841" t="s">
        <v>2145</v>
      </c>
      <c r="C210" s="1842">
        <v>0.15</v>
      </c>
      <c r="D210" s="1842">
        <v>0.15</v>
      </c>
      <c r="E210" s="1842">
        <v>0.15</v>
      </c>
      <c r="F210" s="1843">
        <v>0.13800000000000001</v>
      </c>
    </row>
    <row r="211" spans="1:6" ht="14.25" thickBot="1">
      <c r="A211" s="1837" t="s">
        <v>1410</v>
      </c>
      <c r="B211" s="1841" t="s">
        <v>2146</v>
      </c>
      <c r="C211" s="1842">
        <v>0.13700000000000001</v>
      </c>
      <c r="D211" s="1842">
        <v>0.13500000000000001</v>
      </c>
      <c r="E211" s="1842">
        <v>0.13600000000000001</v>
      </c>
      <c r="F211" s="1843">
        <v>0.1</v>
      </c>
    </row>
    <row r="212" spans="1:6" ht="14.25" thickBot="1">
      <c r="A212" s="1837" t="s">
        <v>1410</v>
      </c>
      <c r="B212" s="1841" t="s">
        <v>2147</v>
      </c>
      <c r="C212" s="1842">
        <v>0.15</v>
      </c>
      <c r="D212" s="1842">
        <v>0.15</v>
      </c>
      <c r="E212" s="1842">
        <v>0.14799999999999999</v>
      </c>
      <c r="F212" s="1843">
        <v>0.13600000000000001</v>
      </c>
    </row>
    <row r="213" spans="1:6" ht="14.25" thickBot="1">
      <c r="A213" s="1837" t="s">
        <v>1410</v>
      </c>
      <c r="B213" s="1841" t="s">
        <v>1148</v>
      </c>
      <c r="C213" s="1842">
        <v>0.15</v>
      </c>
      <c r="D213" s="1842">
        <v>0.15</v>
      </c>
      <c r="E213" s="1842">
        <v>0.15</v>
      </c>
      <c r="F213" s="1843">
        <v>0.13800000000000001</v>
      </c>
    </row>
    <row r="214" spans="1:6" ht="14.25" thickBot="1">
      <c r="A214" s="1837" t="s">
        <v>1410</v>
      </c>
      <c r="B214" s="1841" t="s">
        <v>1160</v>
      </c>
      <c r="C214" s="1842">
        <v>9.0999999999999998E-2</v>
      </c>
      <c r="D214" s="1842">
        <v>0.09</v>
      </c>
      <c r="E214" s="1842">
        <v>9.1999999999999998E-2</v>
      </c>
      <c r="F214" s="1850"/>
    </row>
    <row r="215" spans="1:6" ht="14.25" thickBot="1">
      <c r="A215" s="1837" t="s">
        <v>1410</v>
      </c>
      <c r="B215" s="1841" t="s">
        <v>2148</v>
      </c>
      <c r="C215" s="1842">
        <v>0.15</v>
      </c>
      <c r="D215" s="1842">
        <v>0.15</v>
      </c>
      <c r="E215" s="1842">
        <v>0.15</v>
      </c>
      <c r="F215" s="1843">
        <v>0.15</v>
      </c>
    </row>
    <row r="216" spans="1:6" ht="14.25" thickBot="1">
      <c r="A216" s="1837" t="s">
        <v>1410</v>
      </c>
      <c r="B216" s="1841" t="s">
        <v>1180</v>
      </c>
      <c r="C216" s="1842">
        <v>0.14699999999999999</v>
      </c>
      <c r="D216" s="1842">
        <v>0.14699999999999999</v>
      </c>
      <c r="E216" s="1842">
        <v>0.15</v>
      </c>
      <c r="F216" s="1843">
        <v>0.14000000000000001</v>
      </c>
    </row>
    <row r="217" spans="1:6" ht="14.25" thickBot="1">
      <c r="A217" s="1837" t="s">
        <v>1410</v>
      </c>
      <c r="B217" s="1841" t="s">
        <v>1190</v>
      </c>
      <c r="C217" s="1842">
        <v>0.15</v>
      </c>
      <c r="D217" s="1842">
        <v>0.15</v>
      </c>
      <c r="E217" s="1842">
        <v>0.15</v>
      </c>
      <c r="F217" s="1843">
        <v>0.15</v>
      </c>
    </row>
    <row r="218" spans="1:6" ht="14.25" thickBot="1">
      <c r="A218" s="1837" t="s">
        <v>1410</v>
      </c>
      <c r="B218" s="1841" t="s">
        <v>2149</v>
      </c>
      <c r="C218" s="1842">
        <v>0.15</v>
      </c>
      <c r="D218" s="1842">
        <v>0.15</v>
      </c>
      <c r="E218" s="1842">
        <v>0.15</v>
      </c>
      <c r="F218" s="1843">
        <v>0.15</v>
      </c>
    </row>
    <row r="219" spans="1:6" ht="14.25" thickBot="1">
      <c r="A219" s="1837" t="s">
        <v>1410</v>
      </c>
      <c r="B219" s="1841" t="s">
        <v>1210</v>
      </c>
      <c r="C219" s="1842">
        <v>0.15</v>
      </c>
      <c r="D219" s="1842">
        <v>0.15</v>
      </c>
      <c r="E219" s="1842">
        <v>0.15</v>
      </c>
      <c r="F219" s="1843">
        <v>0.14799999999999999</v>
      </c>
    </row>
    <row r="220" spans="1:6" ht="14.25" thickBot="1">
      <c r="A220" s="1837" t="s">
        <v>1410</v>
      </c>
      <c r="B220" s="1841" t="s">
        <v>2150</v>
      </c>
      <c r="C220" s="1842">
        <v>0.15</v>
      </c>
      <c r="D220" s="1842">
        <v>0.15</v>
      </c>
      <c r="E220" s="1842">
        <v>0.15</v>
      </c>
      <c r="F220" s="1843">
        <v>0.15</v>
      </c>
    </row>
    <row r="221" spans="1:6" ht="14.25" thickBot="1">
      <c r="A221" s="1837" t="s">
        <v>1410</v>
      </c>
      <c r="B221" s="1841" t="s">
        <v>1230</v>
      </c>
      <c r="C221" s="1842"/>
      <c r="D221" s="1851"/>
      <c r="E221" s="1851"/>
      <c r="F221" s="1843">
        <v>0.14799999999999999</v>
      </c>
    </row>
    <row r="222" spans="1:6" ht="14.25" thickBot="1">
      <c r="A222" s="1837" t="s">
        <v>1410</v>
      </c>
      <c r="B222" s="1841" t="s">
        <v>1240</v>
      </c>
      <c r="C222" s="1842"/>
      <c r="D222" s="1851"/>
      <c r="E222" s="1851"/>
      <c r="F222" s="1843">
        <v>0.1</v>
      </c>
    </row>
    <row r="223" spans="1:6" ht="14.25" thickBot="1">
      <c r="A223" s="1837" t="s">
        <v>1410</v>
      </c>
      <c r="B223" s="1841" t="s">
        <v>1250</v>
      </c>
      <c r="C223" s="1842"/>
      <c r="D223" s="1851"/>
      <c r="E223" s="1851"/>
      <c r="F223" s="1843">
        <v>0.15</v>
      </c>
    </row>
    <row r="224" spans="1:6" ht="14.25" thickBot="1">
      <c r="A224" s="1837" t="s">
        <v>1410</v>
      </c>
      <c r="B224" s="1841" t="s">
        <v>1260</v>
      </c>
      <c r="C224" s="1842"/>
      <c r="D224" s="1851"/>
      <c r="E224" s="1851"/>
      <c r="F224" s="1843">
        <v>0.15</v>
      </c>
    </row>
    <row r="225" spans="1:6" ht="14.25" thickBot="1">
      <c r="A225" s="1837" t="s">
        <v>1410</v>
      </c>
      <c r="B225" s="1841" t="s">
        <v>2151</v>
      </c>
      <c r="C225" s="1842">
        <v>0.15</v>
      </c>
      <c r="D225" s="1842">
        <v>0.15</v>
      </c>
      <c r="E225" s="1842">
        <v>0.15</v>
      </c>
      <c r="F225" s="1843">
        <v>0.15</v>
      </c>
    </row>
    <row r="226" spans="1:6" ht="14.25" thickBot="1">
      <c r="A226" s="1837" t="s">
        <v>1410</v>
      </c>
      <c r="B226" s="1841" t="s">
        <v>1278</v>
      </c>
      <c r="C226" s="1842">
        <v>0.15</v>
      </c>
      <c r="D226" s="1842">
        <v>0.15</v>
      </c>
      <c r="E226" s="1842">
        <v>0.15</v>
      </c>
      <c r="F226" s="1843">
        <v>0.14799999999999999</v>
      </c>
    </row>
    <row r="227" spans="1:6" ht="14.25" thickBot="1">
      <c r="A227" s="1837" t="s">
        <v>1410</v>
      </c>
      <c r="B227" s="1841" t="s">
        <v>2152</v>
      </c>
      <c r="C227" s="1842">
        <v>0.15</v>
      </c>
      <c r="D227" s="1842">
        <v>0.15</v>
      </c>
      <c r="E227" s="1842">
        <v>0.15</v>
      </c>
      <c r="F227" s="1843">
        <v>0.15</v>
      </c>
    </row>
    <row r="228" spans="1:6" ht="14.25" thickBot="1">
      <c r="A228" s="1837" t="s">
        <v>1410</v>
      </c>
      <c r="B228" s="1841" t="s">
        <v>1293</v>
      </c>
      <c r="C228" s="1842">
        <v>0.15</v>
      </c>
      <c r="D228" s="1842">
        <v>0.15</v>
      </c>
      <c r="E228" s="1842">
        <v>0.15</v>
      </c>
      <c r="F228" s="1843">
        <v>0.15</v>
      </c>
    </row>
    <row r="229" spans="1:6" ht="14.25" thickBot="1">
      <c r="A229" s="1837" t="s">
        <v>1410</v>
      </c>
      <c r="B229" s="1841" t="s">
        <v>1300</v>
      </c>
      <c r="C229" s="1842">
        <v>0.15</v>
      </c>
      <c r="D229" s="1842">
        <v>0.15</v>
      </c>
      <c r="E229" s="1842">
        <v>0.15</v>
      </c>
      <c r="F229" s="1850"/>
    </row>
    <row r="230" spans="1:6" ht="14.25" thickBot="1">
      <c r="A230" s="1837" t="s">
        <v>1410</v>
      </c>
      <c r="B230" s="1841" t="s">
        <v>1307</v>
      </c>
      <c r="C230" s="1842">
        <v>0.14499999999999999</v>
      </c>
      <c r="D230" s="1842">
        <v>0.14499999999999999</v>
      </c>
      <c r="E230" s="1842">
        <v>0.14399999999999999</v>
      </c>
      <c r="F230" s="1850"/>
    </row>
    <row r="231" spans="1:6" ht="14.25" thickBot="1">
      <c r="A231" s="1837" t="s">
        <v>1410</v>
      </c>
      <c r="B231" s="1841" t="s">
        <v>2153</v>
      </c>
      <c r="C231" s="1842">
        <v>0.128</v>
      </c>
      <c r="D231" s="1842">
        <v>0.125</v>
      </c>
      <c r="E231" s="1842">
        <v>0.13200000000000001</v>
      </c>
      <c r="F231" s="1850"/>
    </row>
    <row r="232" spans="1:6" ht="14.25" thickBot="1">
      <c r="A232" s="1837" t="s">
        <v>1410</v>
      </c>
      <c r="B232" s="1841" t="s">
        <v>2154</v>
      </c>
      <c r="C232" s="1842">
        <v>0.14499999999999999</v>
      </c>
      <c r="D232" s="1842">
        <v>0.14399999999999999</v>
      </c>
      <c r="E232" s="1842">
        <v>0.14599999999999999</v>
      </c>
      <c r="F232" s="1843">
        <v>0.13800000000000001</v>
      </c>
    </row>
    <row r="233" spans="1:6" ht="14.25" thickBot="1">
      <c r="A233" s="1837" t="s">
        <v>1410</v>
      </c>
      <c r="B233" s="1841" t="s">
        <v>2155</v>
      </c>
      <c r="C233" s="1842">
        <v>0.14499999999999999</v>
      </c>
      <c r="D233" s="1842">
        <v>0.14299999999999999</v>
      </c>
      <c r="E233" s="1842">
        <v>0.14199999999999999</v>
      </c>
      <c r="F233" s="1850"/>
    </row>
    <row r="234" spans="1:6" ht="14.25" thickBot="1">
      <c r="A234" s="1837" t="s">
        <v>1410</v>
      </c>
      <c r="B234" s="1841" t="s">
        <v>2156</v>
      </c>
      <c r="C234" s="1842">
        <v>0.14000000000000001</v>
      </c>
      <c r="D234" s="1842">
        <v>0.14000000000000001</v>
      </c>
      <c r="E234" s="1842">
        <v>0.14399999999999999</v>
      </c>
      <c r="F234" s="1850"/>
    </row>
    <row r="235" spans="1:6" ht="14.25" thickBot="1">
      <c r="A235" s="1837" t="s">
        <v>1410</v>
      </c>
      <c r="B235" s="1841" t="s">
        <v>2157</v>
      </c>
      <c r="C235" s="1842">
        <v>0.14099999999999999</v>
      </c>
      <c r="D235" s="1842">
        <v>0.14199999999999999</v>
      </c>
      <c r="E235" s="1842">
        <v>0.14499999999999999</v>
      </c>
      <c r="F235" s="1843">
        <v>0.15</v>
      </c>
    </row>
    <row r="236" spans="1:6" ht="14.25" thickBot="1">
      <c r="A236" s="1837" t="s">
        <v>1410</v>
      </c>
      <c r="B236" s="1841" t="s">
        <v>1342</v>
      </c>
      <c r="C236" s="1851"/>
      <c r="D236" s="1851"/>
      <c r="E236" s="1851"/>
      <c r="F236" s="1843">
        <v>0.14299999999999999</v>
      </c>
    </row>
    <row r="237" spans="1:6" ht="24.75" thickBot="1">
      <c r="A237" s="1837" t="s">
        <v>1410</v>
      </c>
      <c r="B237" s="1841" t="s">
        <v>2158</v>
      </c>
      <c r="C237" s="1851"/>
      <c r="D237" s="1851"/>
      <c r="E237" s="1851"/>
      <c r="F237" s="1843">
        <v>0.05</v>
      </c>
    </row>
    <row r="238" spans="1:6" ht="24.75" thickBot="1">
      <c r="A238" s="1837" t="s">
        <v>1410</v>
      </c>
      <c r="B238" s="1841" t="s">
        <v>2159</v>
      </c>
      <c r="C238" s="1851"/>
      <c r="D238" s="1851"/>
      <c r="E238" s="1851"/>
      <c r="F238" s="1843">
        <v>0.05</v>
      </c>
    </row>
    <row r="239" spans="1:6" ht="24.75" thickBot="1">
      <c r="A239" s="1837" t="s">
        <v>1410</v>
      </c>
      <c r="B239" s="1841" t="s">
        <v>2160</v>
      </c>
      <c r="C239" s="1851"/>
      <c r="D239" s="1851"/>
      <c r="E239" s="1851"/>
      <c r="F239" s="1843">
        <v>0.05</v>
      </c>
    </row>
    <row r="240" spans="1:6" ht="24.75" thickBot="1">
      <c r="A240" s="1837" t="s">
        <v>1410</v>
      </c>
      <c r="B240" s="1841" t="s">
        <v>2161</v>
      </c>
      <c r="C240" s="1851"/>
      <c r="D240" s="1851"/>
      <c r="E240" s="1851"/>
      <c r="F240" s="1843">
        <v>0.05</v>
      </c>
    </row>
    <row r="241" spans="1:6" ht="24.75" thickBot="1">
      <c r="A241" s="1837" t="s">
        <v>1410</v>
      </c>
      <c r="B241" s="1841" t="s">
        <v>2162</v>
      </c>
      <c r="C241" s="1851"/>
      <c r="D241" s="1851"/>
      <c r="E241" s="1851"/>
      <c r="F241" s="1843">
        <v>0.05</v>
      </c>
    </row>
    <row r="242" spans="1:6" ht="24.75" thickBot="1">
      <c r="A242" s="1837" t="s">
        <v>1410</v>
      </c>
      <c r="B242" s="1841" t="s">
        <v>2163</v>
      </c>
      <c r="C242" s="1851"/>
      <c r="D242" s="1851"/>
      <c r="E242" s="1851"/>
      <c r="F242" s="1843">
        <v>0.05</v>
      </c>
    </row>
    <row r="243" spans="1:6" ht="24.75" thickBot="1">
      <c r="A243" s="1837" t="s">
        <v>1410</v>
      </c>
      <c r="B243" s="1841" t="s">
        <v>2164</v>
      </c>
      <c r="C243" s="1851"/>
      <c r="D243" s="1851"/>
      <c r="E243" s="1851"/>
      <c r="F243" s="1843">
        <v>0.05</v>
      </c>
    </row>
    <row r="244" spans="1:6" ht="24.75" thickBot="1">
      <c r="A244" s="1845" t="s">
        <v>1410</v>
      </c>
      <c r="B244" s="1852" t="s">
        <v>2165</v>
      </c>
      <c r="C244" s="1848"/>
      <c r="D244" s="1848"/>
      <c r="E244" s="1848"/>
      <c r="F244" s="1853">
        <v>0.05</v>
      </c>
    </row>
    <row r="245" spans="1:6" ht="14.25" thickBot="1">
      <c r="A245" s="1837" t="s">
        <v>1412</v>
      </c>
      <c r="B245" s="1838" t="s">
        <v>2166</v>
      </c>
      <c r="C245" s="1839">
        <v>0.15</v>
      </c>
      <c r="D245" s="1839">
        <v>0.15</v>
      </c>
      <c r="E245" s="1839">
        <v>0.15</v>
      </c>
      <c r="F245" s="1840">
        <v>0.14299999999999999</v>
      </c>
    </row>
    <row r="246" spans="1:6" ht="14.25" thickBot="1">
      <c r="A246" s="1837" t="s">
        <v>1412</v>
      </c>
      <c r="B246" s="1841" t="s">
        <v>1075</v>
      </c>
      <c r="C246" s="1842">
        <v>0.15</v>
      </c>
      <c r="D246" s="1842">
        <v>0.15</v>
      </c>
      <c r="E246" s="1842">
        <v>0.15</v>
      </c>
      <c r="F246" s="1843">
        <v>0.114</v>
      </c>
    </row>
    <row r="247" spans="1:6" ht="14.25" thickBot="1">
      <c r="A247" s="1837" t="s">
        <v>1412</v>
      </c>
      <c r="B247" s="1841" t="s">
        <v>2167</v>
      </c>
      <c r="C247" s="1842">
        <v>0.15</v>
      </c>
      <c r="D247" s="1842">
        <v>0.15</v>
      </c>
      <c r="E247" s="1842">
        <v>0.15</v>
      </c>
      <c r="F247" s="1843">
        <v>0.15</v>
      </c>
    </row>
    <row r="248" spans="1:6" ht="14.25" thickBot="1">
      <c r="A248" s="1837" t="s">
        <v>1412</v>
      </c>
      <c r="B248" s="1841" t="s">
        <v>2168</v>
      </c>
      <c r="C248" s="1842">
        <v>0.15</v>
      </c>
      <c r="D248" s="1842">
        <v>0.15</v>
      </c>
      <c r="E248" s="1842">
        <v>0.15</v>
      </c>
      <c r="F248" s="1843">
        <v>0.14000000000000001</v>
      </c>
    </row>
    <row r="249" spans="1:6" ht="14.25" thickBot="1">
      <c r="A249" s="1837" t="s">
        <v>1412</v>
      </c>
      <c r="B249" s="1841" t="s">
        <v>2169</v>
      </c>
      <c r="C249" s="1842">
        <v>0.15</v>
      </c>
      <c r="D249" s="1842">
        <v>0.14899999999999999</v>
      </c>
      <c r="E249" s="1842">
        <v>0.15</v>
      </c>
      <c r="F249" s="1843">
        <v>0.1</v>
      </c>
    </row>
    <row r="250" spans="1:6" ht="14.25" thickBot="1">
      <c r="A250" s="1837" t="s">
        <v>1412</v>
      </c>
      <c r="B250" s="1841" t="s">
        <v>2170</v>
      </c>
      <c r="C250" s="1842">
        <v>0.15</v>
      </c>
      <c r="D250" s="1842">
        <v>0.15</v>
      </c>
      <c r="E250" s="1842">
        <v>0.15</v>
      </c>
      <c r="F250" s="1843">
        <v>0.14399999999999999</v>
      </c>
    </row>
    <row r="251" spans="1:6" ht="14.25" thickBot="1">
      <c r="A251" s="1837" t="s">
        <v>1412</v>
      </c>
      <c r="B251" s="1841" t="s">
        <v>1138</v>
      </c>
      <c r="C251" s="1842">
        <v>0.15</v>
      </c>
      <c r="D251" s="1842">
        <v>0.15</v>
      </c>
      <c r="E251" s="1842">
        <v>0.15</v>
      </c>
      <c r="F251" s="1843">
        <v>0.14299999999999999</v>
      </c>
    </row>
    <row r="252" spans="1:6" ht="14.25" thickBot="1">
      <c r="A252" s="1837" t="s">
        <v>1412</v>
      </c>
      <c r="B252" s="1841" t="s">
        <v>1149</v>
      </c>
      <c r="C252" s="1842">
        <v>0.15</v>
      </c>
      <c r="D252" s="1842">
        <v>0.15</v>
      </c>
      <c r="E252" s="1842">
        <v>0.15</v>
      </c>
      <c r="F252" s="1843">
        <v>0.1</v>
      </c>
    </row>
    <row r="253" spans="1:6" ht="14.25" thickBot="1">
      <c r="A253" s="1837" t="s">
        <v>1412</v>
      </c>
      <c r="B253" s="1841" t="s">
        <v>1161</v>
      </c>
      <c r="C253" s="1842">
        <v>0.15</v>
      </c>
      <c r="D253" s="1842">
        <v>0.15</v>
      </c>
      <c r="E253" s="1842">
        <v>0.15</v>
      </c>
      <c r="F253" s="1843">
        <v>0.1</v>
      </c>
    </row>
    <row r="254" spans="1:6" ht="14.25" thickBot="1">
      <c r="A254" s="1837" t="s">
        <v>1412</v>
      </c>
      <c r="B254" s="1841" t="s">
        <v>1171</v>
      </c>
      <c r="C254" s="1851"/>
      <c r="D254" s="1851"/>
      <c r="E254" s="1851"/>
      <c r="F254" s="1843">
        <v>0.15</v>
      </c>
    </row>
    <row r="255" spans="1:6" ht="14.25" thickBot="1">
      <c r="A255" s="1837" t="s">
        <v>1412</v>
      </c>
      <c r="B255" s="1841" t="s">
        <v>1181</v>
      </c>
      <c r="C255" s="1851"/>
      <c r="D255" s="1851"/>
      <c r="E255" s="1851"/>
      <c r="F255" s="1843">
        <v>0.14299999999999999</v>
      </c>
    </row>
    <row r="256" spans="1:6" ht="14.25" thickBot="1">
      <c r="A256" s="1837" t="s">
        <v>1412</v>
      </c>
      <c r="B256" s="1841" t="s">
        <v>2171</v>
      </c>
      <c r="C256" s="1842">
        <v>0.14599999999999999</v>
      </c>
      <c r="D256" s="1842">
        <v>0.14699999999999999</v>
      </c>
      <c r="E256" s="1842">
        <v>0.15</v>
      </c>
      <c r="F256" s="1843">
        <v>0.13200000000000001</v>
      </c>
    </row>
    <row r="257" spans="1:6" ht="14.25" thickBot="1">
      <c r="A257" s="1837" t="s">
        <v>1412</v>
      </c>
      <c r="B257" s="1841" t="s">
        <v>1201</v>
      </c>
      <c r="C257" s="1842">
        <v>0.15</v>
      </c>
      <c r="D257" s="1842">
        <v>0.15</v>
      </c>
      <c r="E257" s="1842">
        <v>0.15</v>
      </c>
      <c r="F257" s="1843">
        <v>0.13900000000000001</v>
      </c>
    </row>
    <row r="258" spans="1:6" ht="14.25" thickBot="1">
      <c r="A258" s="1837" t="s">
        <v>1412</v>
      </c>
      <c r="B258" s="1841" t="s">
        <v>1211</v>
      </c>
      <c r="C258" s="1842">
        <v>0.15</v>
      </c>
      <c r="D258" s="1842">
        <v>0.15</v>
      </c>
      <c r="E258" s="1842">
        <v>0.15</v>
      </c>
      <c r="F258" s="1843">
        <v>0.13</v>
      </c>
    </row>
    <row r="259" spans="1:6" ht="14.25" thickBot="1">
      <c r="A259" s="1837" t="s">
        <v>1412</v>
      </c>
      <c r="B259" s="1841" t="s">
        <v>2172</v>
      </c>
      <c r="C259" s="1842">
        <v>0.14799999999999999</v>
      </c>
      <c r="D259" s="1842">
        <v>0.14899999999999999</v>
      </c>
      <c r="E259" s="1842">
        <v>0.15</v>
      </c>
      <c r="F259" s="1843">
        <v>0.13700000000000001</v>
      </c>
    </row>
    <row r="260" spans="1:6" ht="14.25" thickBot="1">
      <c r="A260" s="1837" t="s">
        <v>1412</v>
      </c>
      <c r="B260" s="1841" t="s">
        <v>1231</v>
      </c>
      <c r="C260" s="1842">
        <v>0.15</v>
      </c>
      <c r="D260" s="1842">
        <v>0.15</v>
      </c>
      <c r="E260" s="1842">
        <v>0.15</v>
      </c>
      <c r="F260" s="1843">
        <v>0.14199999999999999</v>
      </c>
    </row>
    <row r="261" spans="1:6" ht="14.25" thickBot="1">
      <c r="A261" s="1837" t="s">
        <v>1412</v>
      </c>
      <c r="B261" s="1841" t="s">
        <v>1241</v>
      </c>
      <c r="C261" s="1842">
        <v>0.15</v>
      </c>
      <c r="D261" s="1842">
        <v>0.15</v>
      </c>
      <c r="E261" s="1842">
        <v>0.14899999999999999</v>
      </c>
      <c r="F261" s="1843">
        <v>0.14799999999999999</v>
      </c>
    </row>
    <row r="262" spans="1:6" ht="14.25" thickBot="1">
      <c r="A262" s="1837" t="s">
        <v>1412</v>
      </c>
      <c r="B262" s="1841" t="s">
        <v>1251</v>
      </c>
      <c r="C262" s="1842">
        <v>0.15</v>
      </c>
      <c r="D262" s="1842">
        <v>0.15</v>
      </c>
      <c r="E262" s="1842">
        <v>0.15</v>
      </c>
      <c r="F262" s="1850"/>
    </row>
    <row r="263" spans="1:6" ht="14.25" thickBot="1">
      <c r="A263" s="1837" t="s">
        <v>1412</v>
      </c>
      <c r="B263" s="1841" t="s">
        <v>2173</v>
      </c>
      <c r="C263" s="1842">
        <v>0.14899999999999999</v>
      </c>
      <c r="D263" s="1842">
        <v>0.14899999999999999</v>
      </c>
      <c r="E263" s="1842">
        <v>0.15</v>
      </c>
      <c r="F263" s="1843">
        <v>0.13</v>
      </c>
    </row>
    <row r="264" spans="1:6" ht="14.25" thickBot="1">
      <c r="A264" s="1837" t="s">
        <v>1412</v>
      </c>
      <c r="B264" s="1841" t="s">
        <v>1270</v>
      </c>
      <c r="C264" s="1842">
        <v>0.14799999999999999</v>
      </c>
      <c r="D264" s="1842">
        <v>0.14699999999999999</v>
      </c>
      <c r="E264" s="1842">
        <v>0.15</v>
      </c>
      <c r="F264" s="1843">
        <v>7.8E-2</v>
      </c>
    </row>
    <row r="265" spans="1:6" ht="14.25" thickBot="1">
      <c r="A265" s="1837" t="s">
        <v>1412</v>
      </c>
      <c r="B265" s="1841" t="s">
        <v>1279</v>
      </c>
      <c r="C265" s="1842">
        <v>0.15</v>
      </c>
      <c r="D265" s="1842">
        <v>0.15</v>
      </c>
      <c r="E265" s="1842">
        <v>0.15</v>
      </c>
      <c r="F265" s="1843">
        <v>7.3999999999999996E-2</v>
      </c>
    </row>
    <row r="266" spans="1:6" ht="14.25" thickBot="1">
      <c r="A266" s="1837" t="s">
        <v>1412</v>
      </c>
      <c r="B266" s="1841" t="s">
        <v>1287</v>
      </c>
      <c r="C266" s="1842">
        <v>0.14699999999999999</v>
      </c>
      <c r="D266" s="1842">
        <v>0.14699999999999999</v>
      </c>
      <c r="E266" s="1842">
        <v>0.15</v>
      </c>
      <c r="F266" s="1843">
        <v>0.14299999999999999</v>
      </c>
    </row>
    <row r="267" spans="1:6" ht="14.25" thickBot="1">
      <c r="A267" s="1837" t="s">
        <v>1412</v>
      </c>
      <c r="B267" s="1841" t="s">
        <v>1294</v>
      </c>
      <c r="C267" s="1842">
        <v>0.14199999999999999</v>
      </c>
      <c r="D267" s="1842">
        <v>0.14299999999999999</v>
      </c>
      <c r="E267" s="1842">
        <v>0.15</v>
      </c>
      <c r="F267" s="1850"/>
    </row>
    <row r="268" spans="1:6" ht="14.25" thickBot="1">
      <c r="A268" s="1837" t="s">
        <v>1412</v>
      </c>
      <c r="B268" s="1841" t="s">
        <v>2174</v>
      </c>
      <c r="C268" s="1842">
        <v>0.15</v>
      </c>
      <c r="D268" s="1842">
        <v>0.15</v>
      </c>
      <c r="E268" s="1842">
        <v>0.15</v>
      </c>
      <c r="F268" s="1843">
        <v>0.13</v>
      </c>
    </row>
    <row r="269" spans="1:6" ht="14.25" thickBot="1">
      <c r="A269" s="1837" t="s">
        <v>1412</v>
      </c>
      <c r="B269" s="1841" t="s">
        <v>1308</v>
      </c>
      <c r="C269" s="1842">
        <v>0.15</v>
      </c>
      <c r="D269" s="1842">
        <v>0.15</v>
      </c>
      <c r="E269" s="1842">
        <v>0.15</v>
      </c>
      <c r="F269" s="1843">
        <v>0.14299999999999999</v>
      </c>
    </row>
    <row r="270" spans="1:6" ht="14.25" thickBot="1">
      <c r="A270" s="1837" t="s">
        <v>1412</v>
      </c>
      <c r="B270" s="1841" t="s">
        <v>1315</v>
      </c>
      <c r="C270" s="1842">
        <v>0.14499999999999999</v>
      </c>
      <c r="D270" s="1842">
        <v>0.14499999999999999</v>
      </c>
      <c r="E270" s="1842">
        <v>0.15</v>
      </c>
      <c r="F270" s="1843">
        <v>0.14699999999999999</v>
      </c>
    </row>
    <row r="271" spans="1:6" ht="14.25" thickBot="1">
      <c r="A271" s="1837" t="s">
        <v>1412</v>
      </c>
      <c r="B271" s="1841" t="s">
        <v>1322</v>
      </c>
      <c r="C271" s="1842">
        <v>0.15</v>
      </c>
      <c r="D271" s="1842">
        <v>0.15</v>
      </c>
      <c r="E271" s="1842">
        <v>0.15</v>
      </c>
      <c r="F271" s="1843">
        <v>0.13800000000000001</v>
      </c>
    </row>
    <row r="272" spans="1:6" ht="14.25" thickBot="1">
      <c r="A272" s="1837" t="s">
        <v>1412</v>
      </c>
      <c r="B272" s="1841" t="s">
        <v>1329</v>
      </c>
      <c r="C272" s="1851"/>
      <c r="D272" s="1851"/>
      <c r="E272" s="1851"/>
      <c r="F272" s="1843">
        <v>0.14000000000000001</v>
      </c>
    </row>
    <row r="273" spans="1:6" ht="14.25" thickBot="1">
      <c r="A273" s="1837" t="s">
        <v>1412</v>
      </c>
      <c r="B273" s="1841" t="s">
        <v>2175</v>
      </c>
      <c r="C273" s="1842">
        <v>0.14199999999999999</v>
      </c>
      <c r="D273" s="1842">
        <v>0.14299999999999999</v>
      </c>
      <c r="E273" s="1842">
        <v>0.15</v>
      </c>
      <c r="F273" s="1843">
        <v>0.1</v>
      </c>
    </row>
    <row r="274" spans="1:6" ht="14.25" thickBot="1">
      <c r="A274" s="1837" t="s">
        <v>1412</v>
      </c>
      <c r="B274" s="1841" t="s">
        <v>2176</v>
      </c>
      <c r="C274" s="1842">
        <v>0.14799999999999999</v>
      </c>
      <c r="D274" s="1842">
        <v>0.14799999999999999</v>
      </c>
      <c r="E274" s="1842">
        <v>0.15</v>
      </c>
      <c r="F274" s="1843">
        <v>6.7000000000000004E-2</v>
      </c>
    </row>
    <row r="275" spans="1:6" ht="14.25" thickBot="1">
      <c r="A275" s="1837" t="s">
        <v>1412</v>
      </c>
      <c r="B275" s="1841" t="s">
        <v>2177</v>
      </c>
      <c r="C275" s="1842">
        <v>0.15</v>
      </c>
      <c r="D275" s="1842">
        <v>0.15</v>
      </c>
      <c r="E275" s="1842">
        <v>0.15</v>
      </c>
      <c r="F275" s="1843">
        <v>0.15</v>
      </c>
    </row>
    <row r="276" spans="1:6" ht="14.25" thickBot="1">
      <c r="A276" s="1837" t="s">
        <v>1412</v>
      </c>
      <c r="B276" s="1841" t="s">
        <v>2178</v>
      </c>
      <c r="C276" s="1842">
        <v>0.14499999999999999</v>
      </c>
      <c r="D276" s="1842">
        <v>0.14299999999999999</v>
      </c>
      <c r="E276" s="1842">
        <v>0.15</v>
      </c>
      <c r="F276" s="1843">
        <v>5.8999999999999997E-2</v>
      </c>
    </row>
    <row r="277" spans="1:6" ht="14.25" thickBot="1">
      <c r="A277" s="1837" t="s">
        <v>1412</v>
      </c>
      <c r="B277" s="1841" t="s">
        <v>2179</v>
      </c>
      <c r="C277" s="1842">
        <v>0.15</v>
      </c>
      <c r="D277" s="1842">
        <v>0.15</v>
      </c>
      <c r="E277" s="1842">
        <v>0.15</v>
      </c>
      <c r="F277" s="1843">
        <v>0.121</v>
      </c>
    </row>
    <row r="278" spans="1:6" ht="14.25" thickBot="1">
      <c r="A278" s="1837" t="s">
        <v>1412</v>
      </c>
      <c r="B278" s="1841" t="s">
        <v>2180</v>
      </c>
      <c r="C278" s="1842">
        <v>0.15</v>
      </c>
      <c r="D278" s="1842">
        <v>0.15</v>
      </c>
      <c r="E278" s="1842">
        <v>0.15</v>
      </c>
      <c r="F278" s="1843">
        <v>0.13800000000000001</v>
      </c>
    </row>
    <row r="279" spans="1:6" ht="24.75" thickBot="1">
      <c r="A279" s="1837" t="s">
        <v>1412</v>
      </c>
      <c r="B279" s="1841" t="s">
        <v>2181</v>
      </c>
      <c r="C279" s="1851"/>
      <c r="D279" s="1851"/>
      <c r="E279" s="1851"/>
      <c r="F279" s="1843">
        <v>0.05</v>
      </c>
    </row>
    <row r="280" spans="1:6" ht="24.75" thickBot="1">
      <c r="A280" s="1837" t="s">
        <v>1412</v>
      </c>
      <c r="B280" s="1841" t="s">
        <v>2182</v>
      </c>
      <c r="C280" s="1851"/>
      <c r="D280" s="1851"/>
      <c r="E280" s="1851"/>
      <c r="F280" s="1843">
        <v>0.05</v>
      </c>
    </row>
    <row r="281" spans="1:6" ht="24.75" thickBot="1">
      <c r="A281" s="1837" t="s">
        <v>1412</v>
      </c>
      <c r="B281" s="1841" t="s">
        <v>2183</v>
      </c>
      <c r="C281" s="1851"/>
      <c r="D281" s="1851"/>
      <c r="E281" s="1851"/>
      <c r="F281" s="1843">
        <v>0.05</v>
      </c>
    </row>
    <row r="282" spans="1:6" ht="24.75" thickBot="1">
      <c r="A282" s="1837" t="s">
        <v>1412</v>
      </c>
      <c r="B282" s="1841" t="s">
        <v>2184</v>
      </c>
      <c r="C282" s="1851"/>
      <c r="D282" s="1851"/>
      <c r="E282" s="1851"/>
      <c r="F282" s="1843">
        <v>0.05</v>
      </c>
    </row>
    <row r="283" spans="1:6" ht="24.75" thickBot="1">
      <c r="A283" s="1837" t="s">
        <v>1412</v>
      </c>
      <c r="B283" s="1841" t="s">
        <v>2185</v>
      </c>
      <c r="C283" s="1851"/>
      <c r="D283" s="1851"/>
      <c r="E283" s="1851"/>
      <c r="F283" s="1843">
        <v>0.05</v>
      </c>
    </row>
    <row r="284" spans="1:6" ht="24.75" thickBot="1">
      <c r="A284" s="1837" t="s">
        <v>1412</v>
      </c>
      <c r="B284" s="1841" t="s">
        <v>2186</v>
      </c>
      <c r="C284" s="1851"/>
      <c r="D284" s="1851"/>
      <c r="E284" s="1851"/>
      <c r="F284" s="1843">
        <v>0.05</v>
      </c>
    </row>
    <row r="285" spans="1:6" ht="24.75" thickBot="1">
      <c r="A285" s="1837" t="s">
        <v>1412</v>
      </c>
      <c r="B285" s="1841" t="s">
        <v>2187</v>
      </c>
      <c r="C285" s="1851"/>
      <c r="D285" s="1851"/>
      <c r="E285" s="1851"/>
      <c r="F285" s="1843">
        <v>0.05</v>
      </c>
    </row>
    <row r="286" spans="1:6" ht="24.75" thickBot="1">
      <c r="A286" s="1837" t="s">
        <v>1412</v>
      </c>
      <c r="B286" s="1841" t="s">
        <v>2188</v>
      </c>
      <c r="C286" s="1851"/>
      <c r="D286" s="1851"/>
      <c r="E286" s="1851"/>
      <c r="F286" s="1843">
        <v>0.05</v>
      </c>
    </row>
    <row r="287" spans="1:6" ht="24.75" thickBot="1">
      <c r="A287" s="1837" t="s">
        <v>1412</v>
      </c>
      <c r="B287" s="1841" t="s">
        <v>2189</v>
      </c>
      <c r="C287" s="1851"/>
      <c r="D287" s="1851"/>
      <c r="E287" s="1851"/>
      <c r="F287" s="1843">
        <v>0.05</v>
      </c>
    </row>
    <row r="288" spans="1:6" ht="24.75" thickBot="1">
      <c r="A288" s="1837" t="s">
        <v>1412</v>
      </c>
      <c r="B288" s="1841" t="s">
        <v>2190</v>
      </c>
      <c r="C288" s="1851"/>
      <c r="D288" s="1851"/>
      <c r="E288" s="1851"/>
      <c r="F288" s="1843">
        <v>0.05</v>
      </c>
    </row>
    <row r="289" spans="1:6" ht="24.75" thickBot="1">
      <c r="A289" s="1845" t="s">
        <v>1412</v>
      </c>
      <c r="B289" s="1852" t="s">
        <v>2191</v>
      </c>
      <c r="C289" s="1848"/>
      <c r="D289" s="1848"/>
      <c r="E289" s="1848"/>
      <c r="F289" s="1853">
        <v>0.05</v>
      </c>
    </row>
    <row r="290" spans="1:6" ht="14.25" thickBot="1">
      <c r="A290" s="1837" t="s">
        <v>1416</v>
      </c>
      <c r="B290" s="1838" t="s">
        <v>2192</v>
      </c>
      <c r="C290" s="1839">
        <v>0.15</v>
      </c>
      <c r="D290" s="1839">
        <v>0.15</v>
      </c>
      <c r="E290" s="1839">
        <v>0.15</v>
      </c>
      <c r="F290" s="1861"/>
    </row>
    <row r="291" spans="1:6" ht="14.25" thickBot="1">
      <c r="A291" s="1837" t="s">
        <v>1416</v>
      </c>
      <c r="B291" s="1841" t="s">
        <v>1076</v>
      </c>
      <c r="C291" s="1842">
        <v>0.15</v>
      </c>
      <c r="D291" s="1842">
        <v>0.15</v>
      </c>
      <c r="E291" s="1842">
        <v>0.15</v>
      </c>
      <c r="F291" s="1850"/>
    </row>
    <row r="292" spans="1:6" ht="14.25" thickBot="1">
      <c r="A292" s="1837" t="s">
        <v>1416</v>
      </c>
      <c r="B292" s="1841" t="s">
        <v>2193</v>
      </c>
      <c r="C292" s="1842">
        <v>0.15</v>
      </c>
      <c r="D292" s="1842">
        <v>0.15</v>
      </c>
      <c r="E292" s="1842">
        <v>0.15</v>
      </c>
      <c r="F292" s="1843">
        <v>0.14699999999999999</v>
      </c>
    </row>
    <row r="293" spans="1:6" ht="14.25" thickBot="1">
      <c r="A293" s="1837" t="s">
        <v>1416</v>
      </c>
      <c r="B293" s="1841" t="s">
        <v>2194</v>
      </c>
      <c r="C293" s="1851"/>
      <c r="D293" s="1851"/>
      <c r="E293" s="1851"/>
      <c r="F293" s="1843">
        <v>0.1</v>
      </c>
    </row>
    <row r="294" spans="1:6" ht="14.25" thickBot="1">
      <c r="A294" s="1837" t="s">
        <v>1416</v>
      </c>
      <c r="B294" s="1841" t="s">
        <v>2195</v>
      </c>
      <c r="C294" s="1842">
        <v>0.15</v>
      </c>
      <c r="D294" s="1842">
        <v>0.15</v>
      </c>
      <c r="E294" s="1842">
        <v>0.15</v>
      </c>
      <c r="F294" s="1843">
        <v>0.15</v>
      </c>
    </row>
    <row r="295" spans="1:6" ht="14.25" thickBot="1">
      <c r="A295" s="1837" t="s">
        <v>1416</v>
      </c>
      <c r="B295" s="1841" t="s">
        <v>1117</v>
      </c>
      <c r="C295" s="1842">
        <v>0.15</v>
      </c>
      <c r="D295" s="1842">
        <v>0.15</v>
      </c>
      <c r="E295" s="1842">
        <v>0.15</v>
      </c>
      <c r="F295" s="1843">
        <v>0.15</v>
      </c>
    </row>
    <row r="296" spans="1:6" ht="14.25" thickBot="1">
      <c r="A296" s="1837" t="s">
        <v>1416</v>
      </c>
      <c r="B296" s="1841" t="s">
        <v>2196</v>
      </c>
      <c r="C296" s="1842">
        <v>0.15</v>
      </c>
      <c r="D296" s="1842">
        <v>0.15</v>
      </c>
      <c r="E296" s="1842">
        <v>0.15</v>
      </c>
      <c r="F296" s="1843">
        <v>0.15</v>
      </c>
    </row>
    <row r="297" spans="1:6" ht="14.25" thickBot="1">
      <c r="A297" s="1837" t="s">
        <v>1416</v>
      </c>
      <c r="B297" s="1841" t="s">
        <v>2197</v>
      </c>
      <c r="C297" s="1842">
        <v>0.14799999999999999</v>
      </c>
      <c r="D297" s="1842">
        <v>0.14899999999999999</v>
      </c>
      <c r="E297" s="1842">
        <v>0.15</v>
      </c>
      <c r="F297" s="1843">
        <v>0.13700000000000001</v>
      </c>
    </row>
    <row r="298" spans="1:6" ht="14.25" thickBot="1">
      <c r="A298" s="1837" t="s">
        <v>1416</v>
      </c>
      <c r="B298" s="1841" t="s">
        <v>1150</v>
      </c>
      <c r="C298" s="1842">
        <v>0.13400000000000001</v>
      </c>
      <c r="D298" s="1842">
        <v>0.13400000000000001</v>
      </c>
      <c r="E298" s="1842">
        <v>0.14499999999999999</v>
      </c>
      <c r="F298" s="1843">
        <v>0.14799999999999999</v>
      </c>
    </row>
    <row r="299" spans="1:6" ht="14.25" thickBot="1">
      <c r="A299" s="1837" t="s">
        <v>1416</v>
      </c>
      <c r="B299" s="1841" t="s">
        <v>1162</v>
      </c>
      <c r="C299" s="1842">
        <v>0.15</v>
      </c>
      <c r="D299" s="1842">
        <v>0.15</v>
      </c>
      <c r="E299" s="1842">
        <v>0.15</v>
      </c>
      <c r="F299" s="1850"/>
    </row>
    <row r="300" spans="1:6" ht="14.25" thickBot="1">
      <c r="A300" s="1837" t="s">
        <v>1416</v>
      </c>
      <c r="B300" s="1841" t="s">
        <v>2198</v>
      </c>
      <c r="C300" s="1842">
        <v>0.15</v>
      </c>
      <c r="D300" s="1842">
        <v>0.15</v>
      </c>
      <c r="E300" s="1842">
        <v>0.15</v>
      </c>
      <c r="F300" s="1843">
        <v>0.15</v>
      </c>
    </row>
    <row r="301" spans="1:6" ht="14.25" thickBot="1">
      <c r="A301" s="1837" t="s">
        <v>1416</v>
      </c>
      <c r="B301" s="1841" t="s">
        <v>1182</v>
      </c>
      <c r="C301" s="1842">
        <v>0.15</v>
      </c>
      <c r="D301" s="1842">
        <v>0.15</v>
      </c>
      <c r="E301" s="1842">
        <v>0.15</v>
      </c>
      <c r="F301" s="1850"/>
    </row>
    <row r="302" spans="1:6" ht="14.25" thickBot="1">
      <c r="A302" s="1837" t="s">
        <v>1416</v>
      </c>
      <c r="B302" s="1841" t="s">
        <v>2199</v>
      </c>
      <c r="C302" s="1842">
        <v>0.15</v>
      </c>
      <c r="D302" s="1842">
        <v>0.15</v>
      </c>
      <c r="E302" s="1842">
        <v>0.15</v>
      </c>
      <c r="F302" s="1843">
        <v>0.15</v>
      </c>
    </row>
    <row r="303" spans="1:6" ht="14.25" thickBot="1">
      <c r="A303" s="1837" t="s">
        <v>1416</v>
      </c>
      <c r="B303" s="1841" t="s">
        <v>1202</v>
      </c>
      <c r="C303" s="1842">
        <v>0.15</v>
      </c>
      <c r="D303" s="1842">
        <v>0.15</v>
      </c>
      <c r="E303" s="1842">
        <v>0.15</v>
      </c>
      <c r="F303" s="1843">
        <v>0.15</v>
      </c>
    </row>
    <row r="304" spans="1:6" ht="14.25" thickBot="1">
      <c r="A304" s="1837" t="s">
        <v>1416</v>
      </c>
      <c r="B304" s="1841" t="s">
        <v>1212</v>
      </c>
      <c r="C304" s="1842">
        <v>0.15</v>
      </c>
      <c r="D304" s="1842">
        <v>0.15</v>
      </c>
      <c r="E304" s="1842">
        <v>0.15</v>
      </c>
      <c r="F304" s="1850"/>
    </row>
    <row r="305" spans="1:6" ht="14.25" thickBot="1">
      <c r="A305" s="1837" t="s">
        <v>1416</v>
      </c>
      <c r="B305" s="1841" t="s">
        <v>2200</v>
      </c>
      <c r="C305" s="1842">
        <v>0.15</v>
      </c>
      <c r="D305" s="1842">
        <v>0.15</v>
      </c>
      <c r="E305" s="1842">
        <v>0.15</v>
      </c>
      <c r="F305" s="1843">
        <v>0.14000000000000001</v>
      </c>
    </row>
    <row r="306" spans="1:6" ht="14.25" thickBot="1">
      <c r="A306" s="1837" t="s">
        <v>1416</v>
      </c>
      <c r="B306" s="1841" t="s">
        <v>1232</v>
      </c>
      <c r="C306" s="1842">
        <v>0.15</v>
      </c>
      <c r="D306" s="1842">
        <v>0.15</v>
      </c>
      <c r="E306" s="1842">
        <v>0.15</v>
      </c>
      <c r="F306" s="1850"/>
    </row>
    <row r="307" spans="1:6" ht="14.25" thickBot="1">
      <c r="A307" s="1837" t="s">
        <v>1416</v>
      </c>
      <c r="B307" s="1841" t="s">
        <v>2201</v>
      </c>
      <c r="C307" s="1842">
        <v>0.15</v>
      </c>
      <c r="D307" s="1842">
        <v>0.15</v>
      </c>
      <c r="E307" s="1842">
        <v>0.15</v>
      </c>
      <c r="F307" s="1843">
        <v>0.14299999999999999</v>
      </c>
    </row>
    <row r="308" spans="1:6" ht="14.25" thickBot="1">
      <c r="A308" s="1837" t="s">
        <v>1416</v>
      </c>
      <c r="B308" s="1841" t="s">
        <v>1252</v>
      </c>
      <c r="C308" s="1842">
        <v>0.15</v>
      </c>
      <c r="D308" s="1842">
        <v>0.15</v>
      </c>
      <c r="E308" s="1842">
        <v>0.15</v>
      </c>
      <c r="F308" s="1843">
        <v>0.15</v>
      </c>
    </row>
    <row r="309" spans="1:6" ht="14.25" thickBot="1">
      <c r="A309" s="1837" t="s">
        <v>1416</v>
      </c>
      <c r="B309" s="1841" t="s">
        <v>1262</v>
      </c>
      <c r="C309" s="1842">
        <v>0.15</v>
      </c>
      <c r="D309" s="1842">
        <v>0.15</v>
      </c>
      <c r="E309" s="1842">
        <v>0.15</v>
      </c>
      <c r="F309" s="1850"/>
    </row>
    <row r="310" spans="1:6" ht="14.25" thickBot="1">
      <c r="A310" s="1837" t="s">
        <v>1416</v>
      </c>
      <c r="B310" s="1841" t="s">
        <v>2202</v>
      </c>
      <c r="C310" s="1842">
        <v>0.15</v>
      </c>
      <c r="D310" s="1842">
        <v>0.15</v>
      </c>
      <c r="E310" s="1842">
        <v>0.15</v>
      </c>
      <c r="F310" s="1843">
        <v>0.13700000000000001</v>
      </c>
    </row>
    <row r="311" spans="1:6" ht="14.25" thickBot="1">
      <c r="A311" s="1837" t="s">
        <v>1416</v>
      </c>
      <c r="B311" s="1841" t="s">
        <v>2203</v>
      </c>
      <c r="C311" s="1842">
        <v>0.15</v>
      </c>
      <c r="D311" s="1842">
        <v>0.15</v>
      </c>
      <c r="E311" s="1842">
        <v>0.15</v>
      </c>
      <c r="F311" s="1843">
        <v>0.15</v>
      </c>
    </row>
    <row r="312" spans="1:6" ht="14.25" thickBot="1">
      <c r="A312" s="1837" t="s">
        <v>1416</v>
      </c>
      <c r="B312" s="1841" t="s">
        <v>1288</v>
      </c>
      <c r="C312" s="1842">
        <v>0.15</v>
      </c>
      <c r="D312" s="1842">
        <v>0.15</v>
      </c>
      <c r="E312" s="1842">
        <v>0.15</v>
      </c>
      <c r="F312" s="1843">
        <v>0.1</v>
      </c>
    </row>
    <row r="313" spans="1:6" ht="14.25" thickBot="1">
      <c r="A313" s="1837" t="s">
        <v>1416</v>
      </c>
      <c r="B313" s="1841" t="s">
        <v>2204</v>
      </c>
      <c r="C313" s="1842">
        <v>0.15</v>
      </c>
      <c r="D313" s="1842">
        <v>0.15</v>
      </c>
      <c r="E313" s="1842">
        <v>0.15</v>
      </c>
      <c r="F313" s="1843">
        <v>0.15</v>
      </c>
    </row>
    <row r="314" spans="1:6" ht="24.75" thickBot="1">
      <c r="A314" s="1837" t="s">
        <v>1416</v>
      </c>
      <c r="B314" s="1841" t="s">
        <v>2205</v>
      </c>
      <c r="C314" s="1851"/>
      <c r="D314" s="1851"/>
      <c r="E314" s="1851"/>
      <c r="F314" s="1843">
        <v>0.05</v>
      </c>
    </row>
    <row r="315" spans="1:6" ht="24.75" thickBot="1">
      <c r="A315" s="1837" t="s">
        <v>1416</v>
      </c>
      <c r="B315" s="1841" t="s">
        <v>2206</v>
      </c>
      <c r="C315" s="1851"/>
      <c r="D315" s="1851"/>
      <c r="E315" s="1851"/>
      <c r="F315" s="1843">
        <v>0.05</v>
      </c>
    </row>
    <row r="316" spans="1:6" ht="24.75" thickBot="1">
      <c r="A316" s="1845" t="s">
        <v>1416</v>
      </c>
      <c r="B316" s="1852" t="s">
        <v>2207</v>
      </c>
      <c r="C316" s="1848"/>
      <c r="D316" s="1848"/>
      <c r="E316" s="1848"/>
      <c r="F316" s="1853">
        <v>0.05</v>
      </c>
    </row>
    <row r="317" spans="1:6" ht="14.25" thickBot="1">
      <c r="A317" s="1837" t="s">
        <v>2208</v>
      </c>
      <c r="B317" s="1838" t="s">
        <v>2209</v>
      </c>
      <c r="C317" s="1839">
        <v>0.15</v>
      </c>
      <c r="D317" s="1839">
        <v>0.15</v>
      </c>
      <c r="E317" s="1839">
        <v>0.15</v>
      </c>
      <c r="F317" s="1840">
        <v>0.15</v>
      </c>
    </row>
    <row r="318" spans="1:6" ht="14.25" thickBot="1">
      <c r="A318" s="1837" t="s">
        <v>2208</v>
      </c>
      <c r="B318" s="1841" t="s">
        <v>2210</v>
      </c>
      <c r="C318" s="1842">
        <v>0.107</v>
      </c>
      <c r="D318" s="1842">
        <v>0.11</v>
      </c>
      <c r="E318" s="1842">
        <v>0.112</v>
      </c>
      <c r="F318" s="1850"/>
    </row>
    <row r="319" spans="1:6" ht="14.25" thickBot="1">
      <c r="A319" s="1837" t="s">
        <v>2208</v>
      </c>
      <c r="B319" s="1841" t="s">
        <v>2211</v>
      </c>
      <c r="C319" s="1842">
        <v>0.15</v>
      </c>
      <c r="D319" s="1842">
        <v>0.15</v>
      </c>
      <c r="E319" s="1842">
        <v>0.15</v>
      </c>
      <c r="F319" s="1843">
        <v>0.15</v>
      </c>
    </row>
    <row r="320" spans="1:6" ht="14.25" thickBot="1">
      <c r="A320" s="1837" t="s">
        <v>2208</v>
      </c>
      <c r="B320" s="1841" t="s">
        <v>1104</v>
      </c>
      <c r="C320" s="1842">
        <v>0.15</v>
      </c>
      <c r="D320" s="1842">
        <v>0.15</v>
      </c>
      <c r="E320" s="1842">
        <v>0.15</v>
      </c>
      <c r="F320" s="1850"/>
    </row>
    <row r="321" spans="1:6" ht="14.25" thickBot="1">
      <c r="A321" s="1837" t="s">
        <v>2208</v>
      </c>
      <c r="B321" s="1841" t="s">
        <v>2212</v>
      </c>
      <c r="C321" s="1842">
        <v>0.15</v>
      </c>
      <c r="D321" s="1842">
        <v>0.15</v>
      </c>
      <c r="E321" s="1842">
        <v>0.15</v>
      </c>
      <c r="F321" s="1850"/>
    </row>
    <row r="322" spans="1:6" ht="14.25" thickBot="1">
      <c r="A322" s="1837" t="s">
        <v>2208</v>
      </c>
      <c r="B322" s="1841" t="s">
        <v>2213</v>
      </c>
      <c r="C322" s="1842">
        <v>0.15</v>
      </c>
      <c r="D322" s="1842">
        <v>0.15</v>
      </c>
      <c r="E322" s="1842">
        <v>0.15</v>
      </c>
      <c r="F322" s="1843">
        <v>0.15</v>
      </c>
    </row>
    <row r="323" spans="1:6" ht="14.25" thickBot="1">
      <c r="A323" s="1837" t="s">
        <v>2208</v>
      </c>
      <c r="B323" s="1841" t="s">
        <v>2214</v>
      </c>
      <c r="C323" s="1842">
        <v>0.15</v>
      </c>
      <c r="D323" s="1842">
        <v>0.15</v>
      </c>
      <c r="E323" s="1842">
        <v>0.15</v>
      </c>
      <c r="F323" s="1850"/>
    </row>
    <row r="324" spans="1:6" ht="14.25" thickBot="1">
      <c r="A324" s="1837" t="s">
        <v>2208</v>
      </c>
      <c r="B324" s="1841" t="s">
        <v>2215</v>
      </c>
      <c r="C324" s="1842">
        <v>0.15</v>
      </c>
      <c r="D324" s="1842">
        <v>0.15</v>
      </c>
      <c r="E324" s="1842">
        <v>0.15</v>
      </c>
      <c r="F324" s="1850"/>
    </row>
    <row r="325" spans="1:6" ht="14.25" thickBot="1">
      <c r="A325" s="1837" t="s">
        <v>2208</v>
      </c>
      <c r="B325" s="1841" t="s">
        <v>2216</v>
      </c>
      <c r="C325" s="1842">
        <v>0.15</v>
      </c>
      <c r="D325" s="1842">
        <v>0.15</v>
      </c>
      <c r="E325" s="1842">
        <v>0.15</v>
      </c>
      <c r="F325" s="1843">
        <v>0.14699999999999999</v>
      </c>
    </row>
    <row r="326" spans="1:6" ht="14.25" thickBot="1">
      <c r="A326" s="1837" t="s">
        <v>2208</v>
      </c>
      <c r="B326" s="1841" t="s">
        <v>1173</v>
      </c>
      <c r="C326" s="1842">
        <v>0.15</v>
      </c>
      <c r="D326" s="1842">
        <v>0.15</v>
      </c>
      <c r="E326" s="1842">
        <v>0.15</v>
      </c>
      <c r="F326" s="1850"/>
    </row>
    <row r="327" spans="1:6" ht="14.25" thickBot="1">
      <c r="A327" s="1837" t="s">
        <v>2208</v>
      </c>
      <c r="B327" s="1841" t="s">
        <v>2217</v>
      </c>
      <c r="C327" s="1842">
        <v>0.15</v>
      </c>
      <c r="D327" s="1842">
        <v>0.15</v>
      </c>
      <c r="E327" s="1842">
        <v>0.15</v>
      </c>
      <c r="F327" s="1843">
        <v>0.15</v>
      </c>
    </row>
    <row r="328" spans="1:6" ht="14.25" thickBot="1">
      <c r="A328" s="1837" t="s">
        <v>2208</v>
      </c>
      <c r="B328" s="1841" t="s">
        <v>1193</v>
      </c>
      <c r="C328" s="1842">
        <v>0.15</v>
      </c>
      <c r="D328" s="1842">
        <v>0.15</v>
      </c>
      <c r="E328" s="1842">
        <v>0.15</v>
      </c>
      <c r="F328" s="1843">
        <v>0.14099999999999999</v>
      </c>
    </row>
    <row r="329" spans="1:6" ht="14.25" thickBot="1">
      <c r="A329" s="1837" t="s">
        <v>2208</v>
      </c>
      <c r="B329" s="1841" t="s">
        <v>1203</v>
      </c>
      <c r="C329" s="1842">
        <v>0.15</v>
      </c>
      <c r="D329" s="1842">
        <v>0.15</v>
      </c>
      <c r="E329" s="1842">
        <v>0.15</v>
      </c>
      <c r="F329" s="1843">
        <v>0.15</v>
      </c>
    </row>
    <row r="330" spans="1:6" ht="14.25" thickBot="1">
      <c r="A330" s="1837" t="s">
        <v>2208</v>
      </c>
      <c r="B330" s="1841" t="s">
        <v>1213</v>
      </c>
      <c r="C330" s="1842">
        <v>0.15</v>
      </c>
      <c r="D330" s="1842">
        <v>0.15</v>
      </c>
      <c r="E330" s="1842">
        <v>0.15</v>
      </c>
      <c r="F330" s="1850"/>
    </row>
    <row r="331" spans="1:6" ht="14.25" thickBot="1">
      <c r="A331" s="1837" t="s">
        <v>2208</v>
      </c>
      <c r="B331" s="1841" t="s">
        <v>2218</v>
      </c>
      <c r="C331" s="1842">
        <v>0.15</v>
      </c>
      <c r="D331" s="1842">
        <v>0.15</v>
      </c>
      <c r="E331" s="1842">
        <v>0.15</v>
      </c>
      <c r="F331" s="1843">
        <v>0.15</v>
      </c>
    </row>
    <row r="332" spans="1:6" ht="14.25" thickBot="1">
      <c r="A332" s="1837" t="s">
        <v>2208</v>
      </c>
      <c r="B332" s="1841" t="s">
        <v>1233</v>
      </c>
      <c r="C332" s="1842">
        <v>0.15</v>
      </c>
      <c r="D332" s="1842">
        <v>0.15</v>
      </c>
      <c r="E332" s="1842">
        <v>0.15</v>
      </c>
      <c r="F332" s="1843">
        <v>0.15</v>
      </c>
    </row>
    <row r="333" spans="1:6" ht="14.25" thickBot="1">
      <c r="A333" s="1837" t="s">
        <v>2208</v>
      </c>
      <c r="B333" s="1841" t="s">
        <v>2219</v>
      </c>
      <c r="C333" s="1842">
        <v>0.15</v>
      </c>
      <c r="D333" s="1842">
        <v>0.15</v>
      </c>
      <c r="E333" s="1842">
        <v>0.15</v>
      </c>
      <c r="F333" s="1843">
        <v>0.14099999999999999</v>
      </c>
    </row>
    <row r="334" spans="1:6" ht="14.25" thickBot="1">
      <c r="A334" s="1837" t="s">
        <v>2208</v>
      </c>
      <c r="B334" s="1841" t="s">
        <v>1253</v>
      </c>
      <c r="C334" s="1842">
        <v>0.15</v>
      </c>
      <c r="D334" s="1842">
        <v>0.15</v>
      </c>
      <c r="E334" s="1842">
        <v>0.15</v>
      </c>
      <c r="F334" s="1843">
        <v>0.15</v>
      </c>
    </row>
    <row r="335" spans="1:6" ht="14.25" thickBot="1">
      <c r="A335" s="1837" t="s">
        <v>2208</v>
      </c>
      <c r="B335" s="1841" t="s">
        <v>1263</v>
      </c>
      <c r="C335" s="1842">
        <v>0.15</v>
      </c>
      <c r="D335" s="1842">
        <v>0.15</v>
      </c>
      <c r="E335" s="1842">
        <v>0.15</v>
      </c>
      <c r="F335" s="1850"/>
    </row>
    <row r="336" spans="1:6" ht="14.25" thickBot="1">
      <c r="A336" s="1837" t="s">
        <v>2208</v>
      </c>
      <c r="B336" s="1841" t="s">
        <v>2220</v>
      </c>
      <c r="C336" s="1842">
        <v>0.15</v>
      </c>
      <c r="D336" s="1842">
        <v>0.15</v>
      </c>
      <c r="E336" s="1842">
        <v>0.15</v>
      </c>
      <c r="F336" s="1843">
        <v>0.11799999999999999</v>
      </c>
    </row>
    <row r="337" spans="1:6" ht="14.25" thickBot="1">
      <c r="A337" s="1845" t="s">
        <v>2208</v>
      </c>
      <c r="B337" s="1852" t="s">
        <v>1281</v>
      </c>
      <c r="C337" s="1848"/>
      <c r="D337" s="1848"/>
      <c r="E337" s="1848"/>
      <c r="F337" s="1853">
        <v>0.14299999999999999</v>
      </c>
    </row>
    <row r="338" spans="1:6" ht="14.25" thickBot="1">
      <c r="A338" s="1837" t="s">
        <v>2221</v>
      </c>
      <c r="B338" s="1838" t="s">
        <v>2222</v>
      </c>
      <c r="C338" s="1839">
        <v>0.15</v>
      </c>
      <c r="D338" s="1839">
        <v>0.15</v>
      </c>
      <c r="E338" s="1839">
        <v>0.15</v>
      </c>
      <c r="F338" s="1861"/>
    </row>
    <row r="339" spans="1:6" ht="14.25" thickBot="1">
      <c r="A339" s="1837" t="s">
        <v>2221</v>
      </c>
      <c r="B339" s="1841" t="s">
        <v>2223</v>
      </c>
      <c r="C339" s="1842">
        <v>0.15</v>
      </c>
      <c r="D339" s="1842">
        <v>0.15</v>
      </c>
      <c r="E339" s="1842">
        <v>0.15</v>
      </c>
      <c r="F339" s="1850"/>
    </row>
    <row r="340" spans="1:6" ht="14.25" thickBot="1">
      <c r="A340" s="1837" t="s">
        <v>2221</v>
      </c>
      <c r="B340" s="1841" t="s">
        <v>2224</v>
      </c>
      <c r="C340" s="1842">
        <v>0.15</v>
      </c>
      <c r="D340" s="1842">
        <v>0.15</v>
      </c>
      <c r="E340" s="1842">
        <v>0.15</v>
      </c>
      <c r="F340" s="1850"/>
    </row>
    <row r="341" spans="1:6" ht="14.25" thickBot="1">
      <c r="A341" s="1837" t="s">
        <v>2225</v>
      </c>
      <c r="B341" s="1841" t="s">
        <v>2226</v>
      </c>
      <c r="C341" s="1842">
        <v>0.15</v>
      </c>
      <c r="D341" s="1842">
        <v>0.15</v>
      </c>
      <c r="E341" s="1842">
        <v>0.15</v>
      </c>
      <c r="F341" s="1843">
        <v>0.15</v>
      </c>
    </row>
    <row r="342" spans="1:6" ht="14.25" thickBot="1">
      <c r="A342" s="1837" t="s">
        <v>2221</v>
      </c>
      <c r="B342" s="1841" t="s">
        <v>2227</v>
      </c>
      <c r="C342" s="1842">
        <v>0.15</v>
      </c>
      <c r="D342" s="1842">
        <v>0.15</v>
      </c>
      <c r="E342" s="1842">
        <v>0.15</v>
      </c>
      <c r="F342" s="1843">
        <v>0.15</v>
      </c>
    </row>
    <row r="343" spans="1:6" ht="14.25" thickBot="1">
      <c r="A343" s="1837" t="s">
        <v>2221</v>
      </c>
      <c r="B343" s="1841" t="s">
        <v>2228</v>
      </c>
      <c r="C343" s="1842">
        <v>0.15</v>
      </c>
      <c r="D343" s="1842">
        <v>0.15</v>
      </c>
      <c r="E343" s="1842">
        <v>0.15</v>
      </c>
      <c r="F343" s="1843">
        <v>0.15</v>
      </c>
    </row>
    <row r="344" spans="1:6" ht="14.25" thickBot="1">
      <c r="A344" s="1845" t="s">
        <v>2221</v>
      </c>
      <c r="B344" s="1852" t="s">
        <v>2229</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14"/>
  <sheetViews>
    <sheetView zoomScale="80" zoomScaleNormal="80" workbookViewId="0">
      <selection sqref="A1:XFD1048576"/>
    </sheetView>
  </sheetViews>
  <sheetFormatPr defaultColWidth="9" defaultRowHeight="12.75"/>
  <cols>
    <col min="1" max="1" width="9" style="3064"/>
    <col min="2" max="6" width="9" style="3064" customWidth="1"/>
    <col min="7" max="7" width="9" style="3102" customWidth="1"/>
    <col min="8" max="12" width="9" style="3064" customWidth="1"/>
    <col min="13" max="13" width="2.25" style="3064" customWidth="1"/>
    <col min="14" max="14" width="9" style="3102" customWidth="1"/>
    <col min="15" max="17" width="9" style="3064" customWidth="1"/>
    <col min="18" max="18" width="2.375" style="3064" customWidth="1"/>
    <col min="19" max="19" width="7.125" style="3102" customWidth="1"/>
    <col min="20" max="22" width="7.125" style="3064" customWidth="1"/>
    <col min="23" max="23" width="24" style="3064" customWidth="1"/>
    <col min="24" max="25" width="9" style="3064"/>
    <col min="26" max="27" width="11.625" style="3064" customWidth="1"/>
    <col min="28" max="28" width="9" style="3064"/>
    <col min="29" max="29" width="2" style="3064" customWidth="1"/>
    <col min="30" max="16384" width="9" style="3064"/>
  </cols>
  <sheetData>
    <row r="1" spans="1:34" s="3042" customFormat="1">
      <c r="B1" s="3468" t="s">
        <v>2566</v>
      </c>
      <c r="C1" s="3468"/>
      <c r="D1" s="3468"/>
      <c r="E1" s="3468"/>
      <c r="F1" s="3468"/>
      <c r="G1" s="3467" t="s">
        <v>2567</v>
      </c>
      <c r="H1" s="3467"/>
      <c r="I1" s="3467"/>
      <c r="J1" s="3467"/>
      <c r="K1" s="3467"/>
      <c r="L1" s="3467"/>
      <c r="N1" s="3467" t="s">
        <v>2568</v>
      </c>
      <c r="O1" s="3467"/>
      <c r="P1" s="3467"/>
      <c r="Q1" s="3467"/>
      <c r="S1" s="3467" t="s">
        <v>2569</v>
      </c>
      <c r="T1" s="3467"/>
      <c r="U1" s="3467"/>
      <c r="V1" s="3467"/>
      <c r="X1" s="3466" t="s">
        <v>2629</v>
      </c>
      <c r="Y1" s="3467"/>
      <c r="Z1" s="3467"/>
      <c r="AA1" s="3467"/>
      <c r="AB1" s="3467"/>
      <c r="AD1" s="3466" t="s">
        <v>2633</v>
      </c>
      <c r="AE1" s="3467"/>
      <c r="AF1" s="3467"/>
      <c r="AG1" s="3467"/>
      <c r="AH1" s="3467"/>
    </row>
    <row r="2" spans="1:34" s="3043" customFormat="1" ht="14.25" thickBot="1">
      <c r="B2" s="3044" t="s">
        <v>2570</v>
      </c>
      <c r="C2" s="3044" t="s">
        <v>2631</v>
      </c>
      <c r="D2" s="3045" t="s">
        <v>1641</v>
      </c>
      <c r="E2" s="3045" t="s">
        <v>1941</v>
      </c>
      <c r="F2" s="3044" t="s">
        <v>2632</v>
      </c>
      <c r="G2" s="3046"/>
      <c r="I2" s="3044" t="s">
        <v>2945</v>
      </c>
      <c r="J2" s="3045" t="s">
        <v>2947</v>
      </c>
      <c r="K2" s="3045" t="s">
        <v>2948</v>
      </c>
      <c r="L2" s="3044" t="s">
        <v>2949</v>
      </c>
      <c r="N2" s="3044" t="s">
        <v>2570</v>
      </c>
      <c r="O2" s="3045" t="s">
        <v>2946</v>
      </c>
      <c r="P2" s="3045" t="s">
        <v>1941</v>
      </c>
      <c r="Q2" s="3044" t="s">
        <v>2632</v>
      </c>
      <c r="S2" s="3044" t="s">
        <v>2570</v>
      </c>
      <c r="T2" s="3045" t="s">
        <v>2946</v>
      </c>
      <c r="U2" s="3045" t="s">
        <v>1941</v>
      </c>
      <c r="V2" s="3044" t="s">
        <v>2632</v>
      </c>
      <c r="X2" s="3044" t="s">
        <v>2570</v>
      </c>
      <c r="Y2" s="3044" t="s">
        <v>2631</v>
      </c>
      <c r="Z2" s="3045" t="s">
        <v>1641</v>
      </c>
      <c r="AA2" s="3045" t="s">
        <v>1941</v>
      </c>
      <c r="AB2" s="3044" t="s">
        <v>2632</v>
      </c>
      <c r="AD2" s="3044" t="s">
        <v>2570</v>
      </c>
      <c r="AE2" s="3044" t="s">
        <v>2631</v>
      </c>
      <c r="AF2" s="3045" t="s">
        <v>1641</v>
      </c>
      <c r="AG2" s="3045" t="s">
        <v>1941</v>
      </c>
      <c r="AH2" s="3044" t="s">
        <v>2632</v>
      </c>
    </row>
    <row r="3" spans="1:34" s="3053" customFormat="1" ht="14.25">
      <c r="A3" s="3047" t="s">
        <v>2958</v>
      </c>
      <c r="B3" s="3048"/>
      <c r="C3" s="3048"/>
      <c r="D3" s="3049"/>
      <c r="E3" s="3049"/>
      <c r="F3" s="3048"/>
      <c r="G3" s="3050"/>
      <c r="H3" s="3051"/>
      <c r="I3" s="3052">
        <f>ROUND(AVERAGE($I4:$I31),2)</f>
        <v>1.79</v>
      </c>
      <c r="J3" s="3052">
        <f>ROUND(AVERAGE($J4:$J31),2)</f>
        <v>1.2</v>
      </c>
      <c r="K3" s="3052">
        <f>ROUND(AVERAGE($K4:$K31),2)</f>
        <v>1.97</v>
      </c>
      <c r="L3" s="3052">
        <f>ROUND(AVERAGE($L4:$L31),2)</f>
        <v>1.27</v>
      </c>
      <c r="N3" s="3050"/>
      <c r="S3" s="3050"/>
      <c r="W3" s="3054"/>
      <c r="X3" s="3055">
        <f>ROUND(SUMPRODUCT(PRODUCT(1+N3:N$30)),4)</f>
        <v>1.5652999999999999</v>
      </c>
      <c r="Y3" s="3055">
        <f>ROUND(SUMPRODUCT(PRODUCT(1+O3:O$30)),4)</f>
        <v>1.3472</v>
      </c>
      <c r="Z3" s="3055">
        <f t="shared" ref="Z3:Z28" si="0">Y3</f>
        <v>1.3472</v>
      </c>
      <c r="AA3" s="3055">
        <f>ROUND(SUMPRODUCT(PRODUCT(1+P3:P$30)),4)</f>
        <v>1.6335999999999999</v>
      </c>
      <c r="AB3" s="3055">
        <f>ROUND(SUMPRODUCT(PRODUCT(1+Q3:Q$30)),4)</f>
        <v>1.3880999999999999</v>
      </c>
      <c r="AD3" s="3056">
        <f>ROUND(AVERAGE(I3:I$31)/100,4)</f>
        <v>1.7899999999999999E-2</v>
      </c>
      <c r="AE3" s="3056">
        <f>ROUND(AVERAGE(J3:J$31)/100,4)</f>
        <v>1.2E-2</v>
      </c>
      <c r="AF3" s="3056">
        <f t="shared" ref="AF3:AF29" si="1">AE3</f>
        <v>1.2E-2</v>
      </c>
      <c r="AG3" s="3056">
        <f>ROUND(AVERAGE(K3:K$31)/100,4)</f>
        <v>1.9699999999999999E-2</v>
      </c>
      <c r="AH3" s="3056">
        <f>ROUND(AVERAGE(L3:L$31)/100,4)</f>
        <v>1.2699999999999999E-2</v>
      </c>
    </row>
    <row r="4" spans="1:34" s="3057" customFormat="1" ht="14.25">
      <c r="B4" s="3058"/>
      <c r="C4" s="3058"/>
      <c r="D4" s="3059"/>
      <c r="E4" s="3059"/>
      <c r="F4" s="3058"/>
      <c r="G4" s="3060"/>
      <c r="H4" s="3061"/>
      <c r="I4" s="3062"/>
      <c r="J4" s="3062"/>
      <c r="K4" s="3062"/>
      <c r="L4" s="3062"/>
      <c r="N4" s="3060"/>
      <c r="S4" s="3060"/>
      <c r="W4" s="3063"/>
      <c r="X4" s="3064"/>
      <c r="Y4" s="3064"/>
      <c r="Z4" s="3064"/>
      <c r="AA4" s="3064"/>
      <c r="AB4" s="3064"/>
      <c r="AD4" s="3065"/>
      <c r="AE4" s="3065"/>
      <c r="AF4" s="3065"/>
      <c r="AG4" s="3065"/>
      <c r="AH4" s="3065"/>
    </row>
    <row r="5" spans="1:34" s="3070" customFormat="1">
      <c r="A5" s="3066" t="s">
        <v>2992</v>
      </c>
      <c r="B5" s="3067">
        <f t="shared" ref="B5" si="2">B6*(1+N5)</f>
        <v>481.4103506697644</v>
      </c>
      <c r="C5" s="3067">
        <f t="shared" ref="C5" si="3">C6*(1+O5)</f>
        <v>347.29066026648707</v>
      </c>
      <c r="D5" s="3067">
        <f t="shared" ref="D5" si="4">C5</f>
        <v>347.29066026648707</v>
      </c>
      <c r="E5" s="3067">
        <f t="shared" ref="E5" si="5">E6*(1+P5)</f>
        <v>690.85977273901995</v>
      </c>
      <c r="F5" s="3067">
        <f t="shared" ref="F5" si="6">F6*(1+Q5)</f>
        <v>319.13136737000184</v>
      </c>
      <c r="G5" s="3060">
        <v>2020</v>
      </c>
      <c r="H5" s="3068">
        <v>3</v>
      </c>
      <c r="I5" s="3069">
        <v>0</v>
      </c>
      <c r="J5" s="3069">
        <v>0</v>
      </c>
      <c r="K5" s="3069">
        <v>0</v>
      </c>
      <c r="L5" s="3069">
        <v>0</v>
      </c>
      <c r="N5" s="3071">
        <f t="shared" ref="N5" si="7">I5/100</f>
        <v>0</v>
      </c>
      <c r="O5" s="3071">
        <f t="shared" ref="O5" si="8">J5/100</f>
        <v>0</v>
      </c>
      <c r="P5" s="3071">
        <f t="shared" ref="P5" si="9">K5/100</f>
        <v>0</v>
      </c>
      <c r="Q5" s="3071">
        <f t="shared" ref="Q5" si="10">L5/100</f>
        <v>0</v>
      </c>
      <c r="S5" s="3072"/>
      <c r="W5" s="3073" t="s">
        <v>2959</v>
      </c>
      <c r="X5" s="3074">
        <f>ROUND(IF(项目基本情况!B7="出让",SUMPRODUCT(PRODUCT(1+N5:N$31)),SUMPRODUCT(PRODUCT(1+N5:N$30))),4)</f>
        <v>1.5652999999999999</v>
      </c>
      <c r="Y5" s="3074">
        <f>ROUND(IF(项目基本情况!B7="出让",SUMPRODUCT(PRODUCT(1+O5:O$31)),SUMPRODUCT(PRODUCT(1+O5:O$30))),4)</f>
        <v>1.3472</v>
      </c>
      <c r="Z5" s="3074">
        <f t="shared" ref="Z5" si="11">Y5</f>
        <v>1.3472</v>
      </c>
      <c r="AA5" s="3074">
        <f>ROUND(IF(项目基本情况!B7="出让",SUMPRODUCT(PRODUCT(1+P5:P$31)),SUMPRODUCT(PRODUCT(1+P5:P$30))),4)</f>
        <v>1.6335999999999999</v>
      </c>
      <c r="AB5" s="3074">
        <f>ROUND(IF(项目基本情况!B7="出让",SUMPRODUCT(PRODUCT(1+Q5:Q$31)),SUMPRODUCT(PRODUCT(1+Q5:Q$30))),4)</f>
        <v>1.3880999999999999</v>
      </c>
      <c r="AD5" s="3075">
        <f>ROUND(AVERAGE(I5:I$31)/100,4)</f>
        <v>1.7899999999999999E-2</v>
      </c>
      <c r="AE5" s="3075">
        <f>ROUND(AVERAGE(J5:J$31)/100,4)</f>
        <v>1.2E-2</v>
      </c>
      <c r="AF5" s="3075">
        <f t="shared" ref="AF5" si="12">AE5</f>
        <v>1.2E-2</v>
      </c>
      <c r="AG5" s="3075">
        <f>ROUND(AVERAGE(K5:K$31)/100,4)</f>
        <v>1.9699999999999999E-2</v>
      </c>
      <c r="AH5" s="3075">
        <f>ROUND(AVERAGE(L5:L$31)/100,4)</f>
        <v>1.2699999999999999E-2</v>
      </c>
    </row>
    <row r="6" spans="1:34" s="3083" customFormat="1">
      <c r="A6" s="3076" t="s">
        <v>2991</v>
      </c>
      <c r="B6" s="3077">
        <f t="shared" ref="B6" si="13">B7*(1+N6)</f>
        <v>481.4103506697644</v>
      </c>
      <c r="C6" s="3077">
        <f t="shared" ref="C6" si="14">C7*(1+O6)</f>
        <v>347.29066026648707</v>
      </c>
      <c r="D6" s="3077">
        <f t="shared" ref="D6" si="15">C6</f>
        <v>347.29066026648707</v>
      </c>
      <c r="E6" s="3077">
        <f t="shared" ref="E6" si="16">E7*(1+P6)</f>
        <v>690.85977273901995</v>
      </c>
      <c r="F6" s="3077">
        <f t="shared" ref="F6" si="17">F7*(1+Q6)</f>
        <v>319.13136737000184</v>
      </c>
      <c r="G6" s="3060">
        <v>2020</v>
      </c>
      <c r="H6" s="3078">
        <v>2</v>
      </c>
      <c r="I6" s="3040">
        <v>0.31</v>
      </c>
      <c r="J6" s="3040">
        <v>-0.78</v>
      </c>
      <c r="K6" s="3040">
        <v>0.5</v>
      </c>
      <c r="L6" s="3041">
        <v>0.47</v>
      </c>
      <c r="M6" s="3064"/>
      <c r="N6" s="3079">
        <f t="shared" ref="N6" si="18">I6/100</f>
        <v>3.0999999999999999E-3</v>
      </c>
      <c r="O6" s="3065">
        <f t="shared" ref="O6" si="19">J6/100</f>
        <v>-7.8000000000000005E-3</v>
      </c>
      <c r="P6" s="3065">
        <f t="shared" ref="P6" si="20">K6/100</f>
        <v>5.0000000000000001E-3</v>
      </c>
      <c r="Q6" s="3065">
        <f t="shared" ref="Q6" si="21">L6/100</f>
        <v>4.6999999999999993E-3</v>
      </c>
      <c r="R6" s="3080"/>
      <c r="S6" s="3081"/>
      <c r="T6" s="3082"/>
      <c r="U6" s="3082"/>
      <c r="V6" s="3082"/>
      <c r="W6" s="3064"/>
      <c r="X6" s="3064">
        <f>ROUND(IF(项目基本情况!B8="出让",SUMPRODUCT(PRODUCT(1+N6:N$31)),SUMPRODUCT(PRODUCT(1+N6:N$30))),4)</f>
        <v>1.5652999999999999</v>
      </c>
      <c r="Y6" s="3064">
        <f>ROUND(IF(项目基本情况!B8="出让",SUMPRODUCT(PRODUCT(1+O6:O$31)),SUMPRODUCT(PRODUCT(1+O6:O$30))),4)</f>
        <v>1.3472</v>
      </c>
      <c r="Z6" s="3064">
        <f t="shared" ref="Z6" si="22">Y6</f>
        <v>1.3472</v>
      </c>
      <c r="AA6" s="3064">
        <f>ROUND(IF(项目基本情况!B8="出让",SUMPRODUCT(PRODUCT(1+P6:P$31)),SUMPRODUCT(PRODUCT(1+P6:P$30))),4)</f>
        <v>1.6335999999999999</v>
      </c>
      <c r="AB6" s="3064">
        <f>ROUND(IF(项目基本情况!B8="出让",SUMPRODUCT(PRODUCT(1+Q6:Q$31)),SUMPRODUCT(PRODUCT(1+Q6:Q$30))),4)</f>
        <v>1.3880999999999999</v>
      </c>
      <c r="AC6" s="3064"/>
      <c r="AD6" s="3065">
        <f>ROUND(AVERAGE(I6:I$31)/100,4)</f>
        <v>1.8599999999999998E-2</v>
      </c>
      <c r="AE6" s="3065">
        <f>ROUND(AVERAGE(J6:J$31)/100,4)</f>
        <v>1.2500000000000001E-2</v>
      </c>
      <c r="AF6" s="3065">
        <f t="shared" ref="AF6" si="23">AE6</f>
        <v>1.2500000000000001E-2</v>
      </c>
      <c r="AG6" s="3065">
        <f>ROUND(AVERAGE(K6:K$31)/100,4)</f>
        <v>2.0400000000000001E-2</v>
      </c>
      <c r="AH6" s="3065">
        <f>ROUND(AVERAGE(L6:L$31)/100,4)</f>
        <v>1.32E-2</v>
      </c>
    </row>
    <row r="7" spans="1:34" s="3083" customFormat="1">
      <c r="A7" s="3076" t="s">
        <v>2987</v>
      </c>
      <c r="B7" s="3077">
        <f t="shared" ref="B7" si="24">B8*(1+N7)</f>
        <v>479.92259063878413</v>
      </c>
      <c r="C7" s="3077">
        <f t="shared" ref="C7" si="25">C8*(1+O7)</f>
        <v>350.02082268341775</v>
      </c>
      <c r="D7" s="3077">
        <f t="shared" ref="D7" si="26">C7</f>
        <v>350.02082268341775</v>
      </c>
      <c r="E7" s="3077">
        <f t="shared" ref="E7" si="27">E8*(1+P7)</f>
        <v>687.42265944181099</v>
      </c>
      <c r="F7" s="3077">
        <f t="shared" ref="F7" si="28">F8*(1+Q7)</f>
        <v>317.63846657708956</v>
      </c>
      <c r="G7" s="3060">
        <v>2020</v>
      </c>
      <c r="H7" s="3078">
        <v>1</v>
      </c>
      <c r="I7" s="3040">
        <v>0.12</v>
      </c>
      <c r="J7" s="3040">
        <v>-0.4</v>
      </c>
      <c r="K7" s="3040">
        <v>0.21</v>
      </c>
      <c r="L7" s="3041">
        <v>0.27</v>
      </c>
      <c r="M7" s="3064"/>
      <c r="N7" s="3079">
        <f t="shared" ref="N7" si="29">I7/100</f>
        <v>1.1999999999999999E-3</v>
      </c>
      <c r="O7" s="3065">
        <f t="shared" ref="O7" si="30">J7/100</f>
        <v>-4.0000000000000001E-3</v>
      </c>
      <c r="P7" s="3065">
        <f t="shared" ref="P7" si="31">K7/100</f>
        <v>2.0999999999999999E-3</v>
      </c>
      <c r="Q7" s="3065">
        <f t="shared" ref="Q7" si="32">L7/100</f>
        <v>2.7000000000000001E-3</v>
      </c>
      <c r="R7" s="3080"/>
      <c r="S7" s="3081">
        <f>B7/B8-1</f>
        <v>1.2000000000000899E-3</v>
      </c>
      <c r="T7" s="3082">
        <f>C7/C8-1</f>
        <v>-4.0000000000000036E-3</v>
      </c>
      <c r="U7" s="3082">
        <f>E7/E8-1</f>
        <v>2.0999999999999908E-3</v>
      </c>
      <c r="V7" s="3082">
        <f>F7/F8-1</f>
        <v>2.6999999999999247E-3</v>
      </c>
      <c r="W7" s="3064"/>
      <c r="X7" s="3064">
        <f>ROUND(IF(项目基本情况!B8="出让",SUMPRODUCT(PRODUCT(1+N7:N$31)),SUMPRODUCT(PRODUCT(1+N7:N$30))),4)</f>
        <v>1.5605</v>
      </c>
      <c r="Y7" s="3064">
        <f>ROUND(IF(项目基本情况!B8="出让",SUMPRODUCT(PRODUCT(1+O7:O$31)),SUMPRODUCT(PRODUCT(1+O7:O$30))),4)</f>
        <v>1.3577999999999999</v>
      </c>
      <c r="Z7" s="3064">
        <f t="shared" ref="Z7" si="33">Y7</f>
        <v>1.3577999999999999</v>
      </c>
      <c r="AA7" s="3064">
        <f>ROUND(IF(项目基本情况!B8="出让",SUMPRODUCT(PRODUCT(1+P7:P$31)),SUMPRODUCT(PRODUCT(1+P7:P$30))),4)</f>
        <v>1.6254999999999999</v>
      </c>
      <c r="AB7" s="3064">
        <f>ROUND(IF(项目基本情况!B8="出让",SUMPRODUCT(PRODUCT(1+Q7:Q$31)),SUMPRODUCT(PRODUCT(1+Q7:Q$30))),4)</f>
        <v>1.3815999999999999</v>
      </c>
      <c r="AC7" s="3064"/>
      <c r="AD7" s="3065">
        <f>ROUND(AVERAGE(I7:I$31)/100,4)</f>
        <v>1.9199999999999998E-2</v>
      </c>
      <c r="AE7" s="3065">
        <f>ROUND(AVERAGE(J7:J$31)/100,4)</f>
        <v>1.3299999999999999E-2</v>
      </c>
      <c r="AF7" s="3065">
        <f t="shared" ref="AF7" si="34">AE7</f>
        <v>1.3299999999999999E-2</v>
      </c>
      <c r="AG7" s="3065">
        <f>ROUND(AVERAGE(K7:K$31)/100,4)</f>
        <v>2.1100000000000001E-2</v>
      </c>
      <c r="AH7" s="3065">
        <f>ROUND(AVERAGE(L7:L$31)/100,4)</f>
        <v>1.3599999999999999E-2</v>
      </c>
    </row>
    <row r="8" spans="1:34" s="3083" customFormat="1">
      <c r="A8" s="3076" t="s">
        <v>2983</v>
      </c>
      <c r="B8" s="3077">
        <f t="shared" ref="B8" si="35">B9*(1+N8)</f>
        <v>479.34737379023579</v>
      </c>
      <c r="C8" s="3077">
        <f t="shared" ref="C8" si="36">C9*(1+O8)</f>
        <v>351.4265287986122</v>
      </c>
      <c r="D8" s="3077">
        <f t="shared" ref="D8" si="37">C8</f>
        <v>351.4265287986122</v>
      </c>
      <c r="E8" s="3077">
        <f t="shared" ref="E8" si="38">E9*(1+P8)</f>
        <v>685.98209703803116</v>
      </c>
      <c r="F8" s="3077">
        <f t="shared" ref="F8" si="39">F9*(1+Q8)</f>
        <v>316.78315206651001</v>
      </c>
      <c r="G8" s="3060">
        <v>2019</v>
      </c>
      <c r="H8" s="3078">
        <v>4</v>
      </c>
      <c r="I8" s="3078">
        <v>0.45</v>
      </c>
      <c r="J8" s="3078">
        <v>-0.12</v>
      </c>
      <c r="K8" s="3078">
        <v>0.54</v>
      </c>
      <c r="L8" s="3084">
        <v>0.48</v>
      </c>
      <c r="M8" s="3064"/>
      <c r="N8" s="3079">
        <f t="shared" ref="N8" si="40">I8/100</f>
        <v>4.5000000000000005E-3</v>
      </c>
      <c r="O8" s="3065">
        <f t="shared" ref="O8" si="41">J8/100</f>
        <v>-1.1999999999999999E-3</v>
      </c>
      <c r="P8" s="3065">
        <f t="shared" ref="P8" si="42">K8/100</f>
        <v>5.4000000000000003E-3</v>
      </c>
      <c r="Q8" s="3065">
        <f t="shared" ref="Q8" si="43">L8/100</f>
        <v>4.7999999999999996E-3</v>
      </c>
      <c r="R8" s="3080"/>
      <c r="S8" s="3081"/>
      <c r="T8" s="3082"/>
      <c r="U8" s="3082"/>
      <c r="V8" s="3082"/>
      <c r="W8" s="3064"/>
      <c r="X8" s="3064">
        <f>ROUND(IF(项目基本情况!B8="出让",SUMPRODUCT(PRODUCT(1+N8:N$31)),SUMPRODUCT(PRODUCT(1+N8:N$30))),4)</f>
        <v>1.5586</v>
      </c>
      <c r="Y8" s="3064">
        <f>ROUND(IF(项目基本情况!B8="出让",SUMPRODUCT(PRODUCT(1+O8:O$31)),SUMPRODUCT(PRODUCT(1+O8:O$30))),4)</f>
        <v>1.3633</v>
      </c>
      <c r="Z8" s="3064">
        <f t="shared" ref="Z8" si="44">Y8</f>
        <v>1.3633</v>
      </c>
      <c r="AA8" s="3064">
        <f>ROUND(IF(项目基本情况!B8="出让",SUMPRODUCT(PRODUCT(1+P8:P$31)),SUMPRODUCT(PRODUCT(1+P8:P$30))),4)</f>
        <v>1.6221000000000001</v>
      </c>
      <c r="AB8" s="3064">
        <f>ROUND(IF(项目基本情况!B8="出让",SUMPRODUCT(PRODUCT(1+Q8:Q$31)),SUMPRODUCT(PRODUCT(1+Q8:Q$30))),4)</f>
        <v>1.3777999999999999</v>
      </c>
      <c r="AC8" s="3064"/>
      <c r="AD8" s="3065">
        <f>ROUND(AVERAGE(I8:I$31)/100,4)</f>
        <v>0.02</v>
      </c>
      <c r="AE8" s="3065">
        <f>ROUND(AVERAGE(J8:J$31)/100,4)</f>
        <v>1.4E-2</v>
      </c>
      <c r="AF8" s="3065">
        <f t="shared" ref="AF8" si="45">AE8</f>
        <v>1.4E-2</v>
      </c>
      <c r="AG8" s="3065">
        <f>ROUND(AVERAGE(K8:K$31)/100,4)</f>
        <v>2.1899999999999999E-2</v>
      </c>
      <c r="AH8" s="3065">
        <f>ROUND(AVERAGE(L8:L$31)/100,4)</f>
        <v>1.4E-2</v>
      </c>
    </row>
    <row r="9" spans="1:34" s="3083" customFormat="1" ht="13.5" thickBot="1">
      <c r="A9" s="3076" t="s">
        <v>2982</v>
      </c>
      <c r="B9" s="3077">
        <f t="shared" ref="B9" si="46">B10*(1+N9)</f>
        <v>477.19997390765138</v>
      </c>
      <c r="C9" s="3077">
        <f t="shared" ref="C9" si="47">C10*(1+O9)</f>
        <v>351.84874729536665</v>
      </c>
      <c r="D9" s="3077">
        <f t="shared" ref="D9" si="48">C9</f>
        <v>351.84874729536665</v>
      </c>
      <c r="E9" s="3077">
        <f t="shared" ref="E9" si="49">E10*(1+P9)</f>
        <v>682.29768951465201</v>
      </c>
      <c r="F9" s="3077">
        <f t="shared" ref="F9" si="50">F10*(1+Q9)</f>
        <v>315.26985675409043</v>
      </c>
      <c r="G9" s="3060">
        <v>2019</v>
      </c>
      <c r="H9" s="3078">
        <v>3</v>
      </c>
      <c r="I9" s="3078">
        <v>0.61</v>
      </c>
      <c r="J9" s="3078">
        <v>0.67</v>
      </c>
      <c r="K9" s="3078">
        <v>0.6</v>
      </c>
      <c r="L9" s="3084">
        <v>1.03</v>
      </c>
      <c r="M9" s="3064"/>
      <c r="N9" s="3079">
        <f t="shared" ref="N9" si="51">I9/100</f>
        <v>6.0999999999999995E-3</v>
      </c>
      <c r="O9" s="3065">
        <f t="shared" ref="O9" si="52">J9/100</f>
        <v>6.7000000000000002E-3</v>
      </c>
      <c r="P9" s="3065">
        <f t="shared" ref="P9" si="53">K9/100</f>
        <v>6.0000000000000001E-3</v>
      </c>
      <c r="Q9" s="3065">
        <f t="shared" ref="Q9" si="54">L9/100</f>
        <v>1.03E-2</v>
      </c>
      <c r="R9" s="3080"/>
      <c r="S9" s="3081"/>
      <c r="T9" s="3082"/>
      <c r="U9" s="3082"/>
      <c r="V9" s="3082"/>
      <c r="W9" s="3064"/>
      <c r="X9" s="3064">
        <f>ROUND(IF(项目基本情况!B8="出让",SUMPRODUCT(PRODUCT(1+N9:N$31)),SUMPRODUCT(PRODUCT(1+N9:N$30))),4)</f>
        <v>1.5516000000000001</v>
      </c>
      <c r="Y9" s="3064">
        <f>ROUND(IF(项目基本情况!B8="出让",SUMPRODUCT(PRODUCT(1+O9:O$31)),SUMPRODUCT(PRODUCT(1+O9:O$30))),4)</f>
        <v>1.3649</v>
      </c>
      <c r="Z9" s="3064">
        <f t="shared" ref="Z9" si="55">Y9</f>
        <v>1.3649</v>
      </c>
      <c r="AA9" s="3064">
        <f>ROUND(IF(项目基本情况!B8="出让",SUMPRODUCT(PRODUCT(1+P9:P$31)),SUMPRODUCT(PRODUCT(1+P9:P$30))),4)</f>
        <v>1.6133999999999999</v>
      </c>
      <c r="AB9" s="3064">
        <f>ROUND(IF(项目基本情况!B8="出让",SUMPRODUCT(PRODUCT(1+Q9:Q$31)),SUMPRODUCT(PRODUCT(1+Q9:Q$30))),4)</f>
        <v>1.3713</v>
      </c>
      <c r="AC9" s="3064"/>
      <c r="AD9" s="3065">
        <f>ROUND(AVERAGE(I9:I$31)/100,4)</f>
        <v>2.07E-2</v>
      </c>
      <c r="AE9" s="3065">
        <f>ROUND(AVERAGE(J9:J$31)/100,4)</f>
        <v>1.47E-2</v>
      </c>
      <c r="AF9" s="3065">
        <f t="shared" ref="AF9" si="56">AE9</f>
        <v>1.47E-2</v>
      </c>
      <c r="AG9" s="3065">
        <f>ROUND(AVERAGE(K9:K$31)/100,4)</f>
        <v>2.2599999999999999E-2</v>
      </c>
      <c r="AH9" s="3065">
        <f>ROUND(AVERAGE(L9:L$31)/100,4)</f>
        <v>1.44E-2</v>
      </c>
    </row>
    <row r="10" spans="1:34" s="3083" customFormat="1">
      <c r="A10" s="3076" t="s">
        <v>2979</v>
      </c>
      <c r="B10" s="3077">
        <f t="shared" ref="B10:B15" si="57">B11*(1+N10)</f>
        <v>474.30670301923408</v>
      </c>
      <c r="C10" s="3077">
        <f t="shared" ref="C10" si="58">C11*(1+O10)</f>
        <v>349.50705005996491</v>
      </c>
      <c r="D10" s="3077">
        <f t="shared" ref="D10" si="59">C10</f>
        <v>349.50705005996491</v>
      </c>
      <c r="E10" s="3077">
        <f t="shared" ref="E10" si="60">E11*(1+P10)</f>
        <v>678.22831959706957</v>
      </c>
      <c r="F10" s="3077">
        <f t="shared" ref="F10" si="61">F11*(1+Q10)</f>
        <v>312.0556832169558</v>
      </c>
      <c r="G10" s="3060">
        <v>2019</v>
      </c>
      <c r="H10" s="3085">
        <v>2</v>
      </c>
      <c r="I10" s="3085">
        <v>1.53</v>
      </c>
      <c r="J10" s="3085">
        <v>1.01</v>
      </c>
      <c r="K10" s="3085">
        <v>1.62</v>
      </c>
      <c r="L10" s="3086">
        <v>1.25</v>
      </c>
      <c r="M10" s="3064"/>
      <c r="N10" s="3079">
        <f t="shared" ref="N10" si="62">I10/100</f>
        <v>1.5300000000000001E-2</v>
      </c>
      <c r="O10" s="3065">
        <f t="shared" ref="O10" si="63">J10/100</f>
        <v>1.01E-2</v>
      </c>
      <c r="P10" s="3065">
        <f t="shared" ref="P10" si="64">K10/100</f>
        <v>1.6200000000000003E-2</v>
      </c>
      <c r="Q10" s="3065">
        <f t="shared" ref="Q10" si="65">L10/100</f>
        <v>1.2500000000000001E-2</v>
      </c>
      <c r="R10" s="3080"/>
      <c r="S10" s="3081"/>
      <c r="T10" s="3082"/>
      <c r="U10" s="3082"/>
      <c r="V10" s="3082"/>
      <c r="W10" s="3064"/>
      <c r="X10" s="3064">
        <f>ROUND(IF(项目基本情况!B8="出让",SUMPRODUCT(PRODUCT(1+N10:N$31)),SUMPRODUCT(PRODUCT(1+N10:N$30))),4)</f>
        <v>1.5422</v>
      </c>
      <c r="Y10" s="3064">
        <f>ROUND(IF(项目基本情况!B8="出让",SUMPRODUCT(PRODUCT(1+O10:O$31)),SUMPRODUCT(PRODUCT(1+O10:O$30))),4)</f>
        <v>1.3557999999999999</v>
      </c>
      <c r="Z10" s="3064">
        <f t="shared" ref="Z10" si="66">Y10</f>
        <v>1.3557999999999999</v>
      </c>
      <c r="AA10" s="3064">
        <f>ROUND(IF(项目基本情况!B8="出让",SUMPRODUCT(PRODUCT(1+P10:P$31)),SUMPRODUCT(PRODUCT(1+P10:P$30))),4)</f>
        <v>1.6036999999999999</v>
      </c>
      <c r="AB10" s="3064">
        <f>ROUND(IF(项目基本情况!B8="出让",SUMPRODUCT(PRODUCT(1+Q10:Q$31)),SUMPRODUCT(PRODUCT(1+Q10:Q$30))),4)</f>
        <v>1.3573</v>
      </c>
      <c r="AC10" s="3064"/>
      <c r="AD10" s="3065">
        <f>ROUND(AVERAGE(I10:I$31)/100,4)</f>
        <v>2.1299999999999999E-2</v>
      </c>
      <c r="AE10" s="3065">
        <f>ROUND(AVERAGE(J10:J$31)/100,4)</f>
        <v>1.4999999999999999E-2</v>
      </c>
      <c r="AF10" s="3065">
        <f t="shared" ref="AF10" si="67">AE10</f>
        <v>1.4999999999999999E-2</v>
      </c>
      <c r="AG10" s="3065">
        <f>ROUND(AVERAGE(K10:K$31)/100,4)</f>
        <v>2.3300000000000001E-2</v>
      </c>
      <c r="AH10" s="3065">
        <f>ROUND(AVERAGE(L10:L$31)/100,4)</f>
        <v>1.46E-2</v>
      </c>
    </row>
    <row r="11" spans="1:34" s="3083" customFormat="1" ht="13.5" thickBot="1">
      <c r="A11" s="3076" t="s">
        <v>2978</v>
      </c>
      <c r="B11" s="3077">
        <f t="shared" si="57"/>
        <v>467.15916775261894</v>
      </c>
      <c r="C11" s="3077">
        <f t="shared" ref="C11" si="68">C12*(1+O11)</f>
        <v>346.01232557169084</v>
      </c>
      <c r="D11" s="3077">
        <f t="shared" ref="D11" si="69">C11</f>
        <v>346.01232557169084</v>
      </c>
      <c r="E11" s="3077">
        <f t="shared" ref="E11" si="70">E12*(1+P11)</f>
        <v>667.41617752122568</v>
      </c>
      <c r="F11" s="3077">
        <f t="shared" ref="F11" si="71">F12*(1+Q11)</f>
        <v>308.20314391798104</v>
      </c>
      <c r="G11" s="3060">
        <v>2019</v>
      </c>
      <c r="H11" s="3078">
        <v>1</v>
      </c>
      <c r="I11" s="3078">
        <v>0.6</v>
      </c>
      <c r="J11" s="3078">
        <v>0.37</v>
      </c>
      <c r="K11" s="3078">
        <v>0.63</v>
      </c>
      <c r="L11" s="3084">
        <v>1.1299999999999999</v>
      </c>
      <c r="M11" s="3064"/>
      <c r="N11" s="3079">
        <f t="shared" ref="N11" si="72">I11/100</f>
        <v>6.0000000000000001E-3</v>
      </c>
      <c r="O11" s="3065">
        <f t="shared" ref="O11" si="73">J11/100</f>
        <v>3.7000000000000002E-3</v>
      </c>
      <c r="P11" s="3065">
        <f t="shared" ref="P11" si="74">K11/100</f>
        <v>6.3E-3</v>
      </c>
      <c r="Q11" s="3065">
        <f t="shared" ref="Q11" si="75">L11/100</f>
        <v>1.1299999999999999E-2</v>
      </c>
      <c r="R11" s="3080"/>
      <c r="S11" s="3081">
        <f>B11/B12-1</f>
        <v>6.0000000000000053E-3</v>
      </c>
      <c r="T11" s="3082">
        <f>C11/C12-1</f>
        <v>3.7000000000000366E-3</v>
      </c>
      <c r="U11" s="3082">
        <f>E11/E12-1</f>
        <v>6.2999999999999723E-3</v>
      </c>
      <c r="V11" s="3082">
        <f>F11/F12-1</f>
        <v>1.1300000000000088E-2</v>
      </c>
      <c r="W11" s="3064"/>
      <c r="X11" s="3064">
        <f>ROUND(IF(项目基本情况!B8="出让",SUMPRODUCT(PRODUCT(1+N11:N$31)),SUMPRODUCT(PRODUCT(1+N11:N$30))),4)</f>
        <v>1.5189999999999999</v>
      </c>
      <c r="Y11" s="3064">
        <f>ROUND(IF(项目基本情况!B8="出让",SUMPRODUCT(PRODUCT(1+O11:O$31)),SUMPRODUCT(PRODUCT(1+O11:O$30))),4)</f>
        <v>1.3423</v>
      </c>
      <c r="Z11" s="3064">
        <f t="shared" ref="Z11" si="76">Y11</f>
        <v>1.3423</v>
      </c>
      <c r="AA11" s="3064">
        <f>ROUND(IF(项目基本情况!B8="出让",SUMPRODUCT(PRODUCT(1+P11:P$31)),SUMPRODUCT(PRODUCT(1+P11:P$30))),4)</f>
        <v>1.5782</v>
      </c>
      <c r="AB11" s="3064">
        <f>ROUND(IF(项目基本情况!B8="出让",SUMPRODUCT(PRODUCT(1+Q11:Q$31)),SUMPRODUCT(PRODUCT(1+Q11:Q$30))),4)</f>
        <v>1.3405</v>
      </c>
      <c r="AC11" s="3064"/>
      <c r="AD11" s="3065">
        <f>ROUND(AVERAGE(I11:I$31)/100,4)</f>
        <v>2.1600000000000001E-2</v>
      </c>
      <c r="AE11" s="3065">
        <f>ROUND(AVERAGE(J11:J$31)/100,4)</f>
        <v>1.5299999999999999E-2</v>
      </c>
      <c r="AF11" s="3065">
        <f t="shared" ref="AF11" si="77">AE11</f>
        <v>1.5299999999999999E-2</v>
      </c>
      <c r="AG11" s="3065">
        <f>ROUND(AVERAGE(K11:K$31)/100,4)</f>
        <v>2.3699999999999999E-2</v>
      </c>
      <c r="AH11" s="3065">
        <f>ROUND(AVERAGE(L11:L$31)/100,4)</f>
        <v>1.47E-2</v>
      </c>
    </row>
    <row r="12" spans="1:34" s="3083" customFormat="1">
      <c r="A12" s="3076" t="s">
        <v>2975</v>
      </c>
      <c r="B12" s="3087">
        <f t="shared" si="57"/>
        <v>464.37293017158942</v>
      </c>
      <c r="C12" s="3087">
        <f t="shared" ref="C12" si="78">C13*(1+O12)</f>
        <v>344.73679941385956</v>
      </c>
      <c r="D12" s="3087">
        <f t="shared" ref="D12" si="79">C12</f>
        <v>344.73679941385956</v>
      </c>
      <c r="E12" s="3087">
        <f t="shared" ref="E12" si="80">E13*(1+P12)</f>
        <v>663.2377795103107</v>
      </c>
      <c r="F12" s="3088">
        <f t="shared" ref="F12" si="81">F13*(1+Q12)</f>
        <v>304.75936311478398</v>
      </c>
      <c r="G12" s="3470">
        <v>2018</v>
      </c>
      <c r="H12" s="3085">
        <v>4</v>
      </c>
      <c r="I12" s="3085">
        <v>0.96</v>
      </c>
      <c r="J12" s="3085">
        <v>1.03</v>
      </c>
      <c r="K12" s="3085">
        <v>0.92</v>
      </c>
      <c r="L12" s="3086">
        <v>1.29</v>
      </c>
      <c r="M12" s="3064"/>
      <c r="N12" s="3079">
        <f t="shared" ref="N12" si="82">I12/100</f>
        <v>9.5999999999999992E-3</v>
      </c>
      <c r="O12" s="3065">
        <f t="shared" ref="O12" si="83">J12/100</f>
        <v>1.03E-2</v>
      </c>
      <c r="P12" s="3065">
        <f t="shared" ref="P12" si="84">K12/100</f>
        <v>9.1999999999999998E-3</v>
      </c>
      <c r="Q12" s="3065">
        <f t="shared" ref="Q12" si="85">L12/100</f>
        <v>1.29E-2</v>
      </c>
      <c r="R12" s="3080"/>
      <c r="S12" s="3089"/>
      <c r="T12" s="3090"/>
      <c r="U12" s="3090"/>
      <c r="V12" s="3090"/>
      <c r="W12" s="3064"/>
      <c r="X12" s="3064">
        <f>ROUND(SUMPRODUCT(PRODUCT(1+N12:N$30)),4)</f>
        <v>1.5099</v>
      </c>
      <c r="Y12" s="3064">
        <f>ROUND(SUMPRODUCT(PRODUCT(1+O12:O$30)),4)</f>
        <v>1.3372999999999999</v>
      </c>
      <c r="Z12" s="3064">
        <f t="shared" ref="Z12" si="86">Y12</f>
        <v>1.3372999999999999</v>
      </c>
      <c r="AA12" s="3064">
        <f>ROUND(SUMPRODUCT(PRODUCT(1+P12:P$30)),4)</f>
        <v>1.5683</v>
      </c>
      <c r="AB12" s="3064">
        <f>ROUND(SUMPRODUCT(PRODUCT(1+Q12:Q$30)),4)</f>
        <v>1.3255999999999999</v>
      </c>
      <c r="AC12" s="3064"/>
      <c r="AD12" s="3065">
        <f>ROUND(AVERAGE(I12:I$31)/100,4)</f>
        <v>2.24E-2</v>
      </c>
      <c r="AE12" s="3065">
        <f>ROUND(AVERAGE(J12:J$31)/100,4)</f>
        <v>1.5800000000000002E-2</v>
      </c>
      <c r="AF12" s="3065">
        <f t="shared" ref="AF12" si="87">AE12</f>
        <v>1.5800000000000002E-2</v>
      </c>
      <c r="AG12" s="3065">
        <f>ROUND(AVERAGE(K12:K$31)/100,4)</f>
        <v>2.4500000000000001E-2</v>
      </c>
      <c r="AH12" s="3065">
        <f>ROUND(AVERAGE(L12:L$31)/100,4)</f>
        <v>1.49E-2</v>
      </c>
    </row>
    <row r="13" spans="1:34" s="3083" customFormat="1" ht="14.45" customHeight="1">
      <c r="A13" s="3076" t="s">
        <v>2968</v>
      </c>
      <c r="B13" s="3077">
        <f t="shared" si="57"/>
        <v>459.95733971036987</v>
      </c>
      <c r="C13" s="3077">
        <f t="shared" ref="C13" si="88">C14*(1+O13)</f>
        <v>341.22221064422405</v>
      </c>
      <c r="D13" s="3077">
        <f t="shared" ref="D13" si="89">C13</f>
        <v>341.22221064422405</v>
      </c>
      <c r="E13" s="3077">
        <f t="shared" ref="E13" si="90">E14*(1+P13)</f>
        <v>657.19161663724799</v>
      </c>
      <c r="F13" s="3077">
        <f t="shared" ref="F13" si="91">F14*(1+Q13)</f>
        <v>300.87803644464805</v>
      </c>
      <c r="G13" s="3470"/>
      <c r="H13" s="3078">
        <v>3</v>
      </c>
      <c r="I13" s="3078">
        <v>1.51</v>
      </c>
      <c r="J13" s="3078">
        <v>1.41</v>
      </c>
      <c r="K13" s="3078">
        <v>1.52</v>
      </c>
      <c r="L13" s="3084">
        <v>1.74</v>
      </c>
      <c r="M13" s="3064"/>
      <c r="N13" s="3079">
        <f t="shared" ref="N13" si="92">I13/100</f>
        <v>1.5100000000000001E-2</v>
      </c>
      <c r="O13" s="3065">
        <f t="shared" ref="O13" si="93">J13/100</f>
        <v>1.41E-2</v>
      </c>
      <c r="P13" s="3065">
        <f t="shared" ref="P13" si="94">K13/100</f>
        <v>1.52E-2</v>
      </c>
      <c r="Q13" s="3065">
        <f t="shared" ref="Q13" si="95">L13/100</f>
        <v>1.7399999999999999E-2</v>
      </c>
      <c r="R13" s="3080"/>
      <c r="S13" s="3079"/>
      <c r="T13" s="3065"/>
      <c r="U13" s="3065"/>
      <c r="V13" s="3065"/>
      <c r="W13" s="3064"/>
      <c r="X13" s="3064">
        <f>ROUND(SUMPRODUCT(PRODUCT(1+N13:N$30)),4)</f>
        <v>1.4956</v>
      </c>
      <c r="Y13" s="3064">
        <f>ROUND(SUMPRODUCT(PRODUCT(1+O13:O$30)),4)</f>
        <v>1.3237000000000001</v>
      </c>
      <c r="Z13" s="3064">
        <f t="shared" ref="Z13" si="96">Y13</f>
        <v>1.3237000000000001</v>
      </c>
      <c r="AA13" s="3064">
        <f>ROUND(SUMPRODUCT(PRODUCT(1+P13:P$30)),4)</f>
        <v>1.554</v>
      </c>
      <c r="AB13" s="3064">
        <f>ROUND(SUMPRODUCT(PRODUCT(1+Q13:Q$30)),4)</f>
        <v>1.3087</v>
      </c>
      <c r="AC13" s="3064"/>
      <c r="AD13" s="3065">
        <f>ROUND(AVERAGE(I13:I$31)/100,4)</f>
        <v>2.3099999999999999E-2</v>
      </c>
      <c r="AE13" s="3065">
        <f>ROUND(AVERAGE(J13:J$31)/100,4)</f>
        <v>1.61E-2</v>
      </c>
      <c r="AF13" s="3065">
        <f t="shared" ref="AF13" si="97">AE13</f>
        <v>1.61E-2</v>
      </c>
      <c r="AG13" s="3065">
        <f>ROUND(AVERAGE(K13:K$31)/100,4)</f>
        <v>2.53E-2</v>
      </c>
      <c r="AH13" s="3065">
        <f>ROUND(AVERAGE(L13:L$31)/100,4)</f>
        <v>1.4999999999999999E-2</v>
      </c>
    </row>
    <row r="14" spans="1:34" s="3083" customFormat="1" ht="14.45" customHeight="1">
      <c r="A14" s="3076" t="s">
        <v>2969</v>
      </c>
      <c r="B14" s="3077">
        <f t="shared" si="57"/>
        <v>453.11529869999993</v>
      </c>
      <c r="C14" s="3077">
        <f t="shared" ref="C14" si="98">C15*(1+O14)</f>
        <v>336.47787264000004</v>
      </c>
      <c r="D14" s="3077">
        <f t="shared" ref="D14" si="99">C14</f>
        <v>336.47787264000004</v>
      </c>
      <c r="E14" s="3077">
        <f t="shared" ref="E14" si="100">E15*(1+P14)</f>
        <v>647.35186823999993</v>
      </c>
      <c r="F14" s="3077">
        <f t="shared" ref="F14" si="101">F15*(1+Q14)</f>
        <v>295.73229452000004</v>
      </c>
      <c r="G14" s="3470"/>
      <c r="H14" s="3091">
        <v>2</v>
      </c>
      <c r="I14" s="3091">
        <v>1.49</v>
      </c>
      <c r="J14" s="3091">
        <v>0.96</v>
      </c>
      <c r="K14" s="3091">
        <v>1.58</v>
      </c>
      <c r="L14" s="3092">
        <v>2.44</v>
      </c>
      <c r="M14" s="3064"/>
      <c r="N14" s="3079">
        <f t="shared" ref="N14" si="102">I14/100</f>
        <v>1.49E-2</v>
      </c>
      <c r="O14" s="3065">
        <f t="shared" ref="O14" si="103">J14/100</f>
        <v>9.5999999999999992E-3</v>
      </c>
      <c r="P14" s="3065">
        <f t="shared" ref="P14" si="104">K14/100</f>
        <v>1.5800000000000002E-2</v>
      </c>
      <c r="Q14" s="3065">
        <f t="shared" ref="Q14" si="105">L14/100</f>
        <v>2.4399999999999998E-2</v>
      </c>
      <c r="R14" s="3080"/>
      <c r="S14" s="3079"/>
      <c r="T14" s="3065"/>
      <c r="U14" s="3065"/>
      <c r="V14" s="3065"/>
      <c r="W14" s="3064"/>
      <c r="X14" s="3064">
        <f>ROUND(SUMPRODUCT(PRODUCT(1+N14:N$30)),4)</f>
        <v>1.4733000000000001</v>
      </c>
      <c r="Y14" s="3064">
        <f>ROUND(SUMPRODUCT(PRODUCT(1+O14:O$30)),4)</f>
        <v>1.3052999999999999</v>
      </c>
      <c r="Z14" s="3064">
        <f t="shared" ref="Z14" si="106">Y14</f>
        <v>1.3052999999999999</v>
      </c>
      <c r="AA14" s="3064">
        <f>ROUND(SUMPRODUCT(PRODUCT(1+P14:P$30)),4)</f>
        <v>1.5306999999999999</v>
      </c>
      <c r="AB14" s="3064">
        <f>ROUND(SUMPRODUCT(PRODUCT(1+Q14:Q$30)),4)</f>
        <v>1.2863</v>
      </c>
      <c r="AC14" s="3064"/>
      <c r="AD14" s="3065">
        <f>ROUND(AVERAGE(I14:I$31)/100,4)</f>
        <v>2.35E-2</v>
      </c>
      <c r="AE14" s="3065">
        <f>ROUND(AVERAGE(J14:J$31)/100,4)</f>
        <v>1.6199999999999999E-2</v>
      </c>
      <c r="AF14" s="3065">
        <f t="shared" ref="AF14" si="107">AE14</f>
        <v>1.6199999999999999E-2</v>
      </c>
      <c r="AG14" s="3065">
        <f>ROUND(AVERAGE(K14:K$31)/100,4)</f>
        <v>2.5899999999999999E-2</v>
      </c>
      <c r="AH14" s="3065">
        <f>ROUND(AVERAGE(L14:L$31)/100,4)</f>
        <v>1.49E-2</v>
      </c>
    </row>
    <row r="15" spans="1:34" s="3083" customFormat="1" ht="15" customHeight="1" thickBot="1">
      <c r="A15" s="3076" t="s">
        <v>2965</v>
      </c>
      <c r="B15" s="3077">
        <f t="shared" si="57"/>
        <v>446.46299999999997</v>
      </c>
      <c r="C15" s="3077">
        <f t="shared" ref="C15" si="108">C16*(1+O15)</f>
        <v>333.27840000000003</v>
      </c>
      <c r="D15" s="3077">
        <f t="shared" ref="D15:D20" si="109">C15</f>
        <v>333.27840000000003</v>
      </c>
      <c r="E15" s="3077">
        <f t="shared" ref="E15" si="110">E16*(1+P15)</f>
        <v>637.28279999999995</v>
      </c>
      <c r="F15" s="3077">
        <f t="shared" ref="F15" si="111">F16*(1+Q15)</f>
        <v>288.68830000000003</v>
      </c>
      <c r="G15" s="3476"/>
      <c r="H15" s="3078">
        <v>1</v>
      </c>
      <c r="I15" s="3078">
        <v>1.7</v>
      </c>
      <c r="J15" s="3078">
        <v>1.92</v>
      </c>
      <c r="K15" s="3078">
        <v>1.64</v>
      </c>
      <c r="L15" s="3084">
        <v>2.0099999999999998</v>
      </c>
      <c r="M15" s="3064"/>
      <c r="N15" s="3079">
        <f t="shared" ref="N15:N20" si="112">I15/100</f>
        <v>1.7000000000000001E-2</v>
      </c>
      <c r="O15" s="3065">
        <f t="shared" ref="O15" si="113">J15/100</f>
        <v>1.9199999999999998E-2</v>
      </c>
      <c r="P15" s="3065">
        <f t="shared" ref="P15" si="114">K15/100</f>
        <v>1.6399999999999998E-2</v>
      </c>
      <c r="Q15" s="3065">
        <f t="shared" ref="Q15" si="115">L15/100</f>
        <v>2.0099999999999996E-2</v>
      </c>
      <c r="R15" s="3080"/>
      <c r="S15" s="3081">
        <f>B15/B16-1</f>
        <v>1.6999999999999904E-2</v>
      </c>
      <c r="T15" s="3082">
        <f>C15/C16-1</f>
        <v>1.9200000000000106E-2</v>
      </c>
      <c r="U15" s="3082">
        <f>E15/E16-1</f>
        <v>1.639999999999997E-2</v>
      </c>
      <c r="V15" s="3082">
        <f>F15/F16-1</f>
        <v>2.0100000000000007E-2</v>
      </c>
      <c r="W15" s="3064"/>
      <c r="X15" s="3064">
        <f>ROUND(SUMPRODUCT(PRODUCT(1+N15:N$30)),4)</f>
        <v>1.4517</v>
      </c>
      <c r="Y15" s="3064">
        <f>ROUND(SUMPRODUCT(PRODUCT(1+O15:O$30)),4)</f>
        <v>1.2928999999999999</v>
      </c>
      <c r="Z15" s="3064">
        <f t="shared" ref="Z15" si="116">Y15</f>
        <v>1.2928999999999999</v>
      </c>
      <c r="AA15" s="3064">
        <f>ROUND(SUMPRODUCT(PRODUCT(1+P15:P$30)),4)</f>
        <v>1.5068999999999999</v>
      </c>
      <c r="AB15" s="3064">
        <f>ROUND(SUMPRODUCT(PRODUCT(1+Q15:Q$30)),4)</f>
        <v>1.2557</v>
      </c>
      <c r="AC15" s="3064"/>
      <c r="AD15" s="3065">
        <f>ROUND(AVERAGE(I15:I$31)/100,4)</f>
        <v>2.4E-2</v>
      </c>
      <c r="AE15" s="3065">
        <f>ROUND(AVERAGE(J15:J$31)/100,4)</f>
        <v>1.66E-2</v>
      </c>
      <c r="AF15" s="3065">
        <f t="shared" ref="AF15" si="117">AE15</f>
        <v>1.66E-2</v>
      </c>
      <c r="AG15" s="3065">
        <f>ROUND(AVERAGE(K15:K$31)/100,4)</f>
        <v>2.6499999999999999E-2</v>
      </c>
      <c r="AH15" s="3065">
        <f>ROUND(AVERAGE(L15:L$31)/100,4)</f>
        <v>1.43E-2</v>
      </c>
    </row>
    <row r="16" spans="1:34">
      <c r="A16" s="3076" t="s">
        <v>2956</v>
      </c>
      <c r="B16" s="3093">
        <v>439</v>
      </c>
      <c r="C16" s="3093">
        <v>327</v>
      </c>
      <c r="D16" s="3093">
        <f t="shared" si="109"/>
        <v>327</v>
      </c>
      <c r="E16" s="3093">
        <v>627</v>
      </c>
      <c r="F16" s="3094">
        <v>283</v>
      </c>
      <c r="G16" s="3475">
        <v>2017</v>
      </c>
      <c r="H16" s="3085">
        <v>4</v>
      </c>
      <c r="I16" s="3085">
        <v>1.71</v>
      </c>
      <c r="J16" s="3085">
        <v>1.78</v>
      </c>
      <c r="K16" s="3085">
        <v>1.71</v>
      </c>
      <c r="L16" s="3086">
        <v>1.43</v>
      </c>
      <c r="N16" s="3095">
        <f t="shared" si="112"/>
        <v>1.7100000000000001E-2</v>
      </c>
      <c r="O16" s="3096">
        <f t="shared" ref="O16" si="118">J16/100</f>
        <v>1.78E-2</v>
      </c>
      <c r="P16" s="3096">
        <f t="shared" ref="P16" si="119">K16/100</f>
        <v>1.7100000000000001E-2</v>
      </c>
      <c r="Q16" s="3096">
        <f t="shared" ref="Q16" si="120">L16/100</f>
        <v>1.43E-2</v>
      </c>
      <c r="R16" s="3080"/>
      <c r="S16" s="3089"/>
      <c r="T16" s="3090"/>
      <c r="U16" s="3090"/>
      <c r="V16" s="3090"/>
      <c r="X16" s="3064">
        <f>ROUND(SUMPRODUCT(PRODUCT(1+N16:N$30)),4)</f>
        <v>1.4274</v>
      </c>
      <c r="Y16" s="3064">
        <f>ROUND(SUMPRODUCT(PRODUCT(1+O16:O$30)),4)</f>
        <v>1.2685</v>
      </c>
      <c r="Z16" s="3064">
        <f t="shared" si="0"/>
        <v>1.2685</v>
      </c>
      <c r="AA16" s="3064">
        <f>ROUND(SUMPRODUCT(PRODUCT(1+P16:P$30)),4)</f>
        <v>1.4825999999999999</v>
      </c>
      <c r="AB16" s="3064">
        <f>ROUND(SUMPRODUCT(PRODUCT(1+Q16:Q$30)),4)</f>
        <v>1.2309000000000001</v>
      </c>
      <c r="AD16" s="3065">
        <f>ROUND(AVERAGE(I16:I$31)/100,4)</f>
        <v>2.4500000000000001E-2</v>
      </c>
      <c r="AE16" s="3065">
        <f>ROUND(AVERAGE(J16:J$31)/100,4)</f>
        <v>1.6500000000000001E-2</v>
      </c>
      <c r="AF16" s="3065">
        <f t="shared" si="1"/>
        <v>1.6500000000000001E-2</v>
      </c>
      <c r="AG16" s="3065">
        <f>ROUND(AVERAGE(K16:K$31)/100,4)</f>
        <v>2.7099999999999999E-2</v>
      </c>
      <c r="AH16" s="3065">
        <f>ROUND(AVERAGE(L16:L$31)/100,4)</f>
        <v>1.3899999999999999E-2</v>
      </c>
    </row>
    <row r="17" spans="1:34" s="3083" customFormat="1" ht="14.45" customHeight="1">
      <c r="A17" s="3076" t="s">
        <v>2960</v>
      </c>
      <c r="B17" s="3077">
        <f t="shared" ref="B17:C19" si="121">B18*(1+N17)</f>
        <v>431.80730811680002</v>
      </c>
      <c r="C17" s="3077">
        <f t="shared" si="121"/>
        <v>320.57880516480003</v>
      </c>
      <c r="D17" s="3077">
        <f t="shared" si="109"/>
        <v>320.57880516480003</v>
      </c>
      <c r="E17" s="3077">
        <f t="shared" ref="E17:F19" si="122">E18*(1+P17)</f>
        <v>615.96110553196797</v>
      </c>
      <c r="F17" s="3077">
        <f t="shared" si="122"/>
        <v>279.46777300108801</v>
      </c>
      <c r="G17" s="3470"/>
      <c r="H17" s="3078">
        <v>3</v>
      </c>
      <c r="I17" s="3078">
        <v>2.98</v>
      </c>
      <c r="J17" s="3078">
        <v>2.11</v>
      </c>
      <c r="K17" s="3078">
        <v>3.24</v>
      </c>
      <c r="L17" s="3084">
        <v>1.72</v>
      </c>
      <c r="M17" s="3064"/>
      <c r="N17" s="3079">
        <f t="shared" si="112"/>
        <v>2.98E-2</v>
      </c>
      <c r="O17" s="3097">
        <f t="shared" ref="O17:O18" si="123">J17/100</f>
        <v>2.1099999999999997E-2</v>
      </c>
      <c r="P17" s="3097">
        <f t="shared" ref="P17:P18" si="124">K17/100</f>
        <v>3.2400000000000005E-2</v>
      </c>
      <c r="Q17" s="3097">
        <f t="shared" ref="Q17:Q18" si="125">L17/100</f>
        <v>1.72E-2</v>
      </c>
      <c r="R17" s="3080"/>
      <c r="S17" s="3079"/>
      <c r="T17" s="3065"/>
      <c r="U17" s="3065"/>
      <c r="V17" s="3065"/>
      <c r="W17" s="3064"/>
      <c r="X17" s="3064">
        <f>ROUND(SUMPRODUCT(PRODUCT(1+N17:N$30)),4)</f>
        <v>1.4034</v>
      </c>
      <c r="Y17" s="3064">
        <f>ROUND(SUMPRODUCT(PRODUCT(1+O17:O$30)),4)</f>
        <v>1.2463</v>
      </c>
      <c r="Z17" s="3064">
        <f t="shared" si="0"/>
        <v>1.2463</v>
      </c>
      <c r="AA17" s="3064">
        <f>ROUND(SUMPRODUCT(PRODUCT(1+P17:P$30)),4)</f>
        <v>1.4577</v>
      </c>
      <c r="AB17" s="3064">
        <f>ROUND(SUMPRODUCT(PRODUCT(1+Q17:Q$30)),4)</f>
        <v>1.2136</v>
      </c>
      <c r="AC17" s="3064"/>
      <c r="AD17" s="3065">
        <f>ROUND(AVERAGE(I17:I$31)/100,4)</f>
        <v>2.4899999999999999E-2</v>
      </c>
      <c r="AE17" s="3065">
        <f>ROUND(AVERAGE(J17:J$31)/100,4)</f>
        <v>1.6400000000000001E-2</v>
      </c>
      <c r="AF17" s="3065">
        <f t="shared" si="1"/>
        <v>1.6400000000000001E-2</v>
      </c>
      <c r="AG17" s="3065">
        <f>ROUND(AVERAGE(K17:K$31)/100,4)</f>
        <v>2.7799999999999998E-2</v>
      </c>
      <c r="AH17" s="3065">
        <f>ROUND(AVERAGE(L17:L$31)/100,4)</f>
        <v>1.3899999999999999E-2</v>
      </c>
    </row>
    <row r="18" spans="1:34" s="3042" customFormat="1" ht="14.45" customHeight="1">
      <c r="A18" s="3076" t="s">
        <v>2571</v>
      </c>
      <c r="B18" s="3077">
        <f t="shared" si="121"/>
        <v>419.31181600000002</v>
      </c>
      <c r="C18" s="3077">
        <f t="shared" si="121"/>
        <v>313.95436800000004</v>
      </c>
      <c r="D18" s="3077">
        <f t="shared" si="109"/>
        <v>313.95436800000004</v>
      </c>
      <c r="E18" s="3077">
        <f t="shared" si="122"/>
        <v>596.63028431999999</v>
      </c>
      <c r="F18" s="3077">
        <f t="shared" si="122"/>
        <v>274.74220703999998</v>
      </c>
      <c r="G18" s="3470"/>
      <c r="H18" s="3091">
        <v>2</v>
      </c>
      <c r="I18" s="3091">
        <v>3.4</v>
      </c>
      <c r="J18" s="3091">
        <v>2</v>
      </c>
      <c r="K18" s="3091">
        <v>3.82</v>
      </c>
      <c r="L18" s="3092">
        <v>1.68</v>
      </c>
      <c r="N18" s="3079">
        <f t="shared" si="112"/>
        <v>3.4000000000000002E-2</v>
      </c>
      <c r="O18" s="3097">
        <f t="shared" si="123"/>
        <v>0.02</v>
      </c>
      <c r="P18" s="3097">
        <f t="shared" si="124"/>
        <v>3.8199999999999998E-2</v>
      </c>
      <c r="Q18" s="3097">
        <f t="shared" si="125"/>
        <v>1.6799999999999999E-2</v>
      </c>
      <c r="S18" s="3079"/>
      <c r="T18" s="3065"/>
      <c r="U18" s="3065"/>
      <c r="V18" s="3065"/>
      <c r="X18" s="3064">
        <f>ROUND(SUMPRODUCT(PRODUCT(1+N18:N$30)),4)</f>
        <v>1.3628</v>
      </c>
      <c r="Y18" s="3064">
        <f>ROUND(SUMPRODUCT(PRODUCT(1+O18:O$30)),4)</f>
        <v>1.2205999999999999</v>
      </c>
      <c r="Z18" s="3064">
        <f t="shared" si="0"/>
        <v>1.2205999999999999</v>
      </c>
      <c r="AA18" s="3064">
        <f>ROUND(SUMPRODUCT(PRODUCT(1+P18:P$30)),4)</f>
        <v>1.4118999999999999</v>
      </c>
      <c r="AB18" s="3064">
        <f>ROUND(SUMPRODUCT(PRODUCT(1+Q18:Q$30)),4)</f>
        <v>1.1930000000000001</v>
      </c>
      <c r="AD18" s="3065">
        <f>ROUND(AVERAGE(I18:I$31)/100,4)</f>
        <v>2.46E-2</v>
      </c>
      <c r="AE18" s="3065">
        <f>ROUND(AVERAGE(J18:J$31)/100,4)</f>
        <v>1.6E-2</v>
      </c>
      <c r="AF18" s="3065">
        <f t="shared" si="1"/>
        <v>1.6E-2</v>
      </c>
      <c r="AG18" s="3065">
        <f>ROUND(AVERAGE(K18:K$31)/100,4)</f>
        <v>2.75E-2</v>
      </c>
      <c r="AH18" s="3065">
        <f>ROUND(AVERAGE(L18:L$31)/100,4)</f>
        <v>1.37E-2</v>
      </c>
    </row>
    <row r="19" spans="1:34" s="3083" customFormat="1" ht="15" customHeight="1" thickBot="1">
      <c r="A19" s="3076" t="s">
        <v>2572</v>
      </c>
      <c r="B19" s="3077">
        <f t="shared" si="121"/>
        <v>405.524</v>
      </c>
      <c r="C19" s="3077">
        <f t="shared" si="121"/>
        <v>307.79840000000002</v>
      </c>
      <c r="D19" s="3077">
        <f t="shared" si="109"/>
        <v>307.79840000000002</v>
      </c>
      <c r="E19" s="3077">
        <f t="shared" si="122"/>
        <v>574.67759999999998</v>
      </c>
      <c r="F19" s="3077">
        <f t="shared" si="122"/>
        <v>270.20280000000002</v>
      </c>
      <c r="G19" s="3476"/>
      <c r="H19" s="3078">
        <v>1</v>
      </c>
      <c r="I19" s="3078">
        <v>3.45</v>
      </c>
      <c r="J19" s="3078">
        <v>1.92</v>
      </c>
      <c r="K19" s="3078">
        <v>3.92</v>
      </c>
      <c r="L19" s="3084">
        <v>1.58</v>
      </c>
      <c r="M19" s="3064"/>
      <c r="N19" s="3081">
        <f t="shared" si="112"/>
        <v>3.4500000000000003E-2</v>
      </c>
      <c r="O19" s="3082">
        <f t="shared" ref="O19" si="126">J19/100</f>
        <v>1.9199999999999998E-2</v>
      </c>
      <c r="P19" s="3082">
        <f t="shared" ref="P19" si="127">K19/100</f>
        <v>3.9199999999999999E-2</v>
      </c>
      <c r="Q19" s="3082">
        <f t="shared" ref="Q19" si="128">L19/100</f>
        <v>1.5800000000000002E-2</v>
      </c>
      <c r="R19" s="3080"/>
      <c r="S19" s="3081">
        <f>B19/B20-1</f>
        <v>3.4499999999999975E-2</v>
      </c>
      <c r="T19" s="3082">
        <f>C19/C20-1</f>
        <v>1.9200000000000106E-2</v>
      </c>
      <c r="U19" s="3082">
        <f>E19/E20-1</f>
        <v>3.9199999999999902E-2</v>
      </c>
      <c r="V19" s="3082">
        <f>F19/F20-1</f>
        <v>1.5800000000000036E-2</v>
      </c>
      <c r="W19" s="3064"/>
      <c r="X19" s="3064">
        <f>ROUND(SUMPRODUCT(PRODUCT(1+N19:N$30)),4)</f>
        <v>1.3180000000000001</v>
      </c>
      <c r="Y19" s="3064">
        <f>ROUND(SUMPRODUCT(PRODUCT(1+O19:O$30)),4)</f>
        <v>1.1966000000000001</v>
      </c>
      <c r="Z19" s="3064">
        <f t="shared" si="0"/>
        <v>1.1966000000000001</v>
      </c>
      <c r="AA19" s="3064">
        <f>ROUND(SUMPRODUCT(PRODUCT(1+P19:P$30)),4)</f>
        <v>1.36</v>
      </c>
      <c r="AB19" s="3064">
        <f>ROUND(SUMPRODUCT(PRODUCT(1+Q19:Q$30)),4)</f>
        <v>1.1733</v>
      </c>
      <c r="AC19" s="3064"/>
      <c r="AD19" s="3065">
        <f>ROUND(AVERAGE(I19:I$31)/100,4)</f>
        <v>2.3900000000000001E-2</v>
      </c>
      <c r="AE19" s="3065">
        <f>ROUND(AVERAGE(J19:J$31)/100,4)</f>
        <v>1.5699999999999999E-2</v>
      </c>
      <c r="AF19" s="3065">
        <f t="shared" si="1"/>
        <v>1.5699999999999999E-2</v>
      </c>
      <c r="AG19" s="3065">
        <f>ROUND(AVERAGE(K19:K$31)/100,4)</f>
        <v>2.6599999999999999E-2</v>
      </c>
      <c r="AH19" s="3065">
        <f>ROUND(AVERAGE(L19:L$31)/100,4)</f>
        <v>1.34E-2</v>
      </c>
    </row>
    <row r="20" spans="1:34">
      <c r="A20" s="3076" t="s">
        <v>967</v>
      </c>
      <c r="B20" s="3098">
        <v>392</v>
      </c>
      <c r="C20" s="3098">
        <v>302</v>
      </c>
      <c r="D20" s="3098">
        <f t="shared" si="109"/>
        <v>302</v>
      </c>
      <c r="E20" s="3098">
        <v>553</v>
      </c>
      <c r="F20" s="3099">
        <v>266</v>
      </c>
      <c r="G20" s="3475">
        <v>2016</v>
      </c>
      <c r="H20" s="3085">
        <v>4</v>
      </c>
      <c r="I20" s="3085">
        <v>4.5599999999999996</v>
      </c>
      <c r="J20" s="3085">
        <v>2.15</v>
      </c>
      <c r="K20" s="3085">
        <v>5.32</v>
      </c>
      <c r="L20" s="3086">
        <v>1.57</v>
      </c>
      <c r="N20" s="3079">
        <f t="shared" si="112"/>
        <v>4.5599999999999995E-2</v>
      </c>
      <c r="O20" s="3065">
        <f t="shared" ref="O20:Q35" si="129">J20/100</f>
        <v>2.1499999999999998E-2</v>
      </c>
      <c r="P20" s="3065">
        <f t="shared" si="129"/>
        <v>5.3200000000000004E-2</v>
      </c>
      <c r="Q20" s="3065">
        <f t="shared" si="129"/>
        <v>1.5700000000000002E-2</v>
      </c>
      <c r="R20" s="3080"/>
      <c r="S20" s="3089"/>
      <c r="T20" s="3090"/>
      <c r="U20" s="3090"/>
      <c r="V20" s="3090"/>
      <c r="X20" s="3064">
        <f>ROUND(SUMPRODUCT(PRODUCT(1+N20:N$30)),4)</f>
        <v>1.274</v>
      </c>
      <c r="Y20" s="3064">
        <f>ROUND(SUMPRODUCT(PRODUCT(1+O20:O$30)),4)</f>
        <v>1.1740999999999999</v>
      </c>
      <c r="Z20" s="3064">
        <f t="shared" si="0"/>
        <v>1.1740999999999999</v>
      </c>
      <c r="AA20" s="3064">
        <f>ROUND(SUMPRODUCT(PRODUCT(1+P20:P$30)),4)</f>
        <v>1.3087</v>
      </c>
      <c r="AB20" s="3064">
        <f>ROUND(SUMPRODUCT(PRODUCT(1+Q20:Q$30)),4)</f>
        <v>1.1551</v>
      </c>
      <c r="AD20" s="3065">
        <f>ROUND(AVERAGE(I20:I$31)/100,4)</f>
        <v>2.3E-2</v>
      </c>
      <c r="AE20" s="3065">
        <f>ROUND(AVERAGE(J20:J$31)/100,4)</f>
        <v>1.55E-2</v>
      </c>
      <c r="AF20" s="3065">
        <f t="shared" si="1"/>
        <v>1.55E-2</v>
      </c>
      <c r="AG20" s="3065">
        <f>ROUND(AVERAGE(K20:K$31)/100,4)</f>
        <v>2.5600000000000001E-2</v>
      </c>
      <c r="AH20" s="3065">
        <f>ROUND(AVERAGE(L20:L$31)/100,4)</f>
        <v>1.32E-2</v>
      </c>
    </row>
    <row r="21" spans="1:34">
      <c r="A21" s="3076" t="s">
        <v>966</v>
      </c>
      <c r="B21" s="3077">
        <f t="shared" ref="B21:C23" si="130">B20/(1+N20)</f>
        <v>374.90436113236416</v>
      </c>
      <c r="C21" s="3077">
        <f t="shared" si="130"/>
        <v>295.64366128242779</v>
      </c>
      <c r="D21" s="3077">
        <f t="shared" ref="D21:D80" si="131">C21</f>
        <v>295.64366128242779</v>
      </c>
      <c r="E21" s="3077">
        <f t="shared" ref="E21:F23" si="132">E20/(1+P20)</f>
        <v>525.06646410938095</v>
      </c>
      <c r="F21" s="3077">
        <f t="shared" si="132"/>
        <v>261.88835286009646</v>
      </c>
      <c r="G21" s="3470"/>
      <c r="H21" s="3078">
        <v>3</v>
      </c>
      <c r="I21" s="3078">
        <v>4.12</v>
      </c>
      <c r="J21" s="3078">
        <v>2</v>
      </c>
      <c r="K21" s="3078">
        <v>4.79</v>
      </c>
      <c r="L21" s="3084">
        <v>1.97</v>
      </c>
      <c r="N21" s="3079">
        <f t="shared" ref="N21:Q55" si="133">I21/100</f>
        <v>4.1200000000000001E-2</v>
      </c>
      <c r="O21" s="3065">
        <f t="shared" si="129"/>
        <v>0.02</v>
      </c>
      <c r="P21" s="3065">
        <f t="shared" si="129"/>
        <v>4.7899999999999998E-2</v>
      </c>
      <c r="Q21" s="3065">
        <f t="shared" si="129"/>
        <v>1.9699999999999999E-2</v>
      </c>
      <c r="R21" s="3080"/>
      <c r="S21" s="3079"/>
      <c r="T21" s="3065"/>
      <c r="U21" s="3065"/>
      <c r="V21" s="3065"/>
      <c r="X21" s="3064">
        <f>ROUND(SUMPRODUCT(PRODUCT(1+N21:N$30)),4)</f>
        <v>1.2184999999999999</v>
      </c>
      <c r="Y21" s="3064">
        <f>ROUND(SUMPRODUCT(PRODUCT(1+O21:O$30)),4)</f>
        <v>1.1494</v>
      </c>
      <c r="Z21" s="3064">
        <f t="shared" si="0"/>
        <v>1.1494</v>
      </c>
      <c r="AA21" s="3064">
        <f>ROUND(SUMPRODUCT(PRODUCT(1+P21:P$30)),4)</f>
        <v>1.2425999999999999</v>
      </c>
      <c r="AB21" s="3064">
        <f>ROUND(SUMPRODUCT(PRODUCT(1+Q21:Q$30)),4)</f>
        <v>1.1372</v>
      </c>
      <c r="AD21" s="3065">
        <f>ROUND(AVERAGE(I21:I$31)/100,4)</f>
        <v>2.0899999999999998E-2</v>
      </c>
      <c r="AE21" s="3065">
        <f>ROUND(AVERAGE(J21:J$31)/100,4)</f>
        <v>1.49E-2</v>
      </c>
      <c r="AF21" s="3065">
        <f t="shared" si="1"/>
        <v>1.49E-2</v>
      </c>
      <c r="AG21" s="3065">
        <f>ROUND(AVERAGE(K21:K$31)/100,4)</f>
        <v>2.3099999999999999E-2</v>
      </c>
      <c r="AH21" s="3065">
        <f>ROUND(AVERAGE(L21:L$31)/100,4)</f>
        <v>1.2999999999999999E-2</v>
      </c>
    </row>
    <row r="22" spans="1:34">
      <c r="A22" s="3076" t="s">
        <v>956</v>
      </c>
      <c r="B22" s="3077">
        <f t="shared" si="130"/>
        <v>360.06949782209392</v>
      </c>
      <c r="C22" s="3077">
        <f t="shared" si="130"/>
        <v>289.84672674747821</v>
      </c>
      <c r="D22" s="3077">
        <f t="shared" si="131"/>
        <v>289.84672674747821</v>
      </c>
      <c r="E22" s="3077">
        <f t="shared" si="132"/>
        <v>501.06543001181495</v>
      </c>
      <c r="F22" s="3077">
        <f t="shared" si="132"/>
        <v>256.82882500744967</v>
      </c>
      <c r="G22" s="3470"/>
      <c r="H22" s="3091">
        <v>2</v>
      </c>
      <c r="I22" s="3091">
        <v>3.85</v>
      </c>
      <c r="J22" s="3091">
        <v>1.95</v>
      </c>
      <c r="K22" s="3091">
        <v>4.4800000000000004</v>
      </c>
      <c r="L22" s="3092">
        <v>1.41</v>
      </c>
      <c r="N22" s="3079">
        <f t="shared" si="133"/>
        <v>3.85E-2</v>
      </c>
      <c r="O22" s="3065">
        <f t="shared" si="129"/>
        <v>1.95E-2</v>
      </c>
      <c r="P22" s="3065">
        <f t="shared" si="129"/>
        <v>4.4800000000000006E-2</v>
      </c>
      <c r="Q22" s="3065">
        <f t="shared" si="129"/>
        <v>1.41E-2</v>
      </c>
      <c r="R22" s="3080"/>
      <c r="S22" s="3079"/>
      <c r="T22" s="3065"/>
      <c r="U22" s="3065"/>
      <c r="V22" s="3065"/>
      <c r="X22" s="3064">
        <f>ROUND(SUMPRODUCT(PRODUCT(1+N22:N$30)),4)</f>
        <v>1.1702999999999999</v>
      </c>
      <c r="Y22" s="3064">
        <f>ROUND(SUMPRODUCT(PRODUCT(1+O22:O$30)),4)</f>
        <v>1.1269</v>
      </c>
      <c r="Z22" s="3064">
        <f t="shared" si="0"/>
        <v>1.1269</v>
      </c>
      <c r="AA22" s="3064">
        <f>ROUND(SUMPRODUCT(PRODUCT(1+P22:P$30)),4)</f>
        <v>1.1858</v>
      </c>
      <c r="AB22" s="3064">
        <f>ROUND(SUMPRODUCT(PRODUCT(1+Q22:Q$30)),4)</f>
        <v>1.1152</v>
      </c>
      <c r="AD22" s="3065">
        <f>ROUND(AVERAGE(I22:I$31)/100,4)</f>
        <v>1.89E-2</v>
      </c>
      <c r="AE22" s="3065">
        <f>ROUND(AVERAGE(J22:J$31)/100,4)</f>
        <v>1.44E-2</v>
      </c>
      <c r="AF22" s="3065">
        <f t="shared" si="1"/>
        <v>1.44E-2</v>
      </c>
      <c r="AG22" s="3065">
        <f>ROUND(AVERAGE(K22:K$31)/100,4)</f>
        <v>2.06E-2</v>
      </c>
      <c r="AH22" s="3065">
        <f>ROUND(AVERAGE(L22:L$31)/100,4)</f>
        <v>1.23E-2</v>
      </c>
    </row>
    <row r="23" spans="1:34" ht="13.5" thickBot="1">
      <c r="A23" s="3076" t="s">
        <v>965</v>
      </c>
      <c r="B23" s="3077">
        <f t="shared" si="130"/>
        <v>346.720748986128</v>
      </c>
      <c r="C23" s="3077">
        <f t="shared" si="130"/>
        <v>284.30282172386285</v>
      </c>
      <c r="D23" s="3077">
        <f t="shared" si="131"/>
        <v>284.30282172386285</v>
      </c>
      <c r="E23" s="3077">
        <f t="shared" si="132"/>
        <v>479.58023546306947</v>
      </c>
      <c r="F23" s="3077">
        <f t="shared" si="132"/>
        <v>253.25788877571213</v>
      </c>
      <c r="G23" s="3471"/>
      <c r="H23" s="3078">
        <v>1</v>
      </c>
      <c r="I23" s="3078">
        <v>4.09</v>
      </c>
      <c r="J23" s="3078">
        <v>2.93</v>
      </c>
      <c r="K23" s="3078">
        <v>4.54</v>
      </c>
      <c r="L23" s="3084">
        <v>1.48</v>
      </c>
      <c r="N23" s="3079">
        <f t="shared" si="133"/>
        <v>4.0899999999999999E-2</v>
      </c>
      <c r="O23" s="3065">
        <f t="shared" si="129"/>
        <v>2.9300000000000003E-2</v>
      </c>
      <c r="P23" s="3065">
        <f t="shared" si="129"/>
        <v>4.5400000000000003E-2</v>
      </c>
      <c r="Q23" s="3065">
        <f t="shared" si="129"/>
        <v>1.4800000000000001E-2</v>
      </c>
      <c r="R23" s="3080"/>
      <c r="S23" s="3081">
        <f>B23/B24-1</f>
        <v>4.1203450408792808E-2</v>
      </c>
      <c r="T23" s="3082">
        <f>C23/C24-1</f>
        <v>2.6363977342465095E-2</v>
      </c>
      <c r="U23" s="3082">
        <f>E23/E24-1</f>
        <v>4.4837114298626357E-2</v>
      </c>
      <c r="V23" s="3082">
        <f>F23/F24-1</f>
        <v>1.7099954922538574E-2</v>
      </c>
      <c r="X23" s="3064">
        <f>ROUND(SUMPRODUCT(PRODUCT(1+N23:N$30)),4)</f>
        <v>1.1269</v>
      </c>
      <c r="Y23" s="3064">
        <f>ROUND(SUMPRODUCT(PRODUCT(1+O23:O$30)),4)</f>
        <v>1.1052999999999999</v>
      </c>
      <c r="Z23" s="3064">
        <f t="shared" si="0"/>
        <v>1.1052999999999999</v>
      </c>
      <c r="AA23" s="3064">
        <f>ROUND(SUMPRODUCT(PRODUCT(1+P23:P$30)),4)</f>
        <v>1.1349</v>
      </c>
      <c r="AB23" s="3064">
        <f>ROUND(SUMPRODUCT(PRODUCT(1+Q23:Q$30)),4)</f>
        <v>1.0996999999999999</v>
      </c>
      <c r="AD23" s="3065">
        <f>ROUND(AVERAGE(I23:I$31)/100,4)</f>
        <v>1.67E-2</v>
      </c>
      <c r="AE23" s="3065">
        <f>ROUND(AVERAGE(J23:J$31)/100,4)</f>
        <v>1.38E-2</v>
      </c>
      <c r="AF23" s="3065">
        <f t="shared" si="1"/>
        <v>1.38E-2</v>
      </c>
      <c r="AG23" s="3065">
        <f>ROUND(AVERAGE(K23:K$31)/100,4)</f>
        <v>1.7899999999999999E-2</v>
      </c>
      <c r="AH23" s="3065">
        <f>ROUND(AVERAGE(L23:L$31)/100,4)</f>
        <v>1.21E-2</v>
      </c>
    </row>
    <row r="24" spans="1:34" ht="13.5" thickBot="1">
      <c r="A24" s="3076" t="s">
        <v>964</v>
      </c>
      <c r="B24" s="3098">
        <v>333</v>
      </c>
      <c r="C24" s="3098">
        <v>277</v>
      </c>
      <c r="D24" s="3098">
        <f t="shared" si="131"/>
        <v>277</v>
      </c>
      <c r="E24" s="3098">
        <v>459</v>
      </c>
      <c r="F24" s="3099">
        <v>249</v>
      </c>
      <c r="G24" s="3469">
        <v>2015</v>
      </c>
      <c r="H24" s="3100">
        <v>4</v>
      </c>
      <c r="I24" s="3100">
        <v>1.63</v>
      </c>
      <c r="J24" s="3100">
        <v>1.1100000000000001</v>
      </c>
      <c r="K24" s="3100">
        <v>1.77</v>
      </c>
      <c r="L24" s="3101">
        <v>1.89</v>
      </c>
      <c r="N24" s="3095">
        <f t="shared" si="133"/>
        <v>1.6299999999999999E-2</v>
      </c>
      <c r="O24" s="3096">
        <f t="shared" si="129"/>
        <v>1.11E-2</v>
      </c>
      <c r="P24" s="3096">
        <f t="shared" si="129"/>
        <v>1.77E-2</v>
      </c>
      <c r="Q24" s="3096">
        <f t="shared" si="129"/>
        <v>1.89E-2</v>
      </c>
      <c r="R24" s="3080"/>
      <c r="X24" s="3064">
        <f>ROUND(SUMPRODUCT(PRODUCT(1+N24:N$30)),4)</f>
        <v>1.0826</v>
      </c>
      <c r="Y24" s="3064">
        <f>ROUND(SUMPRODUCT(PRODUCT(1+O24:O$30)),4)</f>
        <v>1.0738000000000001</v>
      </c>
      <c r="Z24" s="3064">
        <f t="shared" si="0"/>
        <v>1.0738000000000001</v>
      </c>
      <c r="AA24" s="3064">
        <f>ROUND(SUMPRODUCT(PRODUCT(1+P24:P$30)),4)</f>
        <v>1.0855999999999999</v>
      </c>
      <c r="AB24" s="3064">
        <f>ROUND(SUMPRODUCT(PRODUCT(1+Q24:Q$30)),4)</f>
        <v>1.0837000000000001</v>
      </c>
      <c r="AD24" s="3065">
        <f>ROUND(AVERAGE(I24:I$31)/100,4)</f>
        <v>1.37E-2</v>
      </c>
      <c r="AE24" s="3065">
        <f>ROUND(AVERAGE(J24:J$31)/100,4)</f>
        <v>1.1900000000000001E-2</v>
      </c>
      <c r="AF24" s="3065">
        <f t="shared" si="1"/>
        <v>1.1900000000000001E-2</v>
      </c>
      <c r="AG24" s="3065">
        <f>ROUND(AVERAGE(K24:K$31)/100,4)</f>
        <v>1.4500000000000001E-2</v>
      </c>
      <c r="AH24" s="3065">
        <f>ROUND(AVERAGE(L24:L$31)/100,4)</f>
        <v>1.18E-2</v>
      </c>
    </row>
    <row r="25" spans="1:34">
      <c r="A25" s="3076" t="s">
        <v>963</v>
      </c>
      <c r="B25" s="3077">
        <f t="shared" ref="B25:C27" si="134">B24/(1+N24)</f>
        <v>327.65915576109415</v>
      </c>
      <c r="C25" s="3077">
        <f t="shared" si="134"/>
        <v>273.95905449510434</v>
      </c>
      <c r="D25" s="3077">
        <f t="shared" si="131"/>
        <v>273.95905449510434</v>
      </c>
      <c r="E25" s="3077">
        <f t="shared" ref="E25:F27" si="135">E24/(1+P24)</f>
        <v>451.01699911565294</v>
      </c>
      <c r="F25" s="3077">
        <f t="shared" si="135"/>
        <v>244.38119540681129</v>
      </c>
      <c r="G25" s="3470"/>
      <c r="H25" s="3103">
        <v>3</v>
      </c>
      <c r="I25" s="3103">
        <v>1.65</v>
      </c>
      <c r="J25" s="3103">
        <v>0.92</v>
      </c>
      <c r="K25" s="3103">
        <v>1.88</v>
      </c>
      <c r="L25" s="3104">
        <v>1.26</v>
      </c>
      <c r="N25" s="3079">
        <f t="shared" si="133"/>
        <v>1.6500000000000001E-2</v>
      </c>
      <c r="O25" s="3097">
        <f t="shared" si="129"/>
        <v>9.1999999999999998E-3</v>
      </c>
      <c r="P25" s="3097">
        <f t="shared" si="129"/>
        <v>1.8799999999999997E-2</v>
      </c>
      <c r="Q25" s="3097">
        <f t="shared" si="129"/>
        <v>1.26E-2</v>
      </c>
      <c r="R25" s="3080"/>
      <c r="S25" s="3079"/>
      <c r="T25" s="3065"/>
      <c r="U25" s="3065"/>
      <c r="V25" s="3065"/>
      <c r="X25" s="3064">
        <f>ROUND(SUMPRODUCT(PRODUCT(1+N25:N$30)),4)</f>
        <v>1.0651999999999999</v>
      </c>
      <c r="Y25" s="3064">
        <f>ROUND(SUMPRODUCT(PRODUCT(1+O25:O$30)),4)</f>
        <v>1.0621</v>
      </c>
      <c r="Z25" s="3064">
        <f t="shared" si="0"/>
        <v>1.0621</v>
      </c>
      <c r="AA25" s="3064">
        <f>ROUND(SUMPRODUCT(PRODUCT(1+P25:P$30)),4)</f>
        <v>1.0668</v>
      </c>
      <c r="AB25" s="3064">
        <f>ROUND(SUMPRODUCT(PRODUCT(1+Q25:Q$30)),4)</f>
        <v>1.0636000000000001</v>
      </c>
      <c r="AD25" s="3065">
        <f>ROUND(AVERAGE(I25:I$31)/100,4)</f>
        <v>1.3299999999999999E-2</v>
      </c>
      <c r="AE25" s="3065">
        <f>ROUND(AVERAGE(J25:J$31)/100,4)</f>
        <v>1.2E-2</v>
      </c>
      <c r="AF25" s="3065">
        <f t="shared" si="1"/>
        <v>1.2E-2</v>
      </c>
      <c r="AG25" s="3065">
        <f>ROUND(AVERAGE(K25:K$31)/100,4)</f>
        <v>1.4E-2</v>
      </c>
      <c r="AH25" s="3065">
        <f>ROUND(AVERAGE(L25:L$31)/100,4)</f>
        <v>1.0800000000000001E-2</v>
      </c>
    </row>
    <row r="26" spans="1:34">
      <c r="A26" s="3076" t="s">
        <v>962</v>
      </c>
      <c r="B26" s="3077">
        <f t="shared" si="134"/>
        <v>322.34053690220776</v>
      </c>
      <c r="C26" s="3077">
        <f t="shared" si="134"/>
        <v>271.46160770422546</v>
      </c>
      <c r="D26" s="3077">
        <f t="shared" si="131"/>
        <v>271.46160770422546</v>
      </c>
      <c r="E26" s="3077">
        <f t="shared" si="135"/>
        <v>442.69434542172456</v>
      </c>
      <c r="F26" s="3077">
        <f t="shared" si="135"/>
        <v>241.34030753190925</v>
      </c>
      <c r="G26" s="3470"/>
      <c r="H26" s="3091">
        <v>2</v>
      </c>
      <c r="I26" s="3091">
        <v>0.77</v>
      </c>
      <c r="J26" s="3091">
        <v>0.69</v>
      </c>
      <c r="K26" s="3091">
        <v>0.8</v>
      </c>
      <c r="L26" s="3092">
        <v>0.88</v>
      </c>
      <c r="N26" s="3079">
        <f t="shared" si="133"/>
        <v>7.7000000000000002E-3</v>
      </c>
      <c r="O26" s="3097">
        <f t="shared" si="129"/>
        <v>6.8999999999999999E-3</v>
      </c>
      <c r="P26" s="3097">
        <f t="shared" si="129"/>
        <v>8.0000000000000002E-3</v>
      </c>
      <c r="Q26" s="3097">
        <f t="shared" si="129"/>
        <v>8.8000000000000005E-3</v>
      </c>
      <c r="R26" s="3080"/>
      <c r="S26" s="3079"/>
      <c r="T26" s="3065"/>
      <c r="U26" s="3065"/>
      <c r="V26" s="3065"/>
      <c r="X26" s="3064">
        <f>ROUND(SUMPRODUCT(PRODUCT(1+N26:N$30)),4)</f>
        <v>1.048</v>
      </c>
      <c r="Y26" s="3064">
        <f>ROUND(SUMPRODUCT(PRODUCT(1+O26:O$30)),4)</f>
        <v>1.0524</v>
      </c>
      <c r="Z26" s="3064">
        <f t="shared" si="0"/>
        <v>1.0524</v>
      </c>
      <c r="AA26" s="3064">
        <f>ROUND(SUMPRODUCT(PRODUCT(1+P26:P$30)),4)</f>
        <v>1.0470999999999999</v>
      </c>
      <c r="AB26" s="3064">
        <f>ROUND(SUMPRODUCT(PRODUCT(1+Q26:Q$30)),4)</f>
        <v>1.0504</v>
      </c>
      <c r="AD26" s="3065">
        <f>ROUND(AVERAGE(I26:I$31)/100,4)</f>
        <v>1.2800000000000001E-2</v>
      </c>
      <c r="AE26" s="3065">
        <f>ROUND(AVERAGE(J26:J$31)/100,4)</f>
        <v>1.2500000000000001E-2</v>
      </c>
      <c r="AF26" s="3065">
        <f t="shared" si="1"/>
        <v>1.2500000000000001E-2</v>
      </c>
      <c r="AG26" s="3065">
        <f>ROUND(AVERAGE(K26:K$31)/100,4)</f>
        <v>1.32E-2</v>
      </c>
      <c r="AH26" s="3065">
        <f>ROUND(AVERAGE(L26:L$31)/100,4)</f>
        <v>1.0500000000000001E-2</v>
      </c>
    </row>
    <row r="27" spans="1:34">
      <c r="A27" s="3076" t="s">
        <v>961</v>
      </c>
      <c r="B27" s="3077">
        <f t="shared" si="134"/>
        <v>319.87748030386797</v>
      </c>
      <c r="C27" s="3077">
        <f t="shared" si="134"/>
        <v>269.60135833173649</v>
      </c>
      <c r="D27" s="3077">
        <f t="shared" si="131"/>
        <v>269.60135833173649</v>
      </c>
      <c r="E27" s="3077">
        <f t="shared" si="135"/>
        <v>439.18089823583784</v>
      </c>
      <c r="F27" s="3077">
        <f t="shared" si="135"/>
        <v>239.23503918706311</v>
      </c>
      <c r="G27" s="3471"/>
      <c r="H27" s="3078">
        <v>1</v>
      </c>
      <c r="I27" s="3078">
        <v>0.51</v>
      </c>
      <c r="J27" s="3078">
        <v>0.54</v>
      </c>
      <c r="K27" s="3078">
        <v>0.48</v>
      </c>
      <c r="L27" s="3084">
        <v>0.93</v>
      </c>
      <c r="N27" s="3081">
        <f t="shared" si="133"/>
        <v>5.1000000000000004E-3</v>
      </c>
      <c r="O27" s="3082">
        <f t="shared" si="129"/>
        <v>5.4000000000000003E-3</v>
      </c>
      <c r="P27" s="3082">
        <f t="shared" si="129"/>
        <v>4.7999999999999996E-3</v>
      </c>
      <c r="Q27" s="3082">
        <f t="shared" si="129"/>
        <v>9.300000000000001E-3</v>
      </c>
      <c r="R27" s="3080"/>
      <c r="S27" s="3081">
        <f>B27/B28-1</f>
        <v>5.9040261127922822E-3</v>
      </c>
      <c r="T27" s="3082">
        <f>C27/C28-1</f>
        <v>5.9752176557332781E-3</v>
      </c>
      <c r="U27" s="3082">
        <f>E27/E28-1</f>
        <v>4.9906138119859556E-3</v>
      </c>
      <c r="V27" s="3082">
        <f>F27/F28-1</f>
        <v>9.4305450930933787E-3</v>
      </c>
      <c r="X27" s="3064">
        <f>ROUND(SUMPRODUCT(PRODUCT(1+N27:N$30)),4)</f>
        <v>1.0399</v>
      </c>
      <c r="Y27" s="3064">
        <f>ROUND(SUMPRODUCT(PRODUCT(1+O27:O$30)),4)</f>
        <v>1.0451999999999999</v>
      </c>
      <c r="Z27" s="3064">
        <f t="shared" si="0"/>
        <v>1.0451999999999999</v>
      </c>
      <c r="AA27" s="3064">
        <f>ROUND(SUMPRODUCT(PRODUCT(1+P27:P$30)),4)</f>
        <v>1.0387999999999999</v>
      </c>
      <c r="AB27" s="3064">
        <f>ROUND(SUMPRODUCT(PRODUCT(1+Q27:Q$30)),4)</f>
        <v>1.0411999999999999</v>
      </c>
      <c r="AD27" s="3065">
        <f>ROUND(AVERAGE(I27:I$31)/100,4)</f>
        <v>1.38E-2</v>
      </c>
      <c r="AE27" s="3065">
        <f>ROUND(AVERAGE(J27:J$31)/100,4)</f>
        <v>1.3599999999999999E-2</v>
      </c>
      <c r="AF27" s="3065">
        <f t="shared" si="1"/>
        <v>1.3599999999999999E-2</v>
      </c>
      <c r="AG27" s="3065">
        <f>ROUND(AVERAGE(K27:K$31)/100,4)</f>
        <v>1.4200000000000001E-2</v>
      </c>
      <c r="AH27" s="3065">
        <f>ROUND(AVERAGE(L27:L$31)/100,4)</f>
        <v>1.0800000000000001E-2</v>
      </c>
    </row>
    <row r="28" spans="1:34" ht="13.5" thickBot="1">
      <c r="A28" s="3076" t="s">
        <v>960</v>
      </c>
      <c r="B28" s="3105">
        <v>318</v>
      </c>
      <c r="C28" s="3105">
        <v>268</v>
      </c>
      <c r="D28" s="3105">
        <f t="shared" si="131"/>
        <v>268</v>
      </c>
      <c r="E28" s="3105">
        <v>437</v>
      </c>
      <c r="F28" s="3106">
        <v>237</v>
      </c>
      <c r="G28" s="3469">
        <v>2014</v>
      </c>
      <c r="H28" s="3100">
        <v>4</v>
      </c>
      <c r="I28" s="3100">
        <v>0.21</v>
      </c>
      <c r="J28" s="3100">
        <v>0.41</v>
      </c>
      <c r="K28" s="3100">
        <v>0.12</v>
      </c>
      <c r="L28" s="3101">
        <v>0.89</v>
      </c>
      <c r="N28" s="3079">
        <f t="shared" si="133"/>
        <v>2.0999999999999999E-3</v>
      </c>
      <c r="O28" s="3065">
        <f t="shared" si="129"/>
        <v>4.0999999999999995E-3</v>
      </c>
      <c r="P28" s="3065">
        <f t="shared" si="129"/>
        <v>1.1999999999999999E-3</v>
      </c>
      <c r="Q28" s="3065">
        <f t="shared" si="129"/>
        <v>8.8999999999999999E-3</v>
      </c>
      <c r="R28" s="3080"/>
      <c r="S28" s="3089"/>
      <c r="T28" s="3090"/>
      <c r="U28" s="3090"/>
      <c r="V28" s="3090"/>
      <c r="X28" s="3064">
        <f>ROUND(SUMPRODUCT(PRODUCT(1+N28:N$30)),4)</f>
        <v>1.0347</v>
      </c>
      <c r="Y28" s="3064">
        <f>ROUND(SUMPRODUCT(PRODUCT(1+O28:O$30)),4)</f>
        <v>1.0395000000000001</v>
      </c>
      <c r="Z28" s="3064">
        <f t="shared" si="0"/>
        <v>1.0395000000000001</v>
      </c>
      <c r="AA28" s="3064">
        <f>ROUND(SUMPRODUCT(PRODUCT(1+P28:P$30)),4)</f>
        <v>1.0338000000000001</v>
      </c>
      <c r="AB28" s="3064">
        <f>ROUND(SUMPRODUCT(PRODUCT(1+Q28:Q$30)),4)</f>
        <v>1.0316000000000001</v>
      </c>
      <c r="AD28" s="3065">
        <f>ROUND(AVERAGE(I28:I$31)/100,4)</f>
        <v>1.6E-2</v>
      </c>
      <c r="AE28" s="3065">
        <f>ROUND(AVERAGE(J28:J$31)/100,4)</f>
        <v>1.5599999999999999E-2</v>
      </c>
      <c r="AF28" s="3065">
        <f t="shared" si="1"/>
        <v>1.5599999999999999E-2</v>
      </c>
      <c r="AG28" s="3065">
        <f>ROUND(AVERAGE(K28:K$31)/100,4)</f>
        <v>1.66E-2</v>
      </c>
      <c r="AH28" s="3065">
        <f>ROUND(AVERAGE(L28:L$31)/100,4)</f>
        <v>1.12E-2</v>
      </c>
    </row>
    <row r="29" spans="1:34">
      <c r="A29" s="3076" t="s">
        <v>959</v>
      </c>
      <c r="B29" s="3077">
        <f t="shared" ref="B29:C31" si="136">B28/(1+N28)</f>
        <v>317.33359944117353</v>
      </c>
      <c r="C29" s="3077">
        <f t="shared" si="136"/>
        <v>266.90568668459315</v>
      </c>
      <c r="D29" s="3077">
        <f t="shared" si="131"/>
        <v>266.90568668459315</v>
      </c>
      <c r="E29" s="3077">
        <f t="shared" ref="E29:F31" si="137">E28/(1+P28)</f>
        <v>436.47622852576905</v>
      </c>
      <c r="F29" s="3077">
        <f t="shared" si="137"/>
        <v>234.90930716622066</v>
      </c>
      <c r="G29" s="3470"/>
      <c r="H29" s="3107">
        <v>3</v>
      </c>
      <c r="I29" s="3107">
        <v>0.83</v>
      </c>
      <c r="J29" s="3107">
        <v>1.47</v>
      </c>
      <c r="K29" s="3107">
        <v>0.65</v>
      </c>
      <c r="L29" s="3108">
        <v>0.72</v>
      </c>
      <c r="N29" s="3079">
        <f t="shared" si="133"/>
        <v>8.3000000000000001E-3</v>
      </c>
      <c r="O29" s="3065">
        <f t="shared" si="129"/>
        <v>1.47E-2</v>
      </c>
      <c r="P29" s="3065">
        <f t="shared" si="129"/>
        <v>6.5000000000000006E-3</v>
      </c>
      <c r="Q29" s="3065">
        <f t="shared" si="129"/>
        <v>7.1999999999999998E-3</v>
      </c>
      <c r="R29" s="3080"/>
      <c r="S29" s="3079"/>
      <c r="T29" s="3065"/>
      <c r="U29" s="3065"/>
      <c r="V29" s="3065"/>
      <c r="X29" s="3064">
        <f>ROUND(SUMPRODUCT(PRODUCT(1+N29:N$30)),4)</f>
        <v>1.0325</v>
      </c>
      <c r="Y29" s="3064">
        <f>ROUND(SUMPRODUCT(PRODUCT(1+O29:O$30)),4)</f>
        <v>1.0353000000000001</v>
      </c>
      <c r="Z29" s="3064">
        <f t="shared" ref="Z29:Z30" si="138">Y29</f>
        <v>1.0353000000000001</v>
      </c>
      <c r="AA29" s="3064">
        <f>ROUND(SUMPRODUCT(PRODUCT(1+P29:P$30)),4)</f>
        <v>1.0326</v>
      </c>
      <c r="AB29" s="3064">
        <f>ROUND(SUMPRODUCT(PRODUCT(1+Q29:Q$30)),4)</f>
        <v>1.0225</v>
      </c>
      <c r="AD29" s="3065">
        <f>ROUND(AVERAGE(I29:I$31)/100,4)</f>
        <v>2.07E-2</v>
      </c>
      <c r="AE29" s="3065">
        <f>ROUND(AVERAGE(J29:J$31)/100,4)</f>
        <v>1.95E-2</v>
      </c>
      <c r="AF29" s="3065">
        <f t="shared" si="1"/>
        <v>1.95E-2</v>
      </c>
      <c r="AG29" s="3065">
        <f>ROUND(AVERAGE(K29:K$31)/100,4)</f>
        <v>2.1700000000000001E-2</v>
      </c>
      <c r="AH29" s="3065">
        <f>ROUND(AVERAGE(L29:L$31)/100,4)</f>
        <v>1.2E-2</v>
      </c>
    </row>
    <row r="30" spans="1:34" ht="13.5" thickBot="1">
      <c r="A30" s="3076" t="s">
        <v>958</v>
      </c>
      <c r="B30" s="3077">
        <f t="shared" si="136"/>
        <v>314.72141172386546</v>
      </c>
      <c r="C30" s="3077">
        <f t="shared" si="136"/>
        <v>263.03901319069001</v>
      </c>
      <c r="D30" s="3077">
        <f t="shared" si="131"/>
        <v>263.03901319069001</v>
      </c>
      <c r="E30" s="3077">
        <f t="shared" si="137"/>
        <v>433.65745506782821</v>
      </c>
      <c r="F30" s="3077">
        <f t="shared" si="137"/>
        <v>233.23005080045735</v>
      </c>
      <c r="G30" s="3470"/>
      <c r="H30" s="3100">
        <v>2</v>
      </c>
      <c r="I30" s="3100">
        <v>2.4</v>
      </c>
      <c r="J30" s="3100">
        <v>2.0299999999999998</v>
      </c>
      <c r="K30" s="3100">
        <v>2.59</v>
      </c>
      <c r="L30" s="3101">
        <v>1.52</v>
      </c>
      <c r="N30" s="3079">
        <f t="shared" si="133"/>
        <v>2.4E-2</v>
      </c>
      <c r="O30" s="3065">
        <f t="shared" si="129"/>
        <v>2.0299999999999999E-2</v>
      </c>
      <c r="P30" s="3065">
        <f t="shared" si="129"/>
        <v>2.5899999999999999E-2</v>
      </c>
      <c r="Q30" s="3065">
        <f t="shared" si="129"/>
        <v>1.52E-2</v>
      </c>
      <c r="R30" s="3080"/>
      <c r="S30" s="3079"/>
      <c r="T30" s="3065"/>
      <c r="U30" s="3065"/>
      <c r="V30" s="3065"/>
      <c r="X30" s="3064">
        <f>1+N30</f>
        <v>1.024</v>
      </c>
      <c r="Y30" s="3064">
        <f>1+O30</f>
        <v>1.0203</v>
      </c>
      <c r="Z30" s="3064">
        <f t="shared" si="138"/>
        <v>1.0203</v>
      </c>
      <c r="AA30" s="3064">
        <f>1+P30</f>
        <v>1.0259</v>
      </c>
      <c r="AB30" s="3064">
        <f>1+Q30</f>
        <v>1.0152000000000001</v>
      </c>
      <c r="AD30" s="3065">
        <f>ROUND(AVERAGE(I30:I$31)/100,4)</f>
        <v>2.69E-2</v>
      </c>
      <c r="AE30" s="3065">
        <f>ROUND(AVERAGE(J30:J$31)/100,4)</f>
        <v>2.1899999999999999E-2</v>
      </c>
      <c r="AF30" s="3065">
        <f t="shared" ref="AF30" si="139">AE30</f>
        <v>2.1899999999999999E-2</v>
      </c>
      <c r="AG30" s="3065">
        <f>ROUND(AVERAGE(K30:K$31)/100,4)</f>
        <v>2.9399999999999999E-2</v>
      </c>
      <c r="AH30" s="3065">
        <f>ROUND(AVERAGE(L30:L$31)/100,4)</f>
        <v>1.44E-2</v>
      </c>
    </row>
    <row r="31" spans="1:34" s="3113" customFormat="1" ht="13.5" thickBot="1">
      <c r="A31" s="3109" t="s">
        <v>957</v>
      </c>
      <c r="B31" s="3110">
        <f t="shared" si="136"/>
        <v>307.34512863658733</v>
      </c>
      <c r="C31" s="3110">
        <f t="shared" si="136"/>
        <v>257.80556031626975</v>
      </c>
      <c r="D31" s="3110">
        <f t="shared" si="131"/>
        <v>257.80556031626975</v>
      </c>
      <c r="E31" s="3110">
        <f t="shared" si="137"/>
        <v>422.70928459677179</v>
      </c>
      <c r="F31" s="3110">
        <f t="shared" si="137"/>
        <v>229.73803270336617</v>
      </c>
      <c r="G31" s="3471"/>
      <c r="H31" s="3111">
        <v>1</v>
      </c>
      <c r="I31" s="3111">
        <v>2.97</v>
      </c>
      <c r="J31" s="3111">
        <v>2.34</v>
      </c>
      <c r="K31" s="3111">
        <v>3.28</v>
      </c>
      <c r="L31" s="3112">
        <v>1.36</v>
      </c>
      <c r="N31" s="3114">
        <f t="shared" si="133"/>
        <v>2.9700000000000001E-2</v>
      </c>
      <c r="O31" s="3115">
        <f t="shared" si="129"/>
        <v>2.3399999999999997E-2</v>
      </c>
      <c r="P31" s="3115">
        <f t="shared" si="129"/>
        <v>3.2799999999999996E-2</v>
      </c>
      <c r="Q31" s="3115">
        <f t="shared" si="129"/>
        <v>1.3600000000000001E-2</v>
      </c>
      <c r="R31" s="3116"/>
      <c r="S31" s="3117">
        <f>B31/B32-1</f>
        <v>2.7910129219355539E-2</v>
      </c>
      <c r="T31" s="3118">
        <f>C31/C32-1</f>
        <v>2.3037937762975247E-2</v>
      </c>
      <c r="U31" s="3118">
        <f>E31/E32-1</f>
        <v>3.3519033243940788E-2</v>
      </c>
      <c r="V31" s="3118">
        <f>F31/F32-1</f>
        <v>1.2061818076502862E-2</v>
      </c>
      <c r="W31" s="3119" t="s">
        <v>2630</v>
      </c>
      <c r="X31" s="3120">
        <v>1</v>
      </c>
      <c r="Y31" s="3120">
        <v>1</v>
      </c>
      <c r="Z31" s="3120">
        <v>1</v>
      </c>
      <c r="AA31" s="3120">
        <v>1</v>
      </c>
      <c r="AB31" s="3120">
        <v>1</v>
      </c>
      <c r="AD31" s="3115">
        <f>I31/100</f>
        <v>2.9700000000000001E-2</v>
      </c>
      <c r="AE31" s="3115">
        <f>J31/100</f>
        <v>2.3399999999999997E-2</v>
      </c>
      <c r="AF31" s="3115">
        <f>AE31</f>
        <v>2.3399999999999997E-2</v>
      </c>
      <c r="AG31" s="3115">
        <f>K31/100</f>
        <v>3.2799999999999996E-2</v>
      </c>
      <c r="AH31" s="3115">
        <f>L31/100</f>
        <v>1.3600000000000001E-2</v>
      </c>
    </row>
    <row r="32" spans="1:34" ht="13.5" thickBot="1">
      <c r="A32" s="3076" t="s">
        <v>2573</v>
      </c>
      <c r="B32" s="3098">
        <v>299</v>
      </c>
      <c r="C32" s="3098">
        <v>252</v>
      </c>
      <c r="D32" s="3098">
        <f t="shared" si="131"/>
        <v>252</v>
      </c>
      <c r="E32" s="3098">
        <v>409</v>
      </c>
      <c r="F32" s="3099">
        <v>227</v>
      </c>
      <c r="G32" s="3472">
        <v>2013</v>
      </c>
      <c r="H32" s="3121">
        <v>4</v>
      </c>
      <c r="I32" s="3121">
        <v>1.83</v>
      </c>
      <c r="J32" s="3121">
        <v>1.68</v>
      </c>
      <c r="K32" s="3121">
        <v>1.97</v>
      </c>
      <c r="L32" s="3122">
        <v>0.87</v>
      </c>
      <c r="N32" s="3095">
        <f t="shared" si="133"/>
        <v>1.83E-2</v>
      </c>
      <c r="O32" s="3096">
        <f t="shared" si="129"/>
        <v>1.6799999999999999E-2</v>
      </c>
      <c r="P32" s="3096">
        <f t="shared" si="129"/>
        <v>1.9699999999999999E-2</v>
      </c>
      <c r="Q32" s="3096">
        <f t="shared" si="129"/>
        <v>8.6999999999999994E-3</v>
      </c>
      <c r="R32" s="3080"/>
      <c r="S32" s="3089"/>
      <c r="T32" s="3090"/>
      <c r="U32" s="3090"/>
      <c r="V32" s="3090"/>
      <c r="X32" s="3090"/>
      <c r="Y32" s="3090"/>
      <c r="Z32" s="3090"/>
    </row>
    <row r="33" spans="1:26">
      <c r="A33" s="3076" t="s">
        <v>2574</v>
      </c>
      <c r="B33" s="3077">
        <f t="shared" ref="B33:C35" si="140">B32/(1+N32)</f>
        <v>293.62663262299913</v>
      </c>
      <c r="C33" s="3077">
        <f t="shared" si="140"/>
        <v>247.83634933123525</v>
      </c>
      <c r="D33" s="3077">
        <f t="shared" si="131"/>
        <v>247.83634933123525</v>
      </c>
      <c r="E33" s="3077">
        <f t="shared" ref="E33:F35" si="141">E32/(1+P32)</f>
        <v>401.09836226341076</v>
      </c>
      <c r="F33" s="3077">
        <f t="shared" si="141"/>
        <v>225.04213343908003</v>
      </c>
      <c r="G33" s="3473"/>
      <c r="H33" s="3103">
        <v>3</v>
      </c>
      <c r="I33" s="3103">
        <v>1.86</v>
      </c>
      <c r="J33" s="3103">
        <v>1.72</v>
      </c>
      <c r="K33" s="3103">
        <v>1.98</v>
      </c>
      <c r="L33" s="3104">
        <v>0.88</v>
      </c>
      <c r="N33" s="3079">
        <f t="shared" si="133"/>
        <v>1.8600000000000002E-2</v>
      </c>
      <c r="O33" s="3097">
        <f t="shared" si="129"/>
        <v>1.72E-2</v>
      </c>
      <c r="P33" s="3097">
        <f t="shared" si="129"/>
        <v>1.9799999999999998E-2</v>
      </c>
      <c r="Q33" s="3097">
        <f t="shared" si="129"/>
        <v>8.8000000000000005E-3</v>
      </c>
      <c r="R33" s="3080"/>
      <c r="S33" s="3079"/>
      <c r="T33" s="3065"/>
      <c r="U33" s="3065"/>
      <c r="V33" s="3065"/>
    </row>
    <row r="34" spans="1:26">
      <c r="A34" s="3076" t="s">
        <v>2575</v>
      </c>
      <c r="B34" s="3077">
        <f t="shared" si="140"/>
        <v>288.2649053828776</v>
      </c>
      <c r="C34" s="3077">
        <f t="shared" si="140"/>
        <v>243.64564425013293</v>
      </c>
      <c r="D34" s="3077">
        <f t="shared" si="131"/>
        <v>243.64564425013293</v>
      </c>
      <c r="E34" s="3077">
        <f t="shared" si="141"/>
        <v>393.31080825986544</v>
      </c>
      <c r="F34" s="3077">
        <f t="shared" si="141"/>
        <v>223.07903790551154</v>
      </c>
      <c r="G34" s="3473"/>
      <c r="H34" s="3091">
        <v>2</v>
      </c>
      <c r="I34" s="3091">
        <v>2.04</v>
      </c>
      <c r="J34" s="3091">
        <v>2.33</v>
      </c>
      <c r="K34" s="3091">
        <v>2.0699999999999998</v>
      </c>
      <c r="L34" s="3092">
        <v>0.69</v>
      </c>
      <c r="N34" s="3079">
        <f t="shared" si="133"/>
        <v>2.0400000000000001E-2</v>
      </c>
      <c r="O34" s="3097">
        <f t="shared" si="129"/>
        <v>2.3300000000000001E-2</v>
      </c>
      <c r="P34" s="3097">
        <f t="shared" si="129"/>
        <v>2.07E-2</v>
      </c>
      <c r="Q34" s="3097">
        <f t="shared" si="129"/>
        <v>6.8999999999999999E-3</v>
      </c>
      <c r="R34" s="3080"/>
      <c r="S34" s="3079"/>
      <c r="T34" s="3065"/>
      <c r="U34" s="3065"/>
      <c r="V34" s="3065"/>
      <c r="X34" s="3123"/>
      <c r="Y34" s="3124"/>
    </row>
    <row r="35" spans="1:26">
      <c r="A35" s="3076" t="s">
        <v>2576</v>
      </c>
      <c r="B35" s="3077">
        <f t="shared" si="140"/>
        <v>282.50186729015837</v>
      </c>
      <c r="C35" s="3077">
        <f t="shared" si="140"/>
        <v>238.09796174155468</v>
      </c>
      <c r="D35" s="3077">
        <f t="shared" si="131"/>
        <v>238.09796174155468</v>
      </c>
      <c r="E35" s="3077">
        <f t="shared" si="141"/>
        <v>385.33438646014054</v>
      </c>
      <c r="F35" s="3077">
        <f t="shared" si="141"/>
        <v>221.55034055567739</v>
      </c>
      <c r="G35" s="3474"/>
      <c r="H35" s="3078">
        <v>1</v>
      </c>
      <c r="I35" s="3078">
        <v>1.67</v>
      </c>
      <c r="J35" s="3078">
        <v>1.31</v>
      </c>
      <c r="K35" s="3078">
        <v>1.85</v>
      </c>
      <c r="L35" s="3084">
        <v>0.96</v>
      </c>
      <c r="N35" s="3081">
        <f t="shared" si="133"/>
        <v>1.67E-2</v>
      </c>
      <c r="O35" s="3082">
        <f t="shared" si="129"/>
        <v>1.3100000000000001E-2</v>
      </c>
      <c r="P35" s="3082">
        <f t="shared" si="129"/>
        <v>1.8500000000000003E-2</v>
      </c>
      <c r="Q35" s="3082">
        <f t="shared" si="129"/>
        <v>9.5999999999999992E-3</v>
      </c>
      <c r="R35" s="3080"/>
      <c r="S35" s="3081">
        <f>B35/B36-1</f>
        <v>1.6193767230785472E-2</v>
      </c>
      <c r="T35" s="3082">
        <f>C35/C36-1</f>
        <v>1.7512657015190891E-2</v>
      </c>
      <c r="U35" s="3082">
        <f>E35/E36-1</f>
        <v>1.6713420739157048E-2</v>
      </c>
      <c r="V35" s="3082">
        <f>F35/F36-1</f>
        <v>7.0470025258062563E-3</v>
      </c>
      <c r="X35" s="3125"/>
      <c r="Y35" s="3065"/>
      <c r="Z35" s="3065"/>
    </row>
    <row r="36" spans="1:26" ht="13.5" thickBot="1">
      <c r="A36" s="3076" t="s">
        <v>2577</v>
      </c>
      <c r="B36" s="3126">
        <v>278</v>
      </c>
      <c r="C36" s="3126">
        <v>234</v>
      </c>
      <c r="D36" s="3126">
        <f t="shared" si="131"/>
        <v>234</v>
      </c>
      <c r="E36" s="3126">
        <v>379</v>
      </c>
      <c r="F36" s="3127">
        <v>220</v>
      </c>
      <c r="G36" s="3469">
        <v>2012</v>
      </c>
      <c r="H36" s="3100">
        <v>4</v>
      </c>
      <c r="I36" s="3100">
        <v>0.91</v>
      </c>
      <c r="J36" s="3100">
        <v>0.68</v>
      </c>
      <c r="K36" s="3100">
        <v>0.98</v>
      </c>
      <c r="L36" s="3101">
        <v>0.9</v>
      </c>
      <c r="N36" s="3079">
        <f t="shared" si="133"/>
        <v>9.1000000000000004E-3</v>
      </c>
      <c r="O36" s="3065">
        <f t="shared" si="133"/>
        <v>6.8000000000000005E-3</v>
      </c>
      <c r="P36" s="3065">
        <f t="shared" si="133"/>
        <v>9.7999999999999997E-3</v>
      </c>
      <c r="Q36" s="3065">
        <f t="shared" si="133"/>
        <v>9.0000000000000011E-3</v>
      </c>
      <c r="R36" s="3080"/>
      <c r="S36" s="3089"/>
      <c r="T36" s="3090"/>
      <c r="U36" s="3090"/>
      <c r="V36" s="3090"/>
      <c r="X36" s="3090"/>
      <c r="Y36" s="3090"/>
      <c r="Z36" s="3090"/>
    </row>
    <row r="37" spans="1:26">
      <c r="A37" s="3076" t="s">
        <v>2578</v>
      </c>
      <c r="B37" s="3077">
        <f>B36/(1+N36)</f>
        <v>275.49301357645425</v>
      </c>
      <c r="C37" s="3077">
        <f>C36/(1+O36)</f>
        <v>232.41954707985698</v>
      </c>
      <c r="D37" s="3077">
        <f t="shared" si="131"/>
        <v>232.41954707985698</v>
      </c>
      <c r="E37" s="3077">
        <f t="shared" ref="E37:F39" si="142">E36/(1+P36)</f>
        <v>375.32184591008121</v>
      </c>
      <c r="F37" s="3077">
        <f t="shared" si="142"/>
        <v>218.03766105054513</v>
      </c>
      <c r="G37" s="3470"/>
      <c r="H37" s="3103">
        <v>3</v>
      </c>
      <c r="I37" s="3103">
        <v>0.09</v>
      </c>
      <c r="J37" s="3103">
        <v>0.28999999999999998</v>
      </c>
      <c r="K37" s="3103">
        <v>-0.01</v>
      </c>
      <c r="L37" s="3104">
        <v>0.57999999999999996</v>
      </c>
      <c r="N37" s="3079">
        <f t="shared" si="133"/>
        <v>8.9999999999999998E-4</v>
      </c>
      <c r="O37" s="3065">
        <f t="shared" si="133"/>
        <v>2.8999999999999998E-3</v>
      </c>
      <c r="P37" s="3065">
        <f t="shared" si="133"/>
        <v>-1E-4</v>
      </c>
      <c r="Q37" s="3065">
        <f t="shared" si="133"/>
        <v>5.7999999999999996E-3</v>
      </c>
      <c r="R37" s="3080"/>
      <c r="S37" s="3079"/>
      <c r="T37" s="3065"/>
      <c r="U37" s="3065"/>
      <c r="V37" s="3065"/>
    </row>
    <row r="38" spans="1:26">
      <c r="A38" s="3076" t="s">
        <v>2579</v>
      </c>
      <c r="B38" s="3077">
        <f>B37/(1+N37)</f>
        <v>275.24529281292263</v>
      </c>
      <c r="C38" s="3077">
        <f>C37/(1+O37)</f>
        <v>231.74747938962707</v>
      </c>
      <c r="D38" s="3077">
        <f t="shared" si="131"/>
        <v>231.74747938962707</v>
      </c>
      <c r="E38" s="3077">
        <f t="shared" si="142"/>
        <v>375.35938184826603</v>
      </c>
      <c r="F38" s="3077">
        <f t="shared" si="142"/>
        <v>216.78033510692495</v>
      </c>
      <c r="G38" s="3470"/>
      <c r="H38" s="3091">
        <v>2</v>
      </c>
      <c r="I38" s="3091">
        <v>0.02</v>
      </c>
      <c r="J38" s="3091">
        <v>0.12</v>
      </c>
      <c r="K38" s="3091">
        <v>-0.08</v>
      </c>
      <c r="L38" s="3092">
        <v>1.24</v>
      </c>
      <c r="N38" s="3079">
        <f t="shared" si="133"/>
        <v>2.0000000000000001E-4</v>
      </c>
      <c r="O38" s="3065">
        <f t="shared" si="133"/>
        <v>1.1999999999999999E-3</v>
      </c>
      <c r="P38" s="3065">
        <f t="shared" si="133"/>
        <v>-8.0000000000000004E-4</v>
      </c>
      <c r="Q38" s="3065">
        <f t="shared" si="133"/>
        <v>1.24E-2</v>
      </c>
      <c r="R38" s="3080"/>
      <c r="S38" s="3079"/>
      <c r="T38" s="3065"/>
      <c r="U38" s="3065"/>
      <c r="V38" s="3065"/>
    </row>
    <row r="39" spans="1:26" ht="13.5" thickBot="1">
      <c r="A39" s="3076" t="s">
        <v>2580</v>
      </c>
      <c r="B39" s="3077">
        <f>B38/(1+N38)</f>
        <v>275.19025476197027</v>
      </c>
      <c r="C39" s="3128">
        <v>232</v>
      </c>
      <c r="D39" s="3128">
        <f t="shared" si="131"/>
        <v>232</v>
      </c>
      <c r="E39" s="3077">
        <f t="shared" si="142"/>
        <v>375.65990977608692</v>
      </c>
      <c r="F39" s="3077">
        <f t="shared" si="142"/>
        <v>214.12518283971252</v>
      </c>
      <c r="G39" s="3471"/>
      <c r="H39" s="3078">
        <v>1</v>
      </c>
      <c r="I39" s="3078">
        <v>0.02</v>
      </c>
      <c r="J39" s="3078">
        <v>0.13</v>
      </c>
      <c r="K39" s="3078">
        <v>-0.04</v>
      </c>
      <c r="L39" s="3084">
        <v>0.46</v>
      </c>
      <c r="N39" s="3079">
        <f t="shared" si="133"/>
        <v>2.0000000000000001E-4</v>
      </c>
      <c r="O39" s="3065">
        <f t="shared" si="133"/>
        <v>1.2999999999999999E-3</v>
      </c>
      <c r="P39" s="3065">
        <f t="shared" si="133"/>
        <v>-4.0000000000000002E-4</v>
      </c>
      <c r="Q39" s="3065">
        <f t="shared" si="133"/>
        <v>4.5999999999999999E-3</v>
      </c>
      <c r="R39" s="3080"/>
      <c r="S39" s="3081">
        <f>B39/B40-1</f>
        <v>6.9183549807361189E-4</v>
      </c>
      <c r="T39" s="3082">
        <f>C39/C40-1</f>
        <v>0</v>
      </c>
      <c r="U39" s="3082">
        <f>E39/E40-1</f>
        <v>-9.0449527636460303E-4</v>
      </c>
      <c r="V39" s="3082">
        <f>F39/F40-1</f>
        <v>5.2825485432512753E-3</v>
      </c>
      <c r="X39" s="3065"/>
      <c r="Y39" s="3065"/>
      <c r="Z39" s="3065"/>
    </row>
    <row r="40" spans="1:26" ht="13.5" thickBot="1">
      <c r="A40" s="3076" t="s">
        <v>2581</v>
      </c>
      <c r="B40" s="3098">
        <v>275</v>
      </c>
      <c r="C40" s="3098">
        <v>232</v>
      </c>
      <c r="D40" s="3098">
        <f t="shared" si="131"/>
        <v>232</v>
      </c>
      <c r="E40" s="3098">
        <v>376</v>
      </c>
      <c r="F40" s="3099">
        <v>213</v>
      </c>
      <c r="G40" s="3469">
        <v>2011</v>
      </c>
      <c r="H40" s="3100">
        <v>4</v>
      </c>
      <c r="I40" s="3100">
        <v>-0.2</v>
      </c>
      <c r="J40" s="3100">
        <v>0.04</v>
      </c>
      <c r="K40" s="3100">
        <v>-0.34</v>
      </c>
      <c r="L40" s="3101">
        <v>0.46</v>
      </c>
      <c r="N40" s="3095">
        <f t="shared" si="133"/>
        <v>-2E-3</v>
      </c>
      <c r="O40" s="3096">
        <f t="shared" si="133"/>
        <v>4.0000000000000002E-4</v>
      </c>
      <c r="P40" s="3096">
        <f t="shared" si="133"/>
        <v>-3.4000000000000002E-3</v>
      </c>
      <c r="Q40" s="3096">
        <f t="shared" si="133"/>
        <v>4.5999999999999999E-3</v>
      </c>
      <c r="R40" s="3080"/>
      <c r="S40" s="3089"/>
      <c r="T40" s="3090"/>
      <c r="U40" s="3090"/>
      <c r="V40" s="3090"/>
      <c r="X40" s="3090"/>
      <c r="Y40" s="3090"/>
      <c r="Z40" s="3090"/>
    </row>
    <row r="41" spans="1:26">
      <c r="A41" s="3076" t="s">
        <v>2582</v>
      </c>
      <c r="B41" s="3077">
        <f t="shared" ref="B41:C43" si="143">B40/(1+N40)</f>
        <v>275.55110220440883</v>
      </c>
      <c r="C41" s="3077">
        <f t="shared" si="143"/>
        <v>231.90723710515795</v>
      </c>
      <c r="D41" s="3077">
        <f t="shared" si="131"/>
        <v>231.90723710515795</v>
      </c>
      <c r="E41" s="3077">
        <f t="shared" ref="E41:F43" si="144">E40/(1+P40)</f>
        <v>377.28276138872161</v>
      </c>
      <c r="F41" s="3077">
        <f t="shared" si="144"/>
        <v>212.02468644236512</v>
      </c>
      <c r="G41" s="3470">
        <v>2011</v>
      </c>
      <c r="H41" s="3103">
        <v>3</v>
      </c>
      <c r="I41" s="3103">
        <v>0.13</v>
      </c>
      <c r="J41" s="3103">
        <v>0.75</v>
      </c>
      <c r="K41" s="3103">
        <v>-0.08</v>
      </c>
      <c r="L41" s="3104">
        <v>0.53</v>
      </c>
      <c r="N41" s="3079">
        <f t="shared" si="133"/>
        <v>1.2999999999999999E-3</v>
      </c>
      <c r="O41" s="3097">
        <f t="shared" si="133"/>
        <v>7.4999999999999997E-3</v>
      </c>
      <c r="P41" s="3097">
        <f t="shared" si="133"/>
        <v>-8.0000000000000004E-4</v>
      </c>
      <c r="Q41" s="3097">
        <f t="shared" si="133"/>
        <v>5.3E-3</v>
      </c>
      <c r="R41" s="3080"/>
      <c r="S41" s="3079"/>
      <c r="T41" s="3065"/>
      <c r="U41" s="3065"/>
      <c r="V41" s="3065"/>
    </row>
    <row r="42" spans="1:26">
      <c r="A42" s="3076" t="s">
        <v>2583</v>
      </c>
      <c r="B42" s="3077">
        <f t="shared" si="143"/>
        <v>275.19335084830601</v>
      </c>
      <c r="C42" s="3077">
        <f t="shared" si="143"/>
        <v>230.18088050139744</v>
      </c>
      <c r="D42" s="3077">
        <f t="shared" si="131"/>
        <v>230.18088050139744</v>
      </c>
      <c r="E42" s="3077">
        <f t="shared" si="144"/>
        <v>377.58482925212331</v>
      </c>
      <c r="F42" s="3077">
        <f t="shared" si="144"/>
        <v>210.90687997847917</v>
      </c>
      <c r="G42" s="3470">
        <v>2011</v>
      </c>
      <c r="H42" s="3091">
        <v>2</v>
      </c>
      <c r="I42" s="3091">
        <v>-0.4</v>
      </c>
      <c r="J42" s="3091">
        <v>0.17</v>
      </c>
      <c r="K42" s="3091">
        <v>-0.57999999999999996</v>
      </c>
      <c r="L42" s="3092">
        <v>-0.2</v>
      </c>
      <c r="N42" s="3079">
        <f t="shared" si="133"/>
        <v>-4.0000000000000001E-3</v>
      </c>
      <c r="O42" s="3097">
        <f t="shared" si="133"/>
        <v>1.7000000000000001E-3</v>
      </c>
      <c r="P42" s="3097">
        <f t="shared" si="133"/>
        <v>-5.7999999999999996E-3</v>
      </c>
      <c r="Q42" s="3097">
        <f t="shared" si="133"/>
        <v>-2E-3</v>
      </c>
      <c r="R42" s="3080"/>
      <c r="S42" s="3079"/>
      <c r="T42" s="3065"/>
      <c r="U42" s="3065"/>
      <c r="V42" s="3065"/>
    </row>
    <row r="43" spans="1:26" ht="13.5" thickBot="1">
      <c r="A43" s="3076" t="s">
        <v>2584</v>
      </c>
      <c r="B43" s="3077">
        <f t="shared" si="143"/>
        <v>276.29854502841971</v>
      </c>
      <c r="C43" s="3077">
        <f t="shared" si="143"/>
        <v>229.79023709833027</v>
      </c>
      <c r="D43" s="3077">
        <f t="shared" si="131"/>
        <v>229.79023709833027</v>
      </c>
      <c r="E43" s="3077">
        <f t="shared" si="144"/>
        <v>379.78759731655936</v>
      </c>
      <c r="F43" s="3077">
        <f t="shared" si="144"/>
        <v>211.32953905659235</v>
      </c>
      <c r="G43" s="3471">
        <v>2011</v>
      </c>
      <c r="H43" s="3078">
        <v>1</v>
      </c>
      <c r="I43" s="3078">
        <v>2.65</v>
      </c>
      <c r="J43" s="3078">
        <v>3.76</v>
      </c>
      <c r="K43" s="3078">
        <v>1.89</v>
      </c>
      <c r="L43" s="3084">
        <v>7.95</v>
      </c>
      <c r="N43" s="3081">
        <f t="shared" si="133"/>
        <v>2.6499999999999999E-2</v>
      </c>
      <c r="O43" s="3082">
        <f t="shared" si="133"/>
        <v>3.7599999999999995E-2</v>
      </c>
      <c r="P43" s="3082">
        <f t="shared" si="133"/>
        <v>1.89E-2</v>
      </c>
      <c r="Q43" s="3082">
        <f t="shared" si="133"/>
        <v>7.9500000000000001E-2</v>
      </c>
      <c r="R43" s="3080"/>
      <c r="S43" s="3081">
        <f>B43/B44-1</f>
        <v>2.713213765211786E-2</v>
      </c>
      <c r="T43" s="3082">
        <f>C43/C44-1</f>
        <v>3.9774828499231862E-2</v>
      </c>
      <c r="U43" s="3082">
        <f>E43/E44-1</f>
        <v>1.8197311840641772E-2</v>
      </c>
      <c r="V43" s="3082">
        <f>F43/F44-1</f>
        <v>7.8211933962205826E-2</v>
      </c>
      <c r="X43" s="3065"/>
      <c r="Y43" s="3065"/>
      <c r="Z43" s="3065"/>
    </row>
    <row r="44" spans="1:26" ht="13.5" thickBot="1">
      <c r="A44" s="3076" t="s">
        <v>2585</v>
      </c>
      <c r="B44" s="3098">
        <v>269</v>
      </c>
      <c r="C44" s="3098">
        <v>221</v>
      </c>
      <c r="D44" s="3098">
        <f t="shared" si="131"/>
        <v>221</v>
      </c>
      <c r="E44" s="3098">
        <v>373</v>
      </c>
      <c r="F44" s="3099">
        <v>196</v>
      </c>
      <c r="G44" s="3469">
        <v>2010</v>
      </c>
      <c r="H44" s="3100">
        <v>4</v>
      </c>
      <c r="I44" s="3100">
        <v>5.72</v>
      </c>
      <c r="J44" s="3100">
        <v>6.57</v>
      </c>
      <c r="K44" s="3100">
        <v>5.72</v>
      </c>
      <c r="L44" s="3101">
        <v>2.72</v>
      </c>
      <c r="N44" s="3079">
        <f t="shared" si="133"/>
        <v>5.7200000000000001E-2</v>
      </c>
      <c r="O44" s="3065">
        <f t="shared" si="133"/>
        <v>6.5700000000000008E-2</v>
      </c>
      <c r="P44" s="3065">
        <f t="shared" si="133"/>
        <v>5.7200000000000001E-2</v>
      </c>
      <c r="Q44" s="3065">
        <f t="shared" si="133"/>
        <v>2.7200000000000002E-2</v>
      </c>
      <c r="R44" s="3080"/>
      <c r="S44" s="3089"/>
      <c r="T44" s="3090"/>
      <c r="U44" s="3090"/>
      <c r="V44" s="3090"/>
      <c r="X44" s="3090"/>
      <c r="Y44" s="3090"/>
      <c r="Z44" s="3090"/>
    </row>
    <row r="45" spans="1:26">
      <c r="A45" s="3076" t="s">
        <v>2586</v>
      </c>
      <c r="B45" s="3077">
        <f t="shared" ref="B45:C47" si="145">B44/(1+N44)</f>
        <v>254.44570563753314</v>
      </c>
      <c r="C45" s="3077">
        <f t="shared" si="145"/>
        <v>207.37543398705074</v>
      </c>
      <c r="D45" s="3077">
        <f t="shared" si="131"/>
        <v>207.37543398705074</v>
      </c>
      <c r="E45" s="3077">
        <f t="shared" ref="E45:F47" si="146">E44/(1+P44)</f>
        <v>352.81876655315932</v>
      </c>
      <c r="F45" s="3077">
        <f t="shared" si="146"/>
        <v>190.809968847352</v>
      </c>
      <c r="G45" s="3470">
        <v>2010</v>
      </c>
      <c r="H45" s="3103">
        <v>3</v>
      </c>
      <c r="I45" s="3103">
        <v>4.7300000000000004</v>
      </c>
      <c r="J45" s="3103">
        <v>3.9</v>
      </c>
      <c r="K45" s="3103">
        <v>5.03</v>
      </c>
      <c r="L45" s="3104">
        <v>4.21</v>
      </c>
      <c r="N45" s="3079">
        <f t="shared" si="133"/>
        <v>4.7300000000000002E-2</v>
      </c>
      <c r="O45" s="3065">
        <f t="shared" si="133"/>
        <v>3.9E-2</v>
      </c>
      <c r="P45" s="3065">
        <f t="shared" si="133"/>
        <v>5.0300000000000004E-2</v>
      </c>
      <c r="Q45" s="3065">
        <f t="shared" si="133"/>
        <v>4.2099999999999999E-2</v>
      </c>
      <c r="R45" s="3080"/>
      <c r="S45" s="3079"/>
      <c r="T45" s="3065"/>
      <c r="U45" s="3065"/>
      <c r="V45" s="3065"/>
    </row>
    <row r="46" spans="1:26">
      <c r="A46" s="3076" t="s">
        <v>2587</v>
      </c>
      <c r="B46" s="3077">
        <f t="shared" si="145"/>
        <v>242.95398227588385</v>
      </c>
      <c r="C46" s="3077">
        <f t="shared" si="145"/>
        <v>199.59137053614126</v>
      </c>
      <c r="D46" s="3077">
        <f t="shared" si="131"/>
        <v>199.59137053614126</v>
      </c>
      <c r="E46" s="3077">
        <f t="shared" si="146"/>
        <v>335.92189522342125</v>
      </c>
      <c r="F46" s="3077">
        <f t="shared" si="146"/>
        <v>183.10139991109489</v>
      </c>
      <c r="G46" s="3470">
        <v>2010</v>
      </c>
      <c r="H46" s="3091">
        <v>2</v>
      </c>
      <c r="I46" s="3091">
        <v>4.6900000000000004</v>
      </c>
      <c r="J46" s="3091">
        <v>3.55</v>
      </c>
      <c r="K46" s="3091">
        <v>5.07</v>
      </c>
      <c r="L46" s="3092">
        <v>4.2300000000000004</v>
      </c>
      <c r="N46" s="3079">
        <f t="shared" si="133"/>
        <v>4.6900000000000004E-2</v>
      </c>
      <c r="O46" s="3065">
        <f t="shared" si="133"/>
        <v>3.5499999999999997E-2</v>
      </c>
      <c r="P46" s="3065">
        <f t="shared" si="133"/>
        <v>5.0700000000000002E-2</v>
      </c>
      <c r="Q46" s="3065">
        <f t="shared" si="133"/>
        <v>4.2300000000000004E-2</v>
      </c>
      <c r="R46" s="3080"/>
      <c r="S46" s="3079"/>
      <c r="T46" s="3065"/>
      <c r="U46" s="3065"/>
      <c r="V46" s="3065"/>
    </row>
    <row r="47" spans="1:26" ht="13.5" thickBot="1">
      <c r="A47" s="3076" t="s">
        <v>2588</v>
      </c>
      <c r="B47" s="3077">
        <f t="shared" si="145"/>
        <v>232.06990378821649</v>
      </c>
      <c r="C47" s="3077">
        <f t="shared" si="145"/>
        <v>192.74878854286936</v>
      </c>
      <c r="D47" s="3077">
        <f t="shared" si="131"/>
        <v>192.74878854286936</v>
      </c>
      <c r="E47" s="3077">
        <f t="shared" si="146"/>
        <v>319.71247284992984</v>
      </c>
      <c r="F47" s="3077">
        <f t="shared" si="146"/>
        <v>175.67053622862409</v>
      </c>
      <c r="G47" s="3471">
        <v>2010</v>
      </c>
      <c r="H47" s="3078">
        <v>1</v>
      </c>
      <c r="I47" s="3078">
        <v>5.4</v>
      </c>
      <c r="J47" s="3078">
        <v>3.2</v>
      </c>
      <c r="K47" s="3078">
        <v>6.16</v>
      </c>
      <c r="L47" s="3084">
        <v>4.51</v>
      </c>
      <c r="N47" s="3079">
        <f t="shared" si="133"/>
        <v>5.4000000000000006E-2</v>
      </c>
      <c r="O47" s="3065">
        <f t="shared" si="133"/>
        <v>3.2000000000000001E-2</v>
      </c>
      <c r="P47" s="3065">
        <f t="shared" si="133"/>
        <v>6.1600000000000002E-2</v>
      </c>
      <c r="Q47" s="3065">
        <f t="shared" si="133"/>
        <v>4.5100000000000001E-2</v>
      </c>
      <c r="R47" s="3080"/>
      <c r="S47" s="3081">
        <f>B47/B48-1</f>
        <v>5.4863199037347599E-2</v>
      </c>
      <c r="T47" s="3082">
        <f>C47/C48-1</f>
        <v>3.0742184721226584E-2</v>
      </c>
      <c r="U47" s="3082">
        <f>E47/E48-1</f>
        <v>6.2167683886810154E-2</v>
      </c>
      <c r="V47" s="3082">
        <f>F47/F48-1</f>
        <v>4.5657953741810031E-2</v>
      </c>
      <c r="X47" s="3065"/>
      <c r="Y47" s="3065"/>
      <c r="Z47" s="3065"/>
    </row>
    <row r="48" spans="1:26" ht="13.5" thickBot="1">
      <c r="A48" s="3076" t="s">
        <v>2589</v>
      </c>
      <c r="B48" s="3098">
        <v>220</v>
      </c>
      <c r="C48" s="3098">
        <v>187</v>
      </c>
      <c r="D48" s="3098">
        <f t="shared" si="131"/>
        <v>187</v>
      </c>
      <c r="E48" s="3098">
        <v>301</v>
      </c>
      <c r="F48" s="3099">
        <v>168</v>
      </c>
      <c r="G48" s="3469">
        <v>2009</v>
      </c>
      <c r="H48" s="3100">
        <v>4</v>
      </c>
      <c r="I48" s="3100">
        <v>2.2999999999999998</v>
      </c>
      <c r="J48" s="3100">
        <v>1.04</v>
      </c>
      <c r="K48" s="3100">
        <v>2.84</v>
      </c>
      <c r="L48" s="3101">
        <v>0.67</v>
      </c>
      <c r="N48" s="3095">
        <f t="shared" si="133"/>
        <v>2.3E-2</v>
      </c>
      <c r="O48" s="3096">
        <f t="shared" si="133"/>
        <v>1.04E-2</v>
      </c>
      <c r="P48" s="3096">
        <f t="shared" si="133"/>
        <v>2.8399999999999998E-2</v>
      </c>
      <c r="Q48" s="3096">
        <f t="shared" si="133"/>
        <v>6.7000000000000002E-3</v>
      </c>
      <c r="R48" s="3080"/>
      <c r="S48" s="3089"/>
      <c r="T48" s="3090"/>
      <c r="U48" s="3090"/>
      <c r="V48" s="3090"/>
      <c r="X48" s="3090"/>
      <c r="Y48" s="3090"/>
      <c r="Z48" s="3090"/>
    </row>
    <row r="49" spans="1:26">
      <c r="A49" s="3076" t="s">
        <v>2590</v>
      </c>
      <c r="B49" s="3077">
        <f t="shared" ref="B49:C51" si="147">B48/(1+N48)</f>
        <v>215.05376344086022</v>
      </c>
      <c r="C49" s="3077">
        <f t="shared" si="147"/>
        <v>185.0752177355503</v>
      </c>
      <c r="D49" s="3077">
        <f t="shared" si="131"/>
        <v>185.0752177355503</v>
      </c>
      <c r="E49" s="3077">
        <f t="shared" ref="E49:F51" si="148">E48/(1+P48)</f>
        <v>292.68767016725008</v>
      </c>
      <c r="F49" s="3077">
        <f t="shared" si="148"/>
        <v>166.88189132810174</v>
      </c>
      <c r="G49" s="3470">
        <v>2009</v>
      </c>
      <c r="H49" s="3103">
        <v>3</v>
      </c>
      <c r="I49" s="3103">
        <v>2.1</v>
      </c>
      <c r="J49" s="3103">
        <v>1.86</v>
      </c>
      <c r="K49" s="3103">
        <v>2.29</v>
      </c>
      <c r="L49" s="3104">
        <v>0.85</v>
      </c>
      <c r="N49" s="3079">
        <f t="shared" si="133"/>
        <v>2.1000000000000001E-2</v>
      </c>
      <c r="O49" s="3097">
        <f t="shared" si="133"/>
        <v>1.8600000000000002E-2</v>
      </c>
      <c r="P49" s="3097">
        <f t="shared" si="133"/>
        <v>2.29E-2</v>
      </c>
      <c r="Q49" s="3097">
        <f t="shared" si="133"/>
        <v>8.5000000000000006E-3</v>
      </c>
      <c r="R49" s="3080"/>
      <c r="S49" s="3079"/>
      <c r="T49" s="3065"/>
      <c r="U49" s="3065"/>
      <c r="V49" s="3065"/>
    </row>
    <row r="50" spans="1:26">
      <c r="A50" s="3076" t="s">
        <v>2591</v>
      </c>
      <c r="B50" s="3077">
        <f t="shared" si="147"/>
        <v>210.630522469011</v>
      </c>
      <c r="C50" s="3077">
        <f t="shared" si="147"/>
        <v>181.69567812247232</v>
      </c>
      <c r="D50" s="3077">
        <f t="shared" si="131"/>
        <v>181.69567812247232</v>
      </c>
      <c r="E50" s="3077">
        <f t="shared" si="148"/>
        <v>286.13517466736738</v>
      </c>
      <c r="F50" s="3077">
        <f t="shared" si="148"/>
        <v>165.47535084591149</v>
      </c>
      <c r="G50" s="3470">
        <v>2009</v>
      </c>
      <c r="H50" s="3091">
        <v>2</v>
      </c>
      <c r="I50" s="3091">
        <v>0.86</v>
      </c>
      <c r="J50" s="3091">
        <v>-1.1299999999999999</v>
      </c>
      <c r="K50" s="3091">
        <v>1.79</v>
      </c>
      <c r="L50" s="3092">
        <v>-2.0699999999999998</v>
      </c>
      <c r="N50" s="3079">
        <f t="shared" si="133"/>
        <v>8.6E-3</v>
      </c>
      <c r="O50" s="3097">
        <f t="shared" si="133"/>
        <v>-1.1299999999999999E-2</v>
      </c>
      <c r="P50" s="3097">
        <f t="shared" si="133"/>
        <v>1.7899999999999999E-2</v>
      </c>
      <c r="Q50" s="3097">
        <f t="shared" si="133"/>
        <v>-2.07E-2</v>
      </c>
      <c r="R50" s="3080"/>
      <c r="S50" s="3079"/>
      <c r="T50" s="3065"/>
      <c r="U50" s="3065"/>
      <c r="V50" s="3065"/>
    </row>
    <row r="51" spans="1:26">
      <c r="A51" s="3076" t="s">
        <v>2592</v>
      </c>
      <c r="B51" s="3077">
        <f t="shared" si="147"/>
        <v>208.83454537875372</v>
      </c>
      <c r="C51" s="3077">
        <f t="shared" si="147"/>
        <v>183.77230517090351</v>
      </c>
      <c r="D51" s="3077">
        <f t="shared" si="131"/>
        <v>183.77230517090351</v>
      </c>
      <c r="E51" s="3077">
        <f t="shared" si="148"/>
        <v>281.10342338870947</v>
      </c>
      <c r="F51" s="3077">
        <f t="shared" si="148"/>
        <v>168.97309388942256</v>
      </c>
      <c r="G51" s="3471">
        <v>2009</v>
      </c>
      <c r="H51" s="3078">
        <v>1</v>
      </c>
      <c r="I51" s="3078">
        <v>-2.64</v>
      </c>
      <c r="J51" s="3078">
        <v>-2.5299999999999998</v>
      </c>
      <c r="K51" s="3078">
        <v>-3.02</v>
      </c>
      <c r="L51" s="3084">
        <v>1.52</v>
      </c>
      <c r="N51" s="3081">
        <f t="shared" si="133"/>
        <v>-2.64E-2</v>
      </c>
      <c r="O51" s="3082">
        <f t="shared" si="133"/>
        <v>-2.53E-2</v>
      </c>
      <c r="P51" s="3082">
        <f t="shared" si="133"/>
        <v>-3.0200000000000001E-2</v>
      </c>
      <c r="Q51" s="3082">
        <f t="shared" si="133"/>
        <v>1.52E-2</v>
      </c>
      <c r="R51" s="3080"/>
      <c r="S51" s="3081">
        <f>B51/B52-1</f>
        <v>-2.4137638417038754E-2</v>
      </c>
      <c r="T51" s="3082">
        <f>C51/C52-1</f>
        <v>-2.248773845264096E-2</v>
      </c>
      <c r="U51" s="3082">
        <f>E51/E52-1</f>
        <v>-2.7323794502735366E-2</v>
      </c>
      <c r="V51" s="3082">
        <f>F51/F52-1</f>
        <v>1.7910204153148035E-2</v>
      </c>
      <c r="X51" s="3065"/>
      <c r="Y51" s="3065"/>
      <c r="Z51" s="3065"/>
    </row>
    <row r="52" spans="1:26" ht="13.5" thickBot="1">
      <c r="A52" s="3076" t="s">
        <v>2593</v>
      </c>
      <c r="B52" s="3126">
        <v>214</v>
      </c>
      <c r="C52" s="3126">
        <v>188</v>
      </c>
      <c r="D52" s="3126">
        <f t="shared" si="131"/>
        <v>188</v>
      </c>
      <c r="E52" s="3126">
        <v>289</v>
      </c>
      <c r="F52" s="3127">
        <v>166</v>
      </c>
      <c r="G52" s="3469">
        <v>2008</v>
      </c>
      <c r="H52" s="3100">
        <v>4</v>
      </c>
      <c r="I52" s="3100">
        <v>1.73</v>
      </c>
      <c r="J52" s="3100">
        <v>0.03</v>
      </c>
      <c r="K52" s="3100">
        <v>2.59</v>
      </c>
      <c r="L52" s="3101">
        <v>-1.66</v>
      </c>
      <c r="N52" s="3079">
        <f t="shared" si="133"/>
        <v>1.7299999999999999E-2</v>
      </c>
      <c r="O52" s="3065">
        <f t="shared" si="133"/>
        <v>2.9999999999999997E-4</v>
      </c>
      <c r="P52" s="3065">
        <f t="shared" si="133"/>
        <v>2.5899999999999999E-2</v>
      </c>
      <c r="Q52" s="3065">
        <f t="shared" si="133"/>
        <v>-1.66E-2</v>
      </c>
      <c r="R52" s="3080"/>
      <c r="S52" s="3089"/>
      <c r="T52" s="3090"/>
      <c r="U52" s="3090"/>
      <c r="V52" s="3090"/>
      <c r="X52" s="3090"/>
      <c r="Y52" s="3090"/>
      <c r="Z52" s="3090"/>
    </row>
    <row r="53" spans="1:26">
      <c r="A53" s="3076" t="s">
        <v>2594</v>
      </c>
      <c r="B53" s="3077">
        <f t="shared" ref="B53:C55" si="149">B52/(1+N52)</f>
        <v>210.36075887152265</v>
      </c>
      <c r="C53" s="3077">
        <f t="shared" si="149"/>
        <v>187.94361691492554</v>
      </c>
      <c r="D53" s="3077">
        <f t="shared" si="131"/>
        <v>187.94361691492554</v>
      </c>
      <c r="E53" s="3077">
        <f t="shared" ref="E53:F55" si="150">E52/(1+P52)</f>
        <v>281.70386977288234</v>
      </c>
      <c r="F53" s="3077">
        <f t="shared" si="150"/>
        <v>168.80211511083994</v>
      </c>
      <c r="G53" s="3470">
        <v>2008</v>
      </c>
      <c r="H53" s="3103">
        <v>3</v>
      </c>
      <c r="I53" s="3103">
        <v>1.96</v>
      </c>
      <c r="J53" s="3103">
        <v>2.36</v>
      </c>
      <c r="K53" s="3103">
        <v>1.82</v>
      </c>
      <c r="L53" s="3104">
        <v>2.2200000000000002</v>
      </c>
      <c r="N53" s="3079">
        <f t="shared" si="133"/>
        <v>1.9599999999999999E-2</v>
      </c>
      <c r="O53" s="3065">
        <f t="shared" si="133"/>
        <v>2.3599999999999999E-2</v>
      </c>
      <c r="P53" s="3065">
        <f t="shared" si="133"/>
        <v>1.8200000000000001E-2</v>
      </c>
      <c r="Q53" s="3065">
        <f t="shared" si="133"/>
        <v>2.2200000000000001E-2</v>
      </c>
      <c r="R53" s="3080"/>
      <c r="S53" s="3079"/>
      <c r="T53" s="3065"/>
      <c r="U53" s="3065"/>
      <c r="V53" s="3065"/>
    </row>
    <row r="54" spans="1:26">
      <c r="A54" s="3076" t="s">
        <v>2595</v>
      </c>
      <c r="B54" s="3077">
        <f t="shared" si="149"/>
        <v>206.31694671589116</v>
      </c>
      <c r="C54" s="3077">
        <f t="shared" si="149"/>
        <v>183.61041121036101</v>
      </c>
      <c r="D54" s="3077">
        <f t="shared" si="131"/>
        <v>183.61041121036101</v>
      </c>
      <c r="E54" s="3077">
        <f t="shared" si="150"/>
        <v>276.66850301795557</v>
      </c>
      <c r="F54" s="3077">
        <f t="shared" si="150"/>
        <v>165.1360938278614</v>
      </c>
      <c r="G54" s="3470">
        <v>2008</v>
      </c>
      <c r="H54" s="3091">
        <v>2</v>
      </c>
      <c r="I54" s="3091">
        <v>4.93</v>
      </c>
      <c r="J54" s="3091">
        <v>7.38</v>
      </c>
      <c r="K54" s="3091">
        <v>3.98</v>
      </c>
      <c r="L54" s="3092">
        <v>6.86</v>
      </c>
      <c r="N54" s="3079">
        <f t="shared" si="133"/>
        <v>4.9299999999999997E-2</v>
      </c>
      <c r="O54" s="3065">
        <f t="shared" si="133"/>
        <v>7.3800000000000004E-2</v>
      </c>
      <c r="P54" s="3065">
        <f t="shared" si="133"/>
        <v>3.9800000000000002E-2</v>
      </c>
      <c r="Q54" s="3065">
        <f t="shared" si="133"/>
        <v>6.8600000000000008E-2</v>
      </c>
      <c r="R54" s="3080"/>
      <c r="S54" s="3079"/>
      <c r="T54" s="3065"/>
      <c r="U54" s="3065"/>
      <c r="V54" s="3065"/>
    </row>
    <row r="55" spans="1:26" s="3132" customFormat="1" ht="13.5" thickBot="1">
      <c r="A55" s="3076" t="s">
        <v>2596</v>
      </c>
      <c r="B55" s="3129">
        <f t="shared" si="149"/>
        <v>196.62341248059772</v>
      </c>
      <c r="C55" s="3129">
        <f t="shared" si="149"/>
        <v>170.99125648199012</v>
      </c>
      <c r="D55" s="3129">
        <f t="shared" si="131"/>
        <v>170.99125648199012</v>
      </c>
      <c r="E55" s="3129">
        <f t="shared" si="150"/>
        <v>266.07857570490052</v>
      </c>
      <c r="F55" s="3129">
        <f t="shared" si="150"/>
        <v>154.53499328828505</v>
      </c>
      <c r="G55" s="3471">
        <v>2008</v>
      </c>
      <c r="H55" s="3130">
        <v>1</v>
      </c>
      <c r="I55" s="3130">
        <v>4.1399999999999997</v>
      </c>
      <c r="J55" s="3130">
        <v>3.45</v>
      </c>
      <c r="K55" s="3130">
        <v>4.95</v>
      </c>
      <c r="L55" s="3131">
        <v>4.82</v>
      </c>
      <c r="N55" s="3133">
        <f t="shared" si="133"/>
        <v>4.1399999999999999E-2</v>
      </c>
      <c r="O55" s="3134">
        <f t="shared" si="133"/>
        <v>3.4500000000000003E-2</v>
      </c>
      <c r="P55" s="3134">
        <f t="shared" si="133"/>
        <v>4.9500000000000002E-2</v>
      </c>
      <c r="Q55" s="3134">
        <f t="shared" si="133"/>
        <v>4.82E-2</v>
      </c>
      <c r="R55" s="3135"/>
      <c r="S55" s="3133">
        <f>B55/B56-1</f>
        <v>4.5869215322328349E-2</v>
      </c>
      <c r="T55" s="3134">
        <f>C55/C56-1</f>
        <v>3.6310645345394743E-2</v>
      </c>
      <c r="U55" s="3134">
        <f>E55/E56-1</f>
        <v>4.7553447657088688E-2</v>
      </c>
      <c r="V55" s="3134">
        <f>F55/F56-1</f>
        <v>4.4155360055980086E-2</v>
      </c>
      <c r="X55" s="3134"/>
      <c r="Y55" s="3134"/>
      <c r="Z55" s="3134"/>
    </row>
    <row r="56" spans="1:26" ht="13.5" thickBot="1">
      <c r="A56" s="3076" t="s">
        <v>2597</v>
      </c>
      <c r="B56" s="3098">
        <v>188</v>
      </c>
      <c r="C56" s="3098">
        <v>165</v>
      </c>
      <c r="D56" s="3098">
        <f t="shared" si="131"/>
        <v>165</v>
      </c>
      <c r="E56" s="3098">
        <v>254</v>
      </c>
      <c r="F56" s="3099">
        <v>148</v>
      </c>
      <c r="G56" s="3469">
        <v>2007</v>
      </c>
      <c r="H56" s="3136">
        <v>4</v>
      </c>
      <c r="I56" s="3136">
        <v>5.51</v>
      </c>
      <c r="J56" s="3136">
        <v>4.8899999999999997</v>
      </c>
      <c r="K56" s="3136">
        <v>6.43</v>
      </c>
      <c r="L56" s="3137">
        <v>5.36</v>
      </c>
      <c r="N56" s="3138">
        <f t="shared" ref="N56:O59" si="151">B56/B57-1</f>
        <v>4.1339718365245526E-2</v>
      </c>
      <c r="O56" s="3139">
        <f t="shared" si="151"/>
        <v>4.0324492593776018E-2</v>
      </c>
      <c r="P56" s="3139">
        <f t="shared" ref="P56:Q59" si="152">E56/E57-1</f>
        <v>6.1625555347990968E-2</v>
      </c>
      <c r="Q56" s="3139">
        <f t="shared" si="152"/>
        <v>4.6757569250590603E-2</v>
      </c>
      <c r="R56" s="3080"/>
      <c r="S56" s="3089"/>
      <c r="T56" s="3090"/>
      <c r="U56" s="3090"/>
      <c r="V56" s="3090"/>
      <c r="X56" s="3090"/>
      <c r="Y56" s="3090"/>
      <c r="Z56" s="3090"/>
    </row>
    <row r="57" spans="1:26">
      <c r="A57" s="3076" t="s">
        <v>2598</v>
      </c>
      <c r="B57" s="3077">
        <f t="shared" ref="B57:C59" si="153">B58+(B$56-B$60)*I57/SUM(I$56:I$59)</f>
        <v>180.5366651097618</v>
      </c>
      <c r="C57" s="3077">
        <f t="shared" si="153"/>
        <v>158.60435967302453</v>
      </c>
      <c r="D57" s="3077">
        <f t="shared" si="131"/>
        <v>158.60435967302453</v>
      </c>
      <c r="E57" s="3077">
        <f t="shared" ref="E57:F59" si="154">E58+(E$56-E$60)*K57/SUM(K$56:K$59)</f>
        <v>239.25573260785075</v>
      </c>
      <c r="F57" s="3077">
        <f t="shared" si="154"/>
        <v>141.38899430740037</v>
      </c>
      <c r="G57" s="3470">
        <v>2007</v>
      </c>
      <c r="H57" s="3103">
        <v>3</v>
      </c>
      <c r="I57" s="3103">
        <v>8.65</v>
      </c>
      <c r="J57" s="3103">
        <v>8.06</v>
      </c>
      <c r="K57" s="3103">
        <v>9.94</v>
      </c>
      <c r="L57" s="3104">
        <v>5.8</v>
      </c>
      <c r="N57" s="3138">
        <f t="shared" si="151"/>
        <v>6.940217571740015E-2</v>
      </c>
      <c r="O57" s="3139">
        <f t="shared" si="151"/>
        <v>7.1197482471153428E-2</v>
      </c>
      <c r="P57" s="3139">
        <f t="shared" si="152"/>
        <v>0.10529679922579582</v>
      </c>
      <c r="Q57" s="3139">
        <f t="shared" si="152"/>
        <v>5.3292245059512133E-2</v>
      </c>
      <c r="R57" s="3080"/>
      <c r="S57" s="3079"/>
      <c r="T57" s="3065"/>
      <c r="U57" s="3065"/>
      <c r="V57" s="3065"/>
      <c r="X57" s="3140"/>
      <c r="Y57" s="3140"/>
      <c r="Z57" s="3140"/>
    </row>
    <row r="58" spans="1:26">
      <c r="A58" s="3076" t="s">
        <v>2599</v>
      </c>
      <c r="B58" s="3077">
        <f t="shared" si="153"/>
        <v>168.82017748715555</v>
      </c>
      <c r="C58" s="3077">
        <f t="shared" si="153"/>
        <v>148.06267029972753</v>
      </c>
      <c r="D58" s="3077">
        <f t="shared" si="131"/>
        <v>148.06267029972753</v>
      </c>
      <c r="E58" s="3077">
        <f t="shared" si="154"/>
        <v>216.46288379323747</v>
      </c>
      <c r="F58" s="3077">
        <f t="shared" si="154"/>
        <v>134.23529411764704</v>
      </c>
      <c r="G58" s="3470">
        <v>2007</v>
      </c>
      <c r="H58" s="3091">
        <v>2</v>
      </c>
      <c r="I58" s="3091">
        <v>3.67</v>
      </c>
      <c r="J58" s="3091">
        <v>2.3199999999999998</v>
      </c>
      <c r="K58" s="3091">
        <v>5.0199999999999996</v>
      </c>
      <c r="L58" s="3092">
        <v>6.71</v>
      </c>
      <c r="N58" s="3138">
        <f t="shared" si="151"/>
        <v>3.0339138143848032E-2</v>
      </c>
      <c r="O58" s="3139">
        <f t="shared" si="151"/>
        <v>2.0922341588790472E-2</v>
      </c>
      <c r="P58" s="3139">
        <f t="shared" si="152"/>
        <v>5.6164796592717003E-2</v>
      </c>
      <c r="Q58" s="3139">
        <f t="shared" si="152"/>
        <v>6.5704536723887319E-2</v>
      </c>
      <c r="R58" s="3080"/>
      <c r="S58" s="3079"/>
      <c r="T58" s="3065"/>
      <c r="U58" s="3065"/>
      <c r="V58" s="3065"/>
      <c r="X58" s="3140"/>
      <c r="Y58" s="3140"/>
      <c r="Z58" s="3140"/>
    </row>
    <row r="59" spans="1:26">
      <c r="A59" s="3076" t="s">
        <v>2600</v>
      </c>
      <c r="B59" s="3077">
        <f t="shared" si="153"/>
        <v>163.84913591779542</v>
      </c>
      <c r="C59" s="3077">
        <f t="shared" si="153"/>
        <v>145.0283378746594</v>
      </c>
      <c r="D59" s="3077">
        <f t="shared" si="131"/>
        <v>145.0283378746594</v>
      </c>
      <c r="E59" s="3077">
        <f t="shared" si="154"/>
        <v>204.95180722891567</v>
      </c>
      <c r="F59" s="3077">
        <f t="shared" si="154"/>
        <v>125.95920303605313</v>
      </c>
      <c r="G59" s="3471">
        <v>2007</v>
      </c>
      <c r="H59" s="3078">
        <v>1</v>
      </c>
      <c r="I59" s="3078">
        <v>3.58</v>
      </c>
      <c r="J59" s="3078">
        <v>3.08</v>
      </c>
      <c r="K59" s="3078">
        <v>4.34</v>
      </c>
      <c r="L59" s="3084">
        <v>3.21</v>
      </c>
      <c r="N59" s="3141">
        <f t="shared" si="151"/>
        <v>3.0497710174814063E-2</v>
      </c>
      <c r="O59" s="3142">
        <f t="shared" si="151"/>
        <v>2.8569772160704998E-2</v>
      </c>
      <c r="P59" s="3142">
        <f t="shared" si="152"/>
        <v>5.1034908866234296E-2</v>
      </c>
      <c r="Q59" s="3142">
        <f t="shared" si="152"/>
        <v>3.245248390207478E-2</v>
      </c>
      <c r="R59" s="3080"/>
      <c r="S59" s="3081">
        <f>B59/B60-1</f>
        <v>3.0497710174814063E-2</v>
      </c>
      <c r="T59" s="3082">
        <f>C59/C60-1</f>
        <v>2.8569772160704998E-2</v>
      </c>
      <c r="U59" s="3082">
        <f>E59/E60-1</f>
        <v>5.1034908866234296E-2</v>
      </c>
      <c r="V59" s="3082">
        <f>F59/F60-1</f>
        <v>3.245248390207478E-2</v>
      </c>
      <c r="X59" s="3140"/>
      <c r="Y59" s="3140"/>
      <c r="Z59" s="3140"/>
    </row>
    <row r="60" spans="1:26" ht="13.5" thickBot="1">
      <c r="A60" s="3076" t="s">
        <v>2601</v>
      </c>
      <c r="B60" s="3105">
        <v>159</v>
      </c>
      <c r="C60" s="3105">
        <v>141</v>
      </c>
      <c r="D60" s="3105">
        <f t="shared" si="131"/>
        <v>141</v>
      </c>
      <c r="E60" s="3105">
        <v>195</v>
      </c>
      <c r="F60" s="3106">
        <v>122</v>
      </c>
      <c r="G60" s="3469">
        <v>2006</v>
      </c>
      <c r="H60" s="3100">
        <v>4</v>
      </c>
      <c r="I60" s="3100">
        <v>3.79</v>
      </c>
      <c r="J60" s="3100">
        <v>2.21</v>
      </c>
      <c r="K60" s="3100">
        <v>5.65</v>
      </c>
      <c r="L60" s="3101">
        <v>5.41</v>
      </c>
      <c r="N60" s="3138">
        <f t="shared" ref="N60:O63" si="155">I60/SUM(I$60:I$63)*(B$60/B$64-1)</f>
        <v>7.245466462748526E-2</v>
      </c>
      <c r="O60" s="3139">
        <f t="shared" si="155"/>
        <v>2.3237230038062766E-2</v>
      </c>
      <c r="P60" s="3139">
        <f t="shared" ref="P60:Q63" si="156">K60/SUM(K$60:K$63)*(E$60/E$64-1)</f>
        <v>0.16146893866323722</v>
      </c>
      <c r="Q60" s="3139">
        <f t="shared" si="156"/>
        <v>5.0755230321793784E-2</v>
      </c>
      <c r="R60" s="3080"/>
      <c r="S60" s="3089"/>
      <c r="T60" s="3090"/>
      <c r="U60" s="3090"/>
      <c r="V60" s="3090"/>
      <c r="X60" s="3140"/>
      <c r="Y60" s="3140"/>
      <c r="Z60" s="3140"/>
    </row>
    <row r="61" spans="1:26">
      <c r="A61" s="3076" t="s">
        <v>2602</v>
      </c>
      <c r="B61" s="3077">
        <f t="shared" ref="B61:C63" si="157">B62+(B$60-B$64)*I61/SUM(I$60:I$63)</f>
        <v>149.00125628140702</v>
      </c>
      <c r="C61" s="3077">
        <f t="shared" si="157"/>
        <v>137.95592286501378</v>
      </c>
      <c r="D61" s="3077">
        <f t="shared" si="131"/>
        <v>137.95592286501378</v>
      </c>
      <c r="E61" s="3077">
        <f t="shared" ref="E61:F63" si="158">E62+(E$60-E$64)*K61/SUM(K$60:K$63)</f>
        <v>169.97231450719823</v>
      </c>
      <c r="F61" s="3077">
        <f t="shared" si="158"/>
        <v>116.21390374331551</v>
      </c>
      <c r="G61" s="3470">
        <v>2006</v>
      </c>
      <c r="H61" s="3103">
        <v>3</v>
      </c>
      <c r="I61" s="3103">
        <v>0.92</v>
      </c>
      <c r="J61" s="3103">
        <v>1.08</v>
      </c>
      <c r="K61" s="3103">
        <v>0.73</v>
      </c>
      <c r="L61" s="3104">
        <v>1.08</v>
      </c>
      <c r="N61" s="3138">
        <f t="shared" si="155"/>
        <v>1.7587939698492462E-2</v>
      </c>
      <c r="O61" s="3139">
        <f t="shared" si="155"/>
        <v>1.1355750425840628E-2</v>
      </c>
      <c r="P61" s="3139">
        <f t="shared" si="156"/>
        <v>2.0862358446754544E-2</v>
      </c>
      <c r="Q61" s="3139">
        <f t="shared" si="156"/>
        <v>1.0132282578103011E-2</v>
      </c>
      <c r="R61" s="3080"/>
      <c r="S61" s="3079"/>
      <c r="T61" s="3065"/>
      <c r="U61" s="3065"/>
      <c r="V61" s="3065"/>
      <c r="X61" s="3140"/>
      <c r="Y61" s="3140"/>
      <c r="Z61" s="3140"/>
    </row>
    <row r="62" spans="1:26">
      <c r="A62" s="3076" t="s">
        <v>2603</v>
      </c>
      <c r="B62" s="3077">
        <f t="shared" si="157"/>
        <v>146.57412060301507</v>
      </c>
      <c r="C62" s="3077">
        <f t="shared" si="157"/>
        <v>136.46831955922866</v>
      </c>
      <c r="D62" s="3077">
        <f t="shared" si="131"/>
        <v>136.46831955922866</v>
      </c>
      <c r="E62" s="3077">
        <f t="shared" si="158"/>
        <v>166.73864894795128</v>
      </c>
      <c r="F62" s="3077">
        <f t="shared" si="158"/>
        <v>115.05882352941177</v>
      </c>
      <c r="G62" s="3470">
        <v>2006</v>
      </c>
      <c r="H62" s="3091">
        <v>2</v>
      </c>
      <c r="I62" s="3091">
        <v>0.96</v>
      </c>
      <c r="J62" s="3091">
        <v>0.25</v>
      </c>
      <c r="K62" s="3091">
        <v>1.9</v>
      </c>
      <c r="L62" s="3092">
        <v>0.95</v>
      </c>
      <c r="N62" s="3138">
        <f t="shared" si="155"/>
        <v>1.8352632728861701E-2</v>
      </c>
      <c r="O62" s="3139">
        <f t="shared" si="155"/>
        <v>2.6286459319075526E-3</v>
      </c>
      <c r="P62" s="3139">
        <f t="shared" si="156"/>
        <v>5.4299289107991269E-2</v>
      </c>
      <c r="Q62" s="3139">
        <f t="shared" si="156"/>
        <v>8.9126559714794995E-3</v>
      </c>
      <c r="R62" s="3080"/>
      <c r="S62" s="3079"/>
      <c r="T62" s="3065"/>
      <c r="U62" s="3065"/>
      <c r="V62" s="3065"/>
      <c r="X62" s="3140"/>
      <c r="Y62" s="3140"/>
      <c r="Z62" s="3140"/>
    </row>
    <row r="63" spans="1:26">
      <c r="A63" s="3076" t="s">
        <v>2604</v>
      </c>
      <c r="B63" s="3077">
        <f t="shared" si="157"/>
        <v>144.04145728643215</v>
      </c>
      <c r="C63" s="3077">
        <f t="shared" si="157"/>
        <v>136.12396694214877</v>
      </c>
      <c r="D63" s="3077">
        <f t="shared" si="131"/>
        <v>136.12396694214877</v>
      </c>
      <c r="E63" s="3077">
        <f t="shared" si="158"/>
        <v>158.32225913621264</v>
      </c>
      <c r="F63" s="3077">
        <f t="shared" si="158"/>
        <v>114.04278074866311</v>
      </c>
      <c r="G63" s="3471">
        <v>2006</v>
      </c>
      <c r="H63" s="3078">
        <v>1</v>
      </c>
      <c r="I63" s="3078">
        <v>2.29</v>
      </c>
      <c r="J63" s="3078">
        <v>3.72</v>
      </c>
      <c r="K63" s="3078">
        <v>0.75</v>
      </c>
      <c r="L63" s="3084">
        <v>0.04</v>
      </c>
      <c r="N63" s="3141">
        <f t="shared" si="155"/>
        <v>4.3778675988638847E-2</v>
      </c>
      <c r="O63" s="3142">
        <f t="shared" si="155"/>
        <v>3.9114251466784385E-2</v>
      </c>
      <c r="P63" s="3142">
        <f t="shared" si="156"/>
        <v>2.1433929911049188E-2</v>
      </c>
      <c r="Q63" s="3142">
        <f t="shared" si="156"/>
        <v>3.7526972511492629E-4</v>
      </c>
      <c r="R63" s="3080"/>
      <c r="S63" s="3081">
        <f>B63/B64-1</f>
        <v>4.3778675988638716E-2</v>
      </c>
      <c r="T63" s="3082">
        <f>C63/C64-1</f>
        <v>3.91142514667846E-2</v>
      </c>
      <c r="U63" s="3082">
        <f>E63/E64-1</f>
        <v>2.143392991104931E-2</v>
      </c>
      <c r="V63" s="3082">
        <f>F63/F64-1</f>
        <v>3.7526972511492396E-4</v>
      </c>
      <c r="X63" s="3140"/>
      <c r="Y63" s="3140"/>
      <c r="Z63" s="3140"/>
    </row>
    <row r="64" spans="1:26" ht="13.5" thickBot="1">
      <c r="A64" s="3076" t="s">
        <v>2605</v>
      </c>
      <c r="B64" s="3105">
        <v>138</v>
      </c>
      <c r="C64" s="3105">
        <v>131</v>
      </c>
      <c r="D64" s="3105">
        <f t="shared" si="131"/>
        <v>131</v>
      </c>
      <c r="E64" s="3105">
        <v>155</v>
      </c>
      <c r="F64" s="3106">
        <v>114</v>
      </c>
      <c r="G64" s="3469">
        <v>2005</v>
      </c>
      <c r="H64" s="3100">
        <v>4</v>
      </c>
      <c r="I64" s="3100">
        <v>3.29</v>
      </c>
      <c r="J64" s="3100">
        <v>1.44</v>
      </c>
      <c r="K64" s="3100">
        <v>0.66</v>
      </c>
      <c r="L64" s="3101">
        <v>7.78</v>
      </c>
      <c r="N64" s="3138">
        <f t="shared" ref="N64:O67" si="159">I64/SUM(I$64:I$67)*(B$64/B$68-1)</f>
        <v>9.9404603216919935E-2</v>
      </c>
      <c r="O64" s="3139">
        <f t="shared" si="159"/>
        <v>4.7636550760861554E-2</v>
      </c>
      <c r="P64" s="3139">
        <f t="shared" ref="P64:Q67" si="160">K64/SUM(K$64:K$67)*(E$64/E$68-1)</f>
        <v>8.3756345177664976E-2</v>
      </c>
      <c r="Q64" s="3139">
        <f t="shared" si="160"/>
        <v>5.2148766661559584E-2</v>
      </c>
      <c r="R64" s="3080"/>
      <c r="S64" s="3089"/>
      <c r="T64" s="3090"/>
      <c r="U64" s="3090"/>
      <c r="V64" s="3090"/>
      <c r="X64" s="3140"/>
      <c r="Y64" s="3140"/>
      <c r="Z64" s="3140"/>
    </row>
    <row r="65" spans="1:26">
      <c r="A65" s="3076" t="s">
        <v>2606</v>
      </c>
      <c r="B65" s="3077">
        <f t="shared" ref="B65:C67" si="161">B66+(B$64-B$68)*I65/SUM(I$64:I$67)</f>
        <v>125.9720430107527</v>
      </c>
      <c r="C65" s="3077">
        <f t="shared" si="161"/>
        <v>125.1883408071749</v>
      </c>
      <c r="D65" s="3077">
        <f t="shared" si="131"/>
        <v>125.1883408071749</v>
      </c>
      <c r="E65" s="3077">
        <f t="shared" ref="E65:F67" si="162">E66+(E$64-E$68)*K65/SUM(K$64:K$67)</f>
        <v>144.61421319796952</v>
      </c>
      <c r="F65" s="3077">
        <f t="shared" si="162"/>
        <v>108.42008196721311</v>
      </c>
      <c r="G65" s="3470">
        <v>2005</v>
      </c>
      <c r="H65" s="3103">
        <v>3</v>
      </c>
      <c r="I65" s="3103">
        <v>0.46</v>
      </c>
      <c r="J65" s="3103">
        <v>0.32</v>
      </c>
      <c r="K65" s="3103">
        <v>0.42</v>
      </c>
      <c r="L65" s="3104">
        <v>0.64</v>
      </c>
      <c r="N65" s="3138">
        <f t="shared" si="159"/>
        <v>1.3898515951301874E-2</v>
      </c>
      <c r="O65" s="3139">
        <f t="shared" si="159"/>
        <v>1.0585900169080346E-2</v>
      </c>
      <c r="P65" s="3139">
        <f t="shared" si="160"/>
        <v>5.3299492385786795E-2</v>
      </c>
      <c r="Q65" s="3139">
        <f t="shared" si="160"/>
        <v>4.2898728359123568E-3</v>
      </c>
      <c r="R65" s="3080"/>
      <c r="S65" s="3079"/>
      <c r="T65" s="3065"/>
      <c r="U65" s="3065"/>
      <c r="V65" s="3065"/>
      <c r="X65" s="3140"/>
      <c r="Y65" s="3140"/>
      <c r="Z65" s="3140"/>
    </row>
    <row r="66" spans="1:26">
      <c r="A66" s="3076" t="s">
        <v>2607</v>
      </c>
      <c r="B66" s="3077">
        <f t="shared" si="161"/>
        <v>124.29032258064517</v>
      </c>
      <c r="C66" s="3077">
        <f t="shared" si="161"/>
        <v>123.8968609865471</v>
      </c>
      <c r="D66" s="3077">
        <f t="shared" si="131"/>
        <v>123.8968609865471</v>
      </c>
      <c r="E66" s="3077">
        <f t="shared" si="162"/>
        <v>138.00507614213197</v>
      </c>
      <c r="F66" s="3077">
        <f t="shared" si="162"/>
        <v>107.96106557377048</v>
      </c>
      <c r="G66" s="3470">
        <v>2005</v>
      </c>
      <c r="H66" s="3091">
        <v>2</v>
      </c>
      <c r="I66" s="3091">
        <v>0.47</v>
      </c>
      <c r="J66" s="3091">
        <v>0.1</v>
      </c>
      <c r="K66" s="3091">
        <v>0.52</v>
      </c>
      <c r="L66" s="3092">
        <v>0.79</v>
      </c>
      <c r="N66" s="3138">
        <f t="shared" si="159"/>
        <v>1.420065760241713E-2</v>
      </c>
      <c r="O66" s="3139">
        <f t="shared" si="159"/>
        <v>3.3080938028376083E-3</v>
      </c>
      <c r="P66" s="3139">
        <f t="shared" si="160"/>
        <v>6.598984771573603E-2</v>
      </c>
      <c r="Q66" s="3139">
        <f t="shared" si="160"/>
        <v>5.2953117818293153E-3</v>
      </c>
      <c r="R66" s="3080"/>
      <c r="S66" s="3079"/>
      <c r="T66" s="3065"/>
      <c r="U66" s="3065"/>
      <c r="V66" s="3065"/>
      <c r="X66" s="3140"/>
      <c r="Y66" s="3140"/>
      <c r="Z66" s="3140"/>
    </row>
    <row r="67" spans="1:26">
      <c r="A67" s="3076" t="s">
        <v>2608</v>
      </c>
      <c r="B67" s="3077">
        <f t="shared" si="161"/>
        <v>122.57204301075269</v>
      </c>
      <c r="C67" s="3077">
        <f t="shared" si="161"/>
        <v>123.4932735426009</v>
      </c>
      <c r="D67" s="3077">
        <f t="shared" si="131"/>
        <v>123.4932735426009</v>
      </c>
      <c r="E67" s="3077">
        <f t="shared" si="162"/>
        <v>129.82233502538071</v>
      </c>
      <c r="F67" s="3077">
        <f t="shared" si="162"/>
        <v>107.39446721311475</v>
      </c>
      <c r="G67" s="3471">
        <v>2005</v>
      </c>
      <c r="H67" s="3078">
        <v>1</v>
      </c>
      <c r="I67" s="3078">
        <v>0.43</v>
      </c>
      <c r="J67" s="3078">
        <v>0.37</v>
      </c>
      <c r="K67" s="3078">
        <v>0.37</v>
      </c>
      <c r="L67" s="3084">
        <v>0.55000000000000004</v>
      </c>
      <c r="N67" s="3141">
        <f t="shared" si="159"/>
        <v>1.2992090997956099E-2</v>
      </c>
      <c r="O67" s="3142">
        <f t="shared" si="159"/>
        <v>1.2239947070499151E-2</v>
      </c>
      <c r="P67" s="3142">
        <f t="shared" si="160"/>
        <v>4.6954314720812178E-2</v>
      </c>
      <c r="Q67" s="3142">
        <f t="shared" si="160"/>
        <v>3.6866094683621815E-3</v>
      </c>
      <c r="R67" s="3080"/>
      <c r="S67" s="3081">
        <f>B67/B68-1</f>
        <v>1.2992090997956174E-2</v>
      </c>
      <c r="T67" s="3082">
        <f>C67/C68-1</f>
        <v>1.2239947070499246E-2</v>
      </c>
      <c r="U67" s="3082">
        <f>E67/E68-1</f>
        <v>4.695431472081224E-2</v>
      </c>
      <c r="V67" s="3082">
        <f>F67/F68-1</f>
        <v>3.6866094683620787E-3</v>
      </c>
      <c r="X67" s="3140"/>
      <c r="Y67" s="3140"/>
      <c r="Z67" s="3140"/>
    </row>
    <row r="68" spans="1:26" ht="13.5" thickBot="1">
      <c r="A68" s="3076" t="s">
        <v>2609</v>
      </c>
      <c r="B68" s="3126">
        <v>121</v>
      </c>
      <c r="C68" s="3126">
        <v>122</v>
      </c>
      <c r="D68" s="3126">
        <f t="shared" si="131"/>
        <v>122</v>
      </c>
      <c r="E68" s="3126">
        <v>124</v>
      </c>
      <c r="F68" s="3127">
        <v>107</v>
      </c>
      <c r="G68" s="3469">
        <v>2004</v>
      </c>
      <c r="H68" s="3100">
        <v>4</v>
      </c>
      <c r="I68" s="3100">
        <v>0.33</v>
      </c>
      <c r="J68" s="3100">
        <v>0.5</v>
      </c>
      <c r="K68" s="3100">
        <v>0.5</v>
      </c>
      <c r="L68" s="3101">
        <v>0</v>
      </c>
      <c r="N68" s="3138">
        <f t="shared" ref="N68:O71" si="163">I68/SUM(I$68:I$71)*(B$68/B$72-1)</f>
        <v>1.3391770148526898E-2</v>
      </c>
      <c r="O68" s="3139">
        <f t="shared" si="163"/>
        <v>1.063264221158958E-2</v>
      </c>
      <c r="P68" s="3139">
        <f t="shared" ref="P68:Q71" si="164">K68/SUM(K$68:K$71)*(E$68/E$72-1)</f>
        <v>2.2244466688911134E-2</v>
      </c>
      <c r="Q68" s="3139">
        <f t="shared" si="164"/>
        <v>0</v>
      </c>
      <c r="R68" s="3080"/>
      <c r="S68" s="3089"/>
      <c r="T68" s="3090"/>
      <c r="U68" s="3090"/>
      <c r="V68" s="3090"/>
      <c r="X68" s="3140"/>
      <c r="Y68" s="3140"/>
      <c r="Z68" s="3140"/>
    </row>
    <row r="69" spans="1:26">
      <c r="A69" s="3076" t="s">
        <v>2610</v>
      </c>
      <c r="B69" s="3077">
        <f t="shared" ref="B69:C71" si="165">B70+(B$68-B$72)*I69/SUM(I$68:I$71)</f>
        <v>119.51351351351352</v>
      </c>
      <c r="C69" s="3077">
        <f t="shared" si="165"/>
        <v>120.7878787878788</v>
      </c>
      <c r="D69" s="3077">
        <f t="shared" si="131"/>
        <v>120.7878787878788</v>
      </c>
      <c r="E69" s="3077">
        <f t="shared" ref="E69:F71" si="166">E70+(E$68-E$72)*K69/SUM(K$68:K$71)</f>
        <v>121.5975975975976</v>
      </c>
      <c r="F69" s="3077">
        <f t="shared" si="166"/>
        <v>107</v>
      </c>
      <c r="G69" s="3470">
        <v>2004</v>
      </c>
      <c r="H69" s="3103">
        <v>3</v>
      </c>
      <c r="I69" s="3103">
        <v>0.56000000000000005</v>
      </c>
      <c r="J69" s="3103">
        <v>0.8</v>
      </c>
      <c r="K69" s="3103">
        <v>0.83</v>
      </c>
      <c r="L69" s="3104">
        <v>0.06</v>
      </c>
      <c r="N69" s="3138">
        <f t="shared" si="163"/>
        <v>2.2725428130833527E-2</v>
      </c>
      <c r="O69" s="3139">
        <f t="shared" si="163"/>
        <v>1.7012227538543329E-2</v>
      </c>
      <c r="P69" s="3139">
        <f t="shared" si="164"/>
        <v>3.6925814703592477E-2</v>
      </c>
      <c r="Q69" s="3139">
        <f t="shared" si="164"/>
        <v>2.8846153846153744E-2</v>
      </c>
      <c r="R69" s="3080"/>
      <c r="S69" s="3079"/>
      <c r="T69" s="3065"/>
      <c r="U69" s="3065"/>
      <c r="V69" s="3065"/>
      <c r="X69" s="3140"/>
      <c r="Y69" s="3140"/>
      <c r="Z69" s="3140"/>
    </row>
    <row r="70" spans="1:26">
      <c r="A70" s="3076" t="s">
        <v>2611</v>
      </c>
      <c r="B70" s="3077">
        <f t="shared" si="165"/>
        <v>116.99099099099099</v>
      </c>
      <c r="C70" s="3077">
        <f t="shared" si="165"/>
        <v>118.84848484848486</v>
      </c>
      <c r="D70" s="3077">
        <f t="shared" si="131"/>
        <v>118.84848484848486</v>
      </c>
      <c r="E70" s="3077">
        <f t="shared" si="166"/>
        <v>117.60960960960961</v>
      </c>
      <c r="F70" s="3077">
        <f t="shared" si="166"/>
        <v>104</v>
      </c>
      <c r="G70" s="3470">
        <v>2004</v>
      </c>
      <c r="H70" s="3091">
        <v>2</v>
      </c>
      <c r="I70" s="3091">
        <v>1</v>
      </c>
      <c r="J70" s="3091">
        <v>1.5</v>
      </c>
      <c r="K70" s="3091">
        <v>1.5</v>
      </c>
      <c r="L70" s="3092">
        <v>0</v>
      </c>
      <c r="N70" s="3138">
        <f t="shared" si="163"/>
        <v>4.0581121662202721E-2</v>
      </c>
      <c r="O70" s="3139">
        <f t="shared" si="163"/>
        <v>3.1897926634768738E-2</v>
      </c>
      <c r="P70" s="3139">
        <f t="shared" si="164"/>
        <v>6.6733400066733395E-2</v>
      </c>
      <c r="Q70" s="3139">
        <f t="shared" si="164"/>
        <v>0</v>
      </c>
      <c r="R70" s="3080"/>
      <c r="S70" s="3079"/>
      <c r="T70" s="3065"/>
      <c r="U70" s="3065"/>
      <c r="V70" s="3065"/>
      <c r="X70" s="3140"/>
      <c r="Y70" s="3140"/>
      <c r="Z70" s="3140"/>
    </row>
    <row r="71" spans="1:26" s="3132" customFormat="1" ht="13.5" thickBot="1">
      <c r="A71" s="3076" t="s">
        <v>2612</v>
      </c>
      <c r="B71" s="3129">
        <f t="shared" si="165"/>
        <v>112.48648648648648</v>
      </c>
      <c r="C71" s="3129">
        <f t="shared" si="165"/>
        <v>115.21212121212122</v>
      </c>
      <c r="D71" s="3129">
        <f t="shared" si="131"/>
        <v>115.21212121212122</v>
      </c>
      <c r="E71" s="3129">
        <f t="shared" si="166"/>
        <v>110.4024024024024</v>
      </c>
      <c r="F71" s="3129">
        <f t="shared" si="166"/>
        <v>104</v>
      </c>
      <c r="G71" s="3471">
        <v>2004</v>
      </c>
      <c r="H71" s="3130">
        <v>1</v>
      </c>
      <c r="I71" s="3130">
        <v>0.33</v>
      </c>
      <c r="J71" s="3130">
        <v>0.5</v>
      </c>
      <c r="K71" s="3130">
        <v>0.5</v>
      </c>
      <c r="L71" s="3131">
        <v>0</v>
      </c>
      <c r="N71" s="3143">
        <f t="shared" si="163"/>
        <v>1.3391770148526898E-2</v>
      </c>
      <c r="O71" s="3144">
        <f t="shared" si="163"/>
        <v>1.063264221158958E-2</v>
      </c>
      <c r="P71" s="3144">
        <f t="shared" si="164"/>
        <v>2.2244466688911134E-2</v>
      </c>
      <c r="Q71" s="3144">
        <f t="shared" si="164"/>
        <v>0</v>
      </c>
      <c r="R71" s="3135"/>
      <c r="S71" s="3133">
        <f>B71/B72-1</f>
        <v>1.3391770148526883E-2</v>
      </c>
      <c r="T71" s="3134">
        <f>C71/C72-1</f>
        <v>1.063264221158966E-2</v>
      </c>
      <c r="U71" s="3134">
        <f>E71/E72-1</f>
        <v>2.2244466688911224E-2</v>
      </c>
      <c r="V71" s="3134">
        <f>F71/F72-1</f>
        <v>0</v>
      </c>
      <c r="X71" s="3145"/>
      <c r="Y71" s="3145"/>
      <c r="Z71" s="3145"/>
    </row>
    <row r="72" spans="1:26" ht="13.5" thickBot="1">
      <c r="A72" s="3076" t="s">
        <v>2613</v>
      </c>
      <c r="B72" s="3146">
        <v>111</v>
      </c>
      <c r="C72" s="3146">
        <v>114</v>
      </c>
      <c r="D72" s="3146">
        <f t="shared" si="131"/>
        <v>114</v>
      </c>
      <c r="E72" s="3146">
        <v>108</v>
      </c>
      <c r="F72" s="3147">
        <v>104</v>
      </c>
      <c r="G72" s="3469">
        <v>2003</v>
      </c>
      <c r="H72" s="3136">
        <v>4</v>
      </c>
      <c r="I72" s="3148"/>
      <c r="J72" s="3148"/>
      <c r="K72" s="3148"/>
      <c r="L72" s="3148"/>
      <c r="N72" s="3149"/>
      <c r="O72" s="3148"/>
      <c r="P72" s="3148"/>
      <c r="Q72" s="3148"/>
      <c r="S72" s="3149"/>
      <c r="T72" s="3148"/>
      <c r="U72" s="3148"/>
      <c r="V72" s="3148"/>
      <c r="X72" s="3140"/>
      <c r="Y72" s="3140"/>
      <c r="Z72" s="3140"/>
    </row>
    <row r="73" spans="1:26">
      <c r="A73" s="3076" t="s">
        <v>2614</v>
      </c>
      <c r="B73" s="3150">
        <f t="shared" ref="B73:C75" si="167">B74+(B$72-B$76)/4</f>
        <v>109.75</v>
      </c>
      <c r="C73" s="3150">
        <f t="shared" si="167"/>
        <v>112.25</v>
      </c>
      <c r="D73" s="3150">
        <f t="shared" si="131"/>
        <v>112.25</v>
      </c>
      <c r="E73" s="3150">
        <f t="shared" ref="E73:F75" si="168">E74+(E$72-E$76)/4</f>
        <v>107.25</v>
      </c>
      <c r="F73" s="3150">
        <f t="shared" si="168"/>
        <v>103.5</v>
      </c>
      <c r="G73" s="3470">
        <v>2003</v>
      </c>
      <c r="H73" s="3103">
        <v>3</v>
      </c>
      <c r="I73" s="3148"/>
      <c r="J73" s="3148"/>
      <c r="K73" s="3148"/>
      <c r="L73" s="3148"/>
      <c r="X73" s="3140"/>
      <c r="Y73" s="3140"/>
      <c r="Z73" s="3140"/>
    </row>
    <row r="74" spans="1:26">
      <c r="A74" s="3076" t="s">
        <v>2615</v>
      </c>
      <c r="B74" s="3150">
        <f t="shared" si="167"/>
        <v>108.5</v>
      </c>
      <c r="C74" s="3150">
        <f t="shared" si="167"/>
        <v>110.5</v>
      </c>
      <c r="D74" s="3150">
        <f t="shared" si="131"/>
        <v>110.5</v>
      </c>
      <c r="E74" s="3150">
        <f t="shared" si="168"/>
        <v>106.5</v>
      </c>
      <c r="F74" s="3150">
        <f t="shared" si="168"/>
        <v>103</v>
      </c>
      <c r="G74" s="3470">
        <v>2003</v>
      </c>
      <c r="H74" s="3091">
        <v>2</v>
      </c>
      <c r="I74" s="3148"/>
      <c r="J74" s="3148"/>
      <c r="K74" s="3148"/>
      <c r="L74" s="3148"/>
      <c r="X74" s="3140"/>
      <c r="Y74" s="3140"/>
      <c r="Z74" s="3140"/>
    </row>
    <row r="75" spans="1:26" ht="13.5" thickBot="1">
      <c r="A75" s="3076" t="s">
        <v>2616</v>
      </c>
      <c r="B75" s="3150">
        <f t="shared" si="167"/>
        <v>107.25</v>
      </c>
      <c r="C75" s="3150">
        <f t="shared" si="167"/>
        <v>108.75</v>
      </c>
      <c r="D75" s="3150">
        <f t="shared" si="131"/>
        <v>108.75</v>
      </c>
      <c r="E75" s="3150">
        <f t="shared" si="168"/>
        <v>105.75</v>
      </c>
      <c r="F75" s="3150">
        <f t="shared" si="168"/>
        <v>102.5</v>
      </c>
      <c r="G75" s="3471">
        <v>2003</v>
      </c>
      <c r="H75" s="3151">
        <v>1</v>
      </c>
      <c r="I75" s="3148"/>
      <c r="J75" s="3148"/>
      <c r="K75" s="3148"/>
      <c r="L75" s="3148"/>
      <c r="S75" s="3079"/>
      <c r="T75" s="3065"/>
      <c r="U75" s="3065"/>
      <c r="X75" s="3140"/>
      <c r="Y75" s="3140"/>
      <c r="Z75" s="3140"/>
    </row>
    <row r="76" spans="1:26" ht="13.5" thickBot="1">
      <c r="A76" s="3076" t="s">
        <v>2617</v>
      </c>
      <c r="B76" s="3152">
        <v>106</v>
      </c>
      <c r="C76" s="3152">
        <v>107</v>
      </c>
      <c r="D76" s="3152">
        <f t="shared" si="131"/>
        <v>107</v>
      </c>
      <c r="E76" s="3152">
        <v>105</v>
      </c>
      <c r="F76" s="3153">
        <v>102</v>
      </c>
      <c r="G76" s="3469">
        <v>2002</v>
      </c>
      <c r="H76" s="3100">
        <v>4</v>
      </c>
      <c r="I76" s="3148"/>
      <c r="J76" s="3148"/>
      <c r="K76" s="3148"/>
      <c r="L76" s="3148"/>
      <c r="N76" s="3149"/>
      <c r="O76" s="3148"/>
      <c r="P76" s="3148"/>
      <c r="Q76" s="3148"/>
      <c r="S76" s="3149"/>
      <c r="T76" s="3148"/>
      <c r="U76" s="3148"/>
      <c r="V76" s="3148"/>
      <c r="X76" s="3140"/>
      <c r="Y76" s="3140"/>
      <c r="Z76" s="3140"/>
    </row>
    <row r="77" spans="1:26">
      <c r="A77" s="3076" t="s">
        <v>2618</v>
      </c>
      <c r="B77" s="3150">
        <f t="shared" ref="B77:C79" si="169">B78+(B$76-B$80)/4</f>
        <v>105</v>
      </c>
      <c r="C77" s="3150">
        <f t="shared" si="169"/>
        <v>106</v>
      </c>
      <c r="D77" s="3150">
        <f t="shared" si="131"/>
        <v>106</v>
      </c>
      <c r="E77" s="3150">
        <f t="shared" ref="E77:F79" si="170">E78+(E$76-E$80)/4</f>
        <v>104.5</v>
      </c>
      <c r="F77" s="3150">
        <f t="shared" si="170"/>
        <v>101.5</v>
      </c>
      <c r="G77" s="3470">
        <v>2002</v>
      </c>
      <c r="H77" s="3103">
        <v>3</v>
      </c>
      <c r="I77" s="3148"/>
      <c r="J77" s="3148"/>
      <c r="K77" s="3148"/>
      <c r="L77" s="3148"/>
      <c r="X77" s="3140"/>
      <c r="Y77" s="3140"/>
      <c r="Z77" s="3140"/>
    </row>
    <row r="78" spans="1:26">
      <c r="A78" s="3076" t="s">
        <v>2619</v>
      </c>
      <c r="B78" s="3150">
        <f t="shared" si="169"/>
        <v>104</v>
      </c>
      <c r="C78" s="3150">
        <f t="shared" si="169"/>
        <v>105</v>
      </c>
      <c r="D78" s="3150">
        <f t="shared" si="131"/>
        <v>105</v>
      </c>
      <c r="E78" s="3150">
        <f t="shared" si="170"/>
        <v>104</v>
      </c>
      <c r="F78" s="3150">
        <f t="shared" si="170"/>
        <v>101</v>
      </c>
      <c r="G78" s="3470">
        <v>2002</v>
      </c>
      <c r="H78" s="3091">
        <v>2</v>
      </c>
      <c r="I78" s="3148"/>
      <c r="J78" s="3148"/>
      <c r="K78" s="3148"/>
      <c r="L78" s="3148"/>
      <c r="X78" s="3140"/>
      <c r="Y78" s="3140"/>
      <c r="Z78" s="3140"/>
    </row>
    <row r="79" spans="1:26" s="3113" customFormat="1" ht="13.5" thickBot="1">
      <c r="A79" s="3109" t="s">
        <v>2620</v>
      </c>
      <c r="B79" s="3116">
        <f t="shared" si="169"/>
        <v>103</v>
      </c>
      <c r="C79" s="3116">
        <f t="shared" si="169"/>
        <v>104</v>
      </c>
      <c r="D79" s="3116">
        <f t="shared" si="131"/>
        <v>104</v>
      </c>
      <c r="E79" s="3116">
        <f t="shared" si="170"/>
        <v>103.5</v>
      </c>
      <c r="F79" s="3116">
        <f t="shared" si="170"/>
        <v>100.5</v>
      </c>
      <c r="G79" s="3471">
        <v>2002</v>
      </c>
      <c r="H79" s="3154">
        <v>1</v>
      </c>
      <c r="I79" s="3155"/>
      <c r="J79" s="3155"/>
      <c r="K79" s="3155"/>
      <c r="L79" s="3155"/>
      <c r="N79" s="3156"/>
      <c r="S79" s="3156"/>
      <c r="X79" s="3157"/>
      <c r="Y79" s="3157"/>
      <c r="Z79" s="3157"/>
    </row>
    <row r="80" spans="1:26" ht="13.5" thickBot="1">
      <c r="B80" s="3158">
        <v>102</v>
      </c>
      <c r="C80" s="3159">
        <v>103</v>
      </c>
      <c r="D80" s="3159">
        <f t="shared" si="131"/>
        <v>103</v>
      </c>
      <c r="E80" s="3159">
        <v>103</v>
      </c>
      <c r="F80" s="3160">
        <v>100</v>
      </c>
      <c r="I80" s="3148"/>
      <c r="J80" s="3148"/>
      <c r="K80" s="3148"/>
      <c r="L80" s="3148"/>
      <c r="N80" s="3149"/>
      <c r="O80" s="3148"/>
      <c r="P80" s="3148"/>
      <c r="Q80" s="3148"/>
      <c r="S80" s="3149"/>
      <c r="T80" s="3148"/>
      <c r="U80" s="3148"/>
      <c r="V80" s="3148"/>
      <c r="X80" s="3090"/>
      <c r="Y80" s="3090"/>
      <c r="Z80" s="3090"/>
    </row>
    <row r="82" spans="1:22" s="3162" customFormat="1">
      <c r="A82" s="3161" t="s">
        <v>2621</v>
      </c>
      <c r="G82" s="3163"/>
      <c r="N82" s="3163"/>
      <c r="S82" s="3163"/>
    </row>
    <row r="83" spans="1:22" s="3162" customFormat="1">
      <c r="A83" s="3162" t="s">
        <v>2622</v>
      </c>
      <c r="G83" s="3163"/>
      <c r="N83" s="3163"/>
      <c r="S83" s="3163"/>
    </row>
    <row r="84" spans="1:22" s="3162" customFormat="1">
      <c r="A84" s="3162" t="s">
        <v>2623</v>
      </c>
      <c r="G84" s="3163"/>
      <c r="I84" s="3164"/>
      <c r="J84" s="3164"/>
      <c r="K84" s="3164"/>
      <c r="L84" s="3164"/>
      <c r="N84" s="3165"/>
      <c r="O84" s="3164"/>
      <c r="P84" s="3164"/>
      <c r="Q84" s="3164"/>
      <c r="S84" s="3165"/>
      <c r="T84" s="3164"/>
      <c r="U84" s="3164"/>
      <c r="V84" s="3164"/>
    </row>
    <row r="85" spans="1:22" s="3162" customFormat="1">
      <c r="A85" s="3162" t="s">
        <v>2624</v>
      </c>
      <c r="G85" s="3163"/>
      <c r="N85" s="3163"/>
      <c r="S85" s="3163"/>
    </row>
    <row r="92" spans="1:22" ht="13.5" thickBot="1"/>
    <row r="93" spans="1:22">
      <c r="G93" s="3064"/>
      <c r="S93" s="3166" t="s">
        <v>2625</v>
      </c>
      <c r="T93" s="3167" t="s">
        <v>2626</v>
      </c>
      <c r="U93" s="3167" t="s">
        <v>2627</v>
      </c>
      <c r="V93" s="3167" t="s">
        <v>2628</v>
      </c>
    </row>
    <row r="94" spans="1:22">
      <c r="G94" s="3064"/>
      <c r="N94" s="3089"/>
      <c r="O94" s="3090"/>
      <c r="P94" s="3090"/>
      <c r="Q94" s="3090"/>
      <c r="S94" s="3168">
        <v>2006</v>
      </c>
      <c r="T94" s="3169">
        <v>15.1</v>
      </c>
      <c r="U94" s="3169">
        <v>7.43</v>
      </c>
      <c r="V94" s="3169">
        <v>26.26</v>
      </c>
    </row>
    <row r="95" spans="1:22">
      <c r="G95" s="3064"/>
      <c r="N95" s="3089"/>
      <c r="O95" s="3090"/>
      <c r="P95" s="3090"/>
      <c r="Q95" s="3090"/>
      <c r="S95" s="3170">
        <v>2005</v>
      </c>
      <c r="T95" s="3171">
        <v>13.9</v>
      </c>
      <c r="U95" s="3171">
        <v>7.49</v>
      </c>
      <c r="V95" s="3171">
        <v>24.92</v>
      </c>
    </row>
    <row r="96" spans="1:22">
      <c r="G96" s="3064"/>
      <c r="N96" s="3089"/>
      <c r="O96" s="3090"/>
      <c r="P96" s="3090"/>
      <c r="Q96" s="3090"/>
      <c r="S96" s="3168">
        <v>2004</v>
      </c>
      <c r="T96" s="3169">
        <v>9.48</v>
      </c>
      <c r="U96" s="3169">
        <v>7.2</v>
      </c>
      <c r="V96" s="3169">
        <v>14.68</v>
      </c>
    </row>
    <row r="97" spans="7:22">
      <c r="G97" s="3064"/>
      <c r="N97" s="3089"/>
      <c r="O97" s="3090"/>
      <c r="P97" s="3090"/>
      <c r="Q97" s="3090"/>
      <c r="S97" s="3170">
        <v>2003</v>
      </c>
      <c r="T97" s="3171">
        <v>4.5</v>
      </c>
      <c r="U97" s="3171">
        <v>6.12</v>
      </c>
      <c r="V97" s="3171">
        <v>2.34</v>
      </c>
    </row>
    <row r="98" spans="7:22" ht="13.5" thickBot="1">
      <c r="G98" s="3064"/>
      <c r="N98" s="3089"/>
      <c r="O98" s="3090"/>
      <c r="P98" s="3090"/>
      <c r="Q98" s="3090"/>
      <c r="S98" s="3172">
        <v>2002</v>
      </c>
      <c r="T98" s="3173">
        <v>3.59</v>
      </c>
      <c r="U98" s="3173">
        <v>4.54</v>
      </c>
      <c r="V98" s="3173">
        <v>2.5499999999999998</v>
      </c>
    </row>
    <row r="99" spans="7:22">
      <c r="G99" s="3064"/>
      <c r="N99" s="3089"/>
      <c r="O99" s="3090"/>
      <c r="P99" s="3090"/>
      <c r="Q99" s="3090"/>
    </row>
    <row r="100" spans="7:22">
      <c r="G100" s="3064"/>
      <c r="N100" s="3089"/>
      <c r="O100" s="3090"/>
      <c r="P100" s="3090"/>
      <c r="Q100" s="3090"/>
    </row>
    <row r="101" spans="7:22">
      <c r="G101" s="3064"/>
      <c r="N101" s="3089"/>
      <c r="O101" s="3090"/>
      <c r="P101" s="3090"/>
      <c r="Q101" s="3090"/>
    </row>
    <row r="102" spans="7:22">
      <c r="G102" s="3064"/>
      <c r="N102" s="3089"/>
      <c r="O102" s="3090"/>
      <c r="P102" s="3090"/>
      <c r="Q102" s="3090"/>
    </row>
    <row r="103" spans="7:22">
      <c r="G103" s="3064"/>
      <c r="N103" s="3089"/>
      <c r="O103" s="3090"/>
      <c r="P103" s="3090"/>
      <c r="Q103" s="3090"/>
    </row>
    <row r="104" spans="7:22">
      <c r="G104" s="3064"/>
      <c r="N104" s="3089"/>
      <c r="O104" s="3090"/>
      <c r="P104" s="3090"/>
      <c r="Q104" s="3090"/>
    </row>
    <row r="105" spans="7:22">
      <c r="G105" s="3064"/>
      <c r="N105" s="3089"/>
      <c r="O105" s="3090"/>
      <c r="P105" s="3090"/>
      <c r="Q105" s="3090"/>
    </row>
    <row r="106" spans="7:22">
      <c r="G106" s="3064"/>
      <c r="N106" s="3089"/>
      <c r="O106" s="3090"/>
      <c r="P106" s="3090"/>
      <c r="Q106" s="3090"/>
    </row>
    <row r="107" spans="7:22">
      <c r="G107" s="3064"/>
      <c r="N107" s="3089"/>
      <c r="O107" s="3090"/>
      <c r="P107" s="3090"/>
      <c r="Q107" s="3090"/>
    </row>
    <row r="108" spans="7:22">
      <c r="G108" s="3064"/>
      <c r="N108" s="3089"/>
      <c r="O108" s="3090"/>
      <c r="P108" s="3090"/>
      <c r="Q108" s="3090"/>
    </row>
    <row r="109" spans="7:22">
      <c r="G109" s="3064"/>
      <c r="N109" s="3089"/>
      <c r="O109" s="3090"/>
      <c r="P109" s="3090"/>
      <c r="Q109" s="3090"/>
      <c r="S109" s="3064"/>
    </row>
    <row r="110" spans="7:22">
      <c r="G110" s="3064"/>
      <c r="N110" s="3089"/>
      <c r="O110" s="3090"/>
      <c r="P110" s="3090"/>
      <c r="Q110" s="3090"/>
      <c r="S110" s="3064"/>
    </row>
    <row r="111" spans="7:22">
      <c r="G111" s="3064"/>
      <c r="N111" s="3089"/>
      <c r="O111" s="3090"/>
      <c r="P111" s="3090"/>
      <c r="Q111" s="3090"/>
      <c r="S111" s="3064"/>
    </row>
    <row r="112" spans="7:22">
      <c r="G112" s="3064"/>
      <c r="N112" s="3089"/>
      <c r="O112" s="3090"/>
      <c r="P112" s="3090"/>
      <c r="Q112" s="3090"/>
      <c r="S112" s="3064"/>
    </row>
    <row r="113" spans="7:19">
      <c r="G113" s="3064"/>
      <c r="N113" s="3089"/>
      <c r="O113" s="3090"/>
      <c r="P113" s="3090"/>
      <c r="Q113" s="3090"/>
      <c r="S113" s="3064"/>
    </row>
    <row r="114" spans="7:19">
      <c r="G114" s="3064"/>
      <c r="N114" s="3089"/>
      <c r="O114" s="3090"/>
      <c r="P114" s="3090"/>
      <c r="Q114" s="3090"/>
      <c r="S114" s="3064"/>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1898</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1899</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177193.01平方米。根据《建设工程规划许可证》[]、《出让合同》[]，估价对象规划建筑面积为472085.52平方米。</v>
      </c>
    </row>
    <row r="7" spans="1:4" ht="56.25">
      <c r="A7" s="1777" t="s">
        <v>2737</v>
      </c>
    </row>
    <row r="8" spans="1:4" ht="18.75">
      <c r="A8" s="1776" t="s">
        <v>1900</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2018</v>
      </c>
    </row>
    <row r="11" spans="1:4" ht="18.75">
      <c r="A11" s="1762" t="str">
        <f>TEXT(项目基本情况!D3,"yyyy年m月d日;;")&amp;IF(项目基本情况!B3=项目基本情况!D3,"（评估专业人员勘察现场之日）","")</f>
        <v>2020年8月7日（评估专业人员勘察现场之日）</v>
      </c>
    </row>
    <row r="12" spans="1:4" ht="18.75">
      <c r="A12" s="1779" t="s">
        <v>2017</v>
      </c>
    </row>
    <row r="13" spans="1:4" ht="18.75">
      <c r="A13" s="1773" t="s">
        <v>2931</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2064</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2065</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根据《国有土地使用证》[]，估价对象（分摊）出让国有建设用地使用权面积为177193.01平方米。根据《建设工程规划许可证》[]、《出让合同》[]，估价对象规划建筑面积为472085.52平方米。</v>
      </c>
    </row>
    <row r="21" spans="1:1" ht="18.75">
      <c r="A21" s="1773" t="s">
        <v>2066</v>
      </c>
    </row>
    <row r="22" spans="1:1" ht="11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2082年3月30日、商业2052年3月30日、办公2062年3月30日、地下车库2062年3月30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2067</v>
      </c>
    </row>
    <row r="25" spans="1:1" ht="75">
      <c r="A25" s="1773" t="str">
        <f>定义!C53</f>
        <v>本次估价的“出让国有建设用地使用权价格”是指在估价对象土地所有权为国家所有，使用权性质为出让，在公开市场条件下、于估价期日2020年8月7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2019</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F14"/>
  <sheetViews>
    <sheetView workbookViewId="0">
      <selection activeCell="J39" sqref="J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29" t="s">
        <v>2938</v>
      </c>
      <c r="B1" s="2931"/>
      <c r="C1" s="2931"/>
      <c r="D1" s="2931"/>
      <c r="E1" s="2931"/>
      <c r="F1" s="2931"/>
    </row>
    <row r="2" spans="1:6" ht="14.25">
      <c r="A2" s="2932" t="s">
        <v>2933</v>
      </c>
      <c r="B2" s="2933" t="e">
        <f ca="1">SUMIF(B7:B14,"&lt;&gt;#ref!",B7:B14)</f>
        <v>#DIV/0!</v>
      </c>
      <c r="C2" s="2932" t="s">
        <v>2934</v>
      </c>
      <c r="D2" s="2931"/>
      <c r="E2" s="2931"/>
      <c r="F2" s="2931"/>
    </row>
    <row r="3" spans="1:6" ht="14.25">
      <c r="A3" s="2932" t="s">
        <v>2966</v>
      </c>
      <c r="B3" s="2933" t="e">
        <f ca="1">ROUND(B2*10000/E3,0)</f>
        <v>#DIV/0!</v>
      </c>
      <c r="C3" s="2932" t="s">
        <v>2070</v>
      </c>
      <c r="D3" s="2932" t="s">
        <v>2935</v>
      </c>
      <c r="E3" s="2933">
        <f ca="1">SUMIF(E7:E14,"&lt;&gt;#ref!",E7:E14)</f>
        <v>0</v>
      </c>
      <c r="F3" s="2931"/>
    </row>
    <row r="4" spans="1:6" ht="14.25">
      <c r="A4" s="2932" t="s">
        <v>2942</v>
      </c>
      <c r="B4" s="2933" t="e">
        <f ca="1">ROUND(B2*10000/E4,0)</f>
        <v>#DIV/0!</v>
      </c>
      <c r="C4" s="2932" t="s">
        <v>2070</v>
      </c>
      <c r="D4" s="2932" t="s">
        <v>2943</v>
      </c>
      <c r="E4" s="2933">
        <f ca="1">SUMIF(F7:F14,"&lt;&gt;#ref!",F7:F14)</f>
        <v>0</v>
      </c>
      <c r="F4" s="2931"/>
    </row>
    <row r="5" spans="1:6" ht="14.25">
      <c r="A5" s="2934"/>
      <c r="B5" s="1863"/>
      <c r="C5" s="1863"/>
      <c r="D5" s="1863"/>
      <c r="E5" s="1863"/>
      <c r="F5" s="2931"/>
    </row>
    <row r="6" spans="1:6" ht="28.5">
      <c r="A6" s="2935" t="s">
        <v>2939</v>
      </c>
      <c r="B6" s="2932" t="s">
        <v>2936</v>
      </c>
      <c r="C6" s="2933"/>
      <c r="D6" s="1863"/>
      <c r="E6" s="2932" t="s">
        <v>2937</v>
      </c>
      <c r="F6" s="2932" t="s">
        <v>2941</v>
      </c>
    </row>
    <row r="7" spans="1:6" ht="14.25">
      <c r="A7" s="259" t="s">
        <v>2940</v>
      </c>
      <c r="B7" s="2936" t="e">
        <f ca="1">SUMIF(INDIRECT("'"&amp;A7&amp;"'"&amp;"!A:A"),"总价",INDIRECT("'"&amp;A7&amp;"'"&amp;"!B:B"))</f>
        <v>#DIV/0!</v>
      </c>
      <c r="C7" s="2932" t="s">
        <v>2934</v>
      </c>
      <c r="D7" s="1863"/>
      <c r="E7" s="2937">
        <f ca="1">SUMIF(INDIRECT("'"&amp;A7&amp;"'"&amp;"!C:C"),"建筑面积",INDIRECT("'"&amp;A7&amp;"'"&amp;"!D:D"))</f>
        <v>0</v>
      </c>
      <c r="F7" s="2937">
        <f ca="1">SUMIF(INDIRECT("'"&amp;A7&amp;"'"&amp;"!E:E"),"土地面积",INDIRECT("'"&amp;A7&amp;"'"&amp;"!F:F"))</f>
        <v>0</v>
      </c>
    </row>
    <row r="8" spans="1:6" ht="14.25">
      <c r="A8" s="259"/>
      <c r="B8" s="2936" t="e">
        <f t="shared" ref="B8:B14" ca="1" si="0">SUMIF(INDIRECT("'"&amp;A8&amp;"'"&amp;"!A:A"),"总价",INDIRECT("'"&amp;A8&amp;"'"&amp;"!B:B"))</f>
        <v>#REF!</v>
      </c>
      <c r="C8" s="2932" t="s">
        <v>2934</v>
      </c>
      <c r="D8" s="1863"/>
      <c r="E8" s="2937" t="e">
        <f t="shared" ref="E8:E14" ca="1" si="1">SUMIF(INDIRECT("'"&amp;A8&amp;"'"&amp;"!C:C"),"建筑面积",INDIRECT("'"&amp;A8&amp;"'"&amp;"!D:D"))</f>
        <v>#REF!</v>
      </c>
      <c r="F8" s="2937" t="e">
        <f t="shared" ref="F8:F14" ca="1" si="2">SUMIF(INDIRECT("'"&amp;A8&amp;"'"&amp;"!E:E"),"土地面积",INDIRECT("'"&amp;A8&amp;"'"&amp;"!F:F"))</f>
        <v>#REF!</v>
      </c>
    </row>
    <row r="9" spans="1:6" ht="14.25">
      <c r="A9" s="259"/>
      <c r="B9" s="2936" t="e">
        <f t="shared" ca="1" si="0"/>
        <v>#REF!</v>
      </c>
      <c r="C9" s="2932" t="s">
        <v>2934</v>
      </c>
      <c r="D9" s="1863"/>
      <c r="E9" s="2937" t="e">
        <f t="shared" ca="1" si="1"/>
        <v>#REF!</v>
      </c>
      <c r="F9" s="2937" t="e">
        <f t="shared" ca="1" si="2"/>
        <v>#REF!</v>
      </c>
    </row>
    <row r="10" spans="1:6" ht="14.25">
      <c r="A10" s="259"/>
      <c r="B10" s="2936" t="e">
        <f t="shared" ca="1" si="0"/>
        <v>#REF!</v>
      </c>
      <c r="C10" s="2932" t="s">
        <v>2934</v>
      </c>
      <c r="D10" s="1863"/>
      <c r="E10" s="2937" t="e">
        <f t="shared" ca="1" si="1"/>
        <v>#REF!</v>
      </c>
      <c r="F10" s="2937" t="e">
        <f t="shared" ca="1" si="2"/>
        <v>#REF!</v>
      </c>
    </row>
    <row r="11" spans="1:6" ht="14.25">
      <c r="A11" s="259"/>
      <c r="B11" s="2936" t="e">
        <f t="shared" ca="1" si="0"/>
        <v>#REF!</v>
      </c>
      <c r="C11" s="2932" t="s">
        <v>2934</v>
      </c>
      <c r="D11" s="1863"/>
      <c r="E11" s="2937" t="e">
        <f t="shared" ca="1" si="1"/>
        <v>#REF!</v>
      </c>
      <c r="F11" s="2937" t="e">
        <f t="shared" ca="1" si="2"/>
        <v>#REF!</v>
      </c>
    </row>
    <row r="12" spans="1:6" ht="14.25">
      <c r="A12" s="259"/>
      <c r="B12" s="2936" t="e">
        <f t="shared" ca="1" si="0"/>
        <v>#REF!</v>
      </c>
      <c r="C12" s="2932" t="s">
        <v>2934</v>
      </c>
      <c r="D12" s="1863"/>
      <c r="E12" s="2937" t="e">
        <f t="shared" ca="1" si="1"/>
        <v>#REF!</v>
      </c>
      <c r="F12" s="2937" t="e">
        <f t="shared" ca="1" si="2"/>
        <v>#REF!</v>
      </c>
    </row>
    <row r="13" spans="1:6" ht="14.25">
      <c r="A13" s="259"/>
      <c r="B13" s="2936" t="e">
        <f t="shared" ca="1" si="0"/>
        <v>#REF!</v>
      </c>
      <c r="C13" s="2932" t="s">
        <v>2934</v>
      </c>
      <c r="D13" s="1863"/>
      <c r="E13" s="2937" t="e">
        <f t="shared" ca="1" si="1"/>
        <v>#REF!</v>
      </c>
      <c r="F13" s="2937" t="e">
        <f t="shared" ca="1" si="2"/>
        <v>#REF!</v>
      </c>
    </row>
    <row r="14" spans="1:6" ht="14.25">
      <c r="A14" s="2930"/>
      <c r="B14" s="2936" t="e">
        <f t="shared" ca="1" si="0"/>
        <v>#REF!</v>
      </c>
      <c r="C14" s="2932" t="s">
        <v>2934</v>
      </c>
      <c r="D14" s="1863"/>
      <c r="E14" s="2937" t="e">
        <f t="shared" ca="1" si="1"/>
        <v>#REF!</v>
      </c>
      <c r="F14" s="2937" t="e">
        <f t="shared" ca="1" si="2"/>
        <v>#REF!</v>
      </c>
    </row>
  </sheetData>
  <sheetProtection password="C66D" sheet="1" objects="1" scenarios="1"/>
  <phoneticPr fontId="228"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1" t="s">
        <v>628</v>
      </c>
      <c r="B1" s="737"/>
      <c r="C1" s="772"/>
      <c r="D1" s="2032"/>
      <c r="E1" s="2348" t="s">
        <v>2365</v>
      </c>
      <c r="F1" s="2349">
        <f ca="1">J54</f>
        <v>-3</v>
      </c>
      <c r="G1" s="773">
        <f>MATCH(C1,'数据-取费表'!A6:A16,0)+5</f>
        <v>13</v>
      </c>
      <c r="H1" s="1344"/>
      <c r="I1" s="2033"/>
      <c r="J1" s="2033"/>
      <c r="K1" s="2034"/>
      <c r="L1" s="2033"/>
      <c r="M1" s="2033"/>
      <c r="N1" s="2035"/>
      <c r="O1" s="2035"/>
      <c r="P1" s="2035"/>
      <c r="Q1" s="2035"/>
      <c r="R1" s="2035"/>
      <c r="S1" s="2035"/>
      <c r="T1" s="2035"/>
      <c r="U1" s="2035"/>
      <c r="V1" s="2035"/>
      <c r="W1" s="2035"/>
      <c r="X1" s="2035"/>
      <c r="Y1" s="2035"/>
    </row>
    <row r="2" spans="1:25" ht="18" customHeight="1">
      <c r="A2" s="1626" t="s">
        <v>629</v>
      </c>
      <c r="B2" s="774">
        <f ca="1">IF(ISERROR(C45+J31),0,C45+J31)</f>
        <v>0</v>
      </c>
      <c r="C2" s="1345"/>
      <c r="D2" s="2037"/>
      <c r="E2" s="2038"/>
      <c r="F2" s="2038"/>
      <c r="G2" s="1573"/>
      <c r="H2" s="1357"/>
      <c r="I2" s="2039"/>
      <c r="J2" s="2039"/>
      <c r="K2" s="2040"/>
      <c r="L2" s="2039"/>
      <c r="M2" s="2039"/>
    </row>
    <row r="3" spans="1:25" ht="18" customHeight="1">
      <c r="A3" s="1627" t="s">
        <v>1680</v>
      </c>
      <c r="B3" s="1384">
        <f ca="1">ROUND(B2*10000/'数据-汇总表'!E3,0)</f>
        <v>0</v>
      </c>
      <c r="C3" s="1345"/>
      <c r="D3" s="2037"/>
      <c r="E3" s="2038"/>
      <c r="F3" s="2038"/>
      <c r="G3" s="1573"/>
      <c r="H3" s="775" t="s">
        <v>695</v>
      </c>
      <c r="I3" s="2039"/>
      <c r="J3" s="2039"/>
      <c r="K3" s="2040"/>
      <c r="L3" s="2039"/>
      <c r="M3" s="2039"/>
    </row>
    <row r="4" spans="1:25" ht="18" customHeight="1">
      <c r="A4" s="1628" t="s">
        <v>696</v>
      </c>
      <c r="B4" s="1346">
        <f ca="1">ROUND(B2*10000/'数据-汇总表'!D3,0)</f>
        <v>0</v>
      </c>
      <c r="C4" s="427"/>
      <c r="D4" s="2037"/>
      <c r="E4" s="2038"/>
      <c r="F4" s="2038"/>
      <c r="G4" s="1573"/>
      <c r="H4" s="775"/>
      <c r="I4" s="2039"/>
      <c r="J4" s="2039"/>
      <c r="K4" s="2040"/>
      <c r="L4" s="2039"/>
      <c r="M4" s="2039"/>
    </row>
    <row r="5" spans="1:25" ht="18" customHeight="1" thickBot="1">
      <c r="A5" s="1629"/>
      <c r="B5" s="429">
        <f ca="1">ROUND(B2/('数据-汇总表'!D3/666.67),0)</f>
        <v>0</v>
      </c>
      <c r="C5" s="430" t="s">
        <v>697</v>
      </c>
      <c r="D5" s="2037"/>
      <c r="E5" s="2038"/>
      <c r="F5" s="2038"/>
      <c r="G5" s="1573"/>
      <c r="H5" s="775"/>
      <c r="I5" s="2039"/>
      <c r="J5" s="2039"/>
      <c r="K5" s="2040"/>
      <c r="L5" s="2039"/>
      <c r="M5" s="2039"/>
    </row>
    <row r="6" spans="1:25" ht="18" customHeight="1">
      <c r="A6" s="1810" t="s">
        <v>698</v>
      </c>
      <c r="B6" s="1802" t="s">
        <v>699</v>
      </c>
      <c r="C6" s="1802" t="s">
        <v>632</v>
      </c>
      <c r="D6" s="1802" t="s">
        <v>633</v>
      </c>
      <c r="E6" s="778" t="s">
        <v>634</v>
      </c>
      <c r="F6" s="779"/>
      <c r="G6" s="1575"/>
      <c r="H6" s="1810" t="s">
        <v>630</v>
      </c>
      <c r="I6" s="1802" t="s">
        <v>631</v>
      </c>
      <c r="J6" s="1802" t="s">
        <v>632</v>
      </c>
      <c r="K6" s="1802" t="s">
        <v>633</v>
      </c>
      <c r="L6" s="778" t="s">
        <v>634</v>
      </c>
      <c r="M6" s="779"/>
    </row>
    <row r="7" spans="1:25" ht="18" customHeight="1">
      <c r="A7" s="780">
        <v>1</v>
      </c>
      <c r="B7" s="781" t="s">
        <v>2449</v>
      </c>
      <c r="C7" s="53">
        <f ca="1">C8+C12+C14</f>
        <v>0</v>
      </c>
      <c r="D7" s="2457" t="s">
        <v>2452</v>
      </c>
      <c r="E7" s="2451"/>
      <c r="F7" s="2452"/>
      <c r="G7" s="1575"/>
      <c r="H7" s="780">
        <v>1</v>
      </c>
      <c r="I7" s="781" t="s">
        <v>2449</v>
      </c>
      <c r="J7" s="53">
        <f ca="1">J8+J12+J14</f>
        <v>0</v>
      </c>
      <c r="K7" s="2457" t="s">
        <v>2452</v>
      </c>
      <c r="L7" s="2451"/>
      <c r="M7" s="2452"/>
    </row>
    <row r="8" spans="1:25" ht="18" customHeight="1">
      <c r="A8" s="1812" t="s">
        <v>1818</v>
      </c>
      <c r="B8" s="3478" t="s">
        <v>2454</v>
      </c>
      <c r="C8" s="1807">
        <f ca="1">ROUND(F8*F10*F9*(1-F11)/10000,0)</f>
        <v>0</v>
      </c>
      <c r="D8" s="1804" t="s">
        <v>2525</v>
      </c>
      <c r="E8" s="61" t="s">
        <v>637</v>
      </c>
      <c r="F8" s="784">
        <f ca="1">INDIRECT("'数据-取费表'!u"&amp;$G$1)</f>
        <v>0</v>
      </c>
      <c r="G8" s="1575"/>
      <c r="H8" s="2465" t="s">
        <v>1818</v>
      </c>
      <c r="I8" s="3478" t="s">
        <v>2454</v>
      </c>
      <c r="J8" s="782">
        <f ca="1">ROUND(M8*M10*M9*(1-M11)/10000,0)</f>
        <v>0</v>
      </c>
      <c r="K8" s="340" t="s">
        <v>2525</v>
      </c>
      <c r="L8" s="783" t="s">
        <v>1732</v>
      </c>
      <c r="M8" s="784">
        <f ca="1">INDIRECT("'数据-取费表'!z"&amp;$G$1)</f>
        <v>0</v>
      </c>
    </row>
    <row r="9" spans="1:25" ht="18" customHeight="1">
      <c r="A9" s="2461"/>
      <c r="B9" s="3479"/>
      <c r="C9" s="1808"/>
      <c r="D9" s="1805"/>
      <c r="E9" s="61" t="s">
        <v>638</v>
      </c>
      <c r="F9" s="784">
        <f ca="1">IF(INDIRECT("'数据-取费表'!ah"&amp;$G$1)="",INDIRECT("'数据-取费表'!k"&amp;$G$1),INDIRECT("'数据-取费表'!ah"&amp;$G$1))</f>
        <v>0</v>
      </c>
      <c r="G9" s="1575"/>
      <c r="H9" s="2450"/>
      <c r="I9" s="3479"/>
      <c r="J9" s="787"/>
      <c r="K9" s="788"/>
      <c r="L9" s="783" t="s">
        <v>1733</v>
      </c>
      <c r="M9" s="784">
        <f ca="1">F9</f>
        <v>0</v>
      </c>
    </row>
    <row r="10" spans="1:25" ht="18" customHeight="1">
      <c r="A10" s="2454"/>
      <c r="B10" s="3480"/>
      <c r="C10" s="1808"/>
      <c r="D10" s="1805"/>
      <c r="E10" s="61" t="s">
        <v>639</v>
      </c>
      <c r="F10" s="784">
        <f ca="1">INDIRECT("'数据-取费表'!ai"&amp;$G$1)</f>
        <v>0</v>
      </c>
      <c r="G10" s="1575"/>
      <c r="H10" s="2450"/>
      <c r="I10" s="3480"/>
      <c r="J10" s="787"/>
      <c r="K10" s="788"/>
      <c r="L10" s="783" t="s">
        <v>1734</v>
      </c>
      <c r="M10" s="784">
        <f ca="1">INDIRECT("'数据-取费表'!ai"&amp;$G$1)</f>
        <v>0</v>
      </c>
    </row>
    <row r="11" spans="1:25" ht="18" customHeight="1">
      <c r="A11" s="785"/>
      <c r="B11" s="3481"/>
      <c r="C11" s="1808"/>
      <c r="D11" s="1805"/>
      <c r="E11" s="61" t="s">
        <v>640</v>
      </c>
      <c r="F11" s="793">
        <f ca="1">INDIRECT("'数据-取费表'!w"&amp;$G$1)</f>
        <v>0</v>
      </c>
      <c r="G11" s="1575"/>
      <c r="H11" s="2466"/>
      <c r="I11" s="3480"/>
      <c r="J11" s="787"/>
      <c r="K11" s="788"/>
      <c r="L11" s="794" t="s">
        <v>1735</v>
      </c>
      <c r="M11" s="795">
        <f ca="1">INDIRECT("'数据-取费表'!ab"&amp;$G$1)</f>
        <v>0</v>
      </c>
    </row>
    <row r="12" spans="1:25" ht="18" customHeight="1">
      <c r="A12" s="1812" t="s">
        <v>1819</v>
      </c>
      <c r="B12" s="2455" t="s">
        <v>2450</v>
      </c>
      <c r="C12" s="798">
        <f ca="1">ROUND(IF(F12="押一",C8/12*F13,IF(F12="押二",C8/12*2*F13,IF(F12="押三",C8/12*3*F13,C13*F13))),0)</f>
        <v>0</v>
      </c>
      <c r="D12" s="2462" t="s">
        <v>2963</v>
      </c>
      <c r="E12" s="2459" t="s">
        <v>2455</v>
      </c>
      <c r="F12" s="2582"/>
      <c r="G12" s="1575"/>
      <c r="H12" s="2522" t="s">
        <v>1819</v>
      </c>
      <c r="I12" s="2527" t="s">
        <v>2450</v>
      </c>
      <c r="J12" s="782">
        <f ca="1">ROUND(IF(M12="押一",J8/12*M13,IF(M12="押二",J8/12*2*M13,IF(M12="押三",J8/12*3*M13,J13*M13))),0)</f>
        <v>0</v>
      </c>
      <c r="K12" s="2462" t="s">
        <v>2963</v>
      </c>
      <c r="L12" s="2459" t="s">
        <v>2455</v>
      </c>
      <c r="M12" s="2582"/>
    </row>
    <row r="13" spans="1:25" ht="18" customHeight="1">
      <c r="A13" s="789"/>
      <c r="B13" s="2456" t="s">
        <v>2564</v>
      </c>
      <c r="C13" s="2460"/>
      <c r="D13" s="788"/>
      <c r="E13" s="2459" t="s">
        <v>2447</v>
      </c>
      <c r="F13" s="795">
        <f ca="1">'数据-取费表'!B39</f>
        <v>1.4999999999999999E-2</v>
      </c>
      <c r="G13" s="1575"/>
      <c r="H13" s="2523"/>
      <c r="I13" s="2456" t="s">
        <v>2564</v>
      </c>
      <c r="J13" s="2460"/>
      <c r="K13" s="2524"/>
      <c r="L13" s="2459" t="s">
        <v>2447</v>
      </c>
      <c r="M13" s="2453">
        <f ca="1">'数据-取费表'!B39</f>
        <v>1.4999999999999999E-2</v>
      </c>
    </row>
    <row r="14" spans="1:25" ht="18" customHeight="1" thickBot="1">
      <c r="A14" s="2498" t="s">
        <v>2458</v>
      </c>
      <c r="B14" s="2499" t="s">
        <v>2451</v>
      </c>
      <c r="C14" s="2500"/>
      <c r="D14" s="2501"/>
      <c r="E14" s="2502"/>
      <c r="F14" s="2503"/>
      <c r="G14" s="1575"/>
      <c r="H14" s="2512" t="s">
        <v>2458</v>
      </c>
      <c r="I14" s="2525" t="s">
        <v>2451</v>
      </c>
      <c r="J14" s="2526"/>
      <c r="K14" s="2501"/>
      <c r="L14" s="2502"/>
      <c r="M14" s="2515"/>
    </row>
    <row r="15" spans="1:25" ht="18" customHeight="1" thickTop="1">
      <c r="A15" s="1811" t="s">
        <v>1868</v>
      </c>
      <c r="B15" s="1809" t="s">
        <v>641</v>
      </c>
      <c r="C15" s="791">
        <f ca="1">ROUND(C31*F15,0)</f>
        <v>0</v>
      </c>
      <c r="D15" s="1816" t="s">
        <v>642</v>
      </c>
      <c r="E15" s="794" t="s">
        <v>643</v>
      </c>
      <c r="F15" s="799">
        <f ca="1">INDIRECT("'数据-取费表'!y"&amp;$G$1)</f>
        <v>0</v>
      </c>
      <c r="G15" s="1575"/>
      <c r="H15" s="1811" t="s">
        <v>1820</v>
      </c>
      <c r="I15" s="1809" t="s">
        <v>644</v>
      </c>
      <c r="J15" s="1801">
        <f ca="1">ROUND(J16*J17,0)</f>
        <v>0</v>
      </c>
      <c r="K15" s="1803" t="s">
        <v>642</v>
      </c>
      <c r="L15" s="800"/>
      <c r="M15" s="801"/>
    </row>
    <row r="16" spans="1:25" ht="18" customHeight="1">
      <c r="A16" s="802" t="s">
        <v>1869</v>
      </c>
      <c r="B16" s="783" t="s">
        <v>645</v>
      </c>
      <c r="C16" s="803">
        <f ca="1">INDIRECT("'数据-取费表'!m"&amp;$G$1)+INDIRECT("'数据-取费表'!t"&amp;$G$1)</f>
        <v>0</v>
      </c>
      <c r="D16" s="1961" t="s">
        <v>646</v>
      </c>
      <c r="E16" s="1962"/>
      <c r="F16" s="804"/>
      <c r="G16" s="1575"/>
      <c r="H16" s="802" t="s">
        <v>2061</v>
      </c>
      <c r="I16" s="2213" t="s">
        <v>2815</v>
      </c>
      <c r="J16" s="53">
        <f ca="1">C31</f>
        <v>0</v>
      </c>
      <c r="K16" s="26"/>
      <c r="L16" s="800"/>
      <c r="M16" s="801"/>
    </row>
    <row r="17" spans="1:25" s="2046" customFormat="1" ht="18" customHeight="1">
      <c r="A17" s="802" t="s">
        <v>1843</v>
      </c>
      <c r="B17" s="783" t="s">
        <v>647</v>
      </c>
      <c r="C17" s="53">
        <f ca="1">ROUND(C16*F17,0)</f>
        <v>0</v>
      </c>
      <c r="D17" s="805" t="s">
        <v>648</v>
      </c>
      <c r="E17" s="805" t="s">
        <v>649</v>
      </c>
      <c r="F17" s="806">
        <f>'数据-取费表'!B33</f>
        <v>0.03</v>
      </c>
      <c r="G17" s="1576"/>
      <c r="H17" s="802" t="s">
        <v>2062</v>
      </c>
      <c r="I17" s="783" t="s">
        <v>643</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1844</v>
      </c>
      <c r="B18" s="783" t="s">
        <v>650</v>
      </c>
      <c r="C18" s="53">
        <f ca="1">ROUND(INDIRECT("'数据-取费表'!m"&amp;$G$1)*F18,0)</f>
        <v>0</v>
      </c>
      <c r="D18" s="783" t="s">
        <v>648</v>
      </c>
      <c r="E18" s="783" t="s">
        <v>649</v>
      </c>
      <c r="F18" s="808">
        <f ca="1">IF(INDIRECT("'数据-取费表'!c"&amp;$G$1)="住宅",'数据-取费表'!B34,0)</f>
        <v>0</v>
      </c>
      <c r="G18" s="1575"/>
      <c r="H18" s="796" t="s">
        <v>1821</v>
      </c>
      <c r="I18" s="797" t="s">
        <v>651</v>
      </c>
      <c r="J18" s="798">
        <f ca="1">ROUND(J19+J24+J25+J26,0)</f>
        <v>0</v>
      </c>
      <c r="K18" s="26" t="s">
        <v>652</v>
      </c>
      <c r="L18" s="1964"/>
      <c r="M18" s="56"/>
    </row>
    <row r="19" spans="1:25" s="2046" customFormat="1" ht="18" customHeight="1">
      <c r="A19" s="802" t="s">
        <v>1845</v>
      </c>
      <c r="B19" s="783" t="s">
        <v>653</v>
      </c>
      <c r="C19" s="53">
        <f ca="1">ROUND(F19*(INDIRECT("'数据-取费表'!k"&amp;$G$1)+INDIRECT("'数据-取费表'!S"&amp;$G$1))/10000,0)</f>
        <v>0</v>
      </c>
      <c r="D19" s="783" t="s">
        <v>654</v>
      </c>
      <c r="E19" s="783" t="s">
        <v>655</v>
      </c>
      <c r="F19" s="56">
        <f>'数据-取费表'!B35</f>
        <v>180</v>
      </c>
      <c r="G19" s="1576"/>
      <c r="H19" s="802" t="s">
        <v>2061</v>
      </c>
      <c r="I19" s="783" t="s">
        <v>656</v>
      </c>
      <c r="J19" s="53">
        <f ca="1">ROUND(IF(项目基本情况!B11="自然人",J8*M19/(1+'数据-取费表'!C42),J20+J21+J22),0)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1846</v>
      </c>
      <c r="B20" s="783" t="s">
        <v>659</v>
      </c>
      <c r="C20" s="53">
        <f ca="1">ROUND(C16*F20,0)</f>
        <v>0</v>
      </c>
      <c r="D20" s="783" t="s">
        <v>648</v>
      </c>
      <c r="E20" s="783" t="s">
        <v>649</v>
      </c>
      <c r="F20" s="808">
        <f>'数据-取费表'!B36</f>
        <v>1.4999999999999999E-2</v>
      </c>
      <c r="G20" s="1576"/>
      <c r="H20" s="802" t="s">
        <v>1825</v>
      </c>
      <c r="I20" s="783" t="s">
        <v>660</v>
      </c>
      <c r="J20" s="53">
        <f ca="1">ROUND(J8*M20/(1+'数据-取费表'!C42),1)</f>
        <v>0</v>
      </c>
      <c r="K20" s="1959" t="s">
        <v>661</v>
      </c>
      <c r="L20" s="783" t="s">
        <v>649</v>
      </c>
      <c r="M20" s="808">
        <f>'数据-取费表'!B41</f>
        <v>5.6000000000000001E-2</v>
      </c>
      <c r="N20" s="2045"/>
      <c r="O20" s="2045"/>
      <c r="P20" s="2045"/>
      <c r="Q20" s="2045"/>
      <c r="R20" s="2045"/>
      <c r="S20" s="2045"/>
      <c r="T20" s="2045"/>
      <c r="U20" s="2045"/>
      <c r="V20" s="2045"/>
      <c r="W20" s="2045"/>
      <c r="X20" s="2045"/>
      <c r="Y20" s="2045"/>
    </row>
    <row r="21" spans="1:25" ht="18" customHeight="1">
      <c r="A21" s="802" t="s">
        <v>1870</v>
      </c>
      <c r="B21" s="783" t="s">
        <v>662</v>
      </c>
      <c r="C21" s="53">
        <f ca="1">SUM(C16:C20)</f>
        <v>0</v>
      </c>
      <c r="D21" s="260" t="s">
        <v>663</v>
      </c>
      <c r="E21" s="1964"/>
      <c r="F21" s="56"/>
      <c r="G21" s="1575"/>
      <c r="H21" s="1812" t="s">
        <v>1843</v>
      </c>
      <c r="I21" s="783" t="s">
        <v>664</v>
      </c>
      <c r="J21" s="53">
        <f ca="1">IF(K21="按租金收入计税",ROUND(J8*M21/(1+'数据-取费表'!C42),1),ROUND(C31*F35*0.7,1))</f>
        <v>0</v>
      </c>
      <c r="K21" s="810" t="s">
        <v>665</v>
      </c>
      <c r="L21" s="783" t="s">
        <v>649</v>
      </c>
      <c r="M21" s="808">
        <f>IF(K21="按租金收入计税",'数据-取费表'!B51,'数据-取费表'!B50)</f>
        <v>1.2E-2</v>
      </c>
    </row>
    <row r="22" spans="1:25" s="2046" customFormat="1" ht="18" customHeight="1">
      <c r="A22" s="802" t="s">
        <v>1871</v>
      </c>
      <c r="B22" s="783" t="s">
        <v>666</v>
      </c>
      <c r="C22" s="53">
        <f ca="1">ROUND(C21*F22,0)</f>
        <v>0</v>
      </c>
      <c r="D22" s="811" t="s">
        <v>667</v>
      </c>
      <c r="E22" s="783" t="s">
        <v>649</v>
      </c>
      <c r="F22" s="808">
        <f>'数据-取费表'!B37</f>
        <v>0.02</v>
      </c>
      <c r="G22" s="1576"/>
      <c r="H22" s="1814" t="s">
        <v>1844</v>
      </c>
      <c r="I22" s="1804" t="s">
        <v>668</v>
      </c>
      <c r="J22" s="54">
        <f ca="1">ROUND(M22*M23/10000,0)</f>
        <v>0</v>
      </c>
      <c r="K22" s="813" t="s">
        <v>669</v>
      </c>
      <c r="L22" s="783" t="s">
        <v>670</v>
      </c>
      <c r="M22" s="639">
        <f>'数据-取费表'!B52</f>
        <v>8</v>
      </c>
      <c r="N22" s="2045"/>
      <c r="O22" s="2045"/>
      <c r="P22" s="2045"/>
      <c r="Q22" s="2045"/>
      <c r="R22" s="2045"/>
      <c r="S22" s="2045"/>
      <c r="T22" s="2045"/>
      <c r="U22" s="2045"/>
      <c r="V22" s="2045"/>
      <c r="W22" s="2045"/>
      <c r="X22" s="2045"/>
      <c r="Y22" s="2045"/>
    </row>
    <row r="23" spans="1:25" s="2046" customFormat="1" ht="18" customHeight="1">
      <c r="A23" s="802" t="s">
        <v>1872</v>
      </c>
      <c r="B23" s="783" t="s">
        <v>671</v>
      </c>
      <c r="C23" s="53" t="s">
        <v>1</v>
      </c>
      <c r="D23" s="811" t="s">
        <v>672</v>
      </c>
      <c r="E23" s="783" t="s">
        <v>673</v>
      </c>
      <c r="F23" s="808">
        <f>'数据-取费表'!B38</f>
        <v>0.02</v>
      </c>
      <c r="G23" s="1576"/>
      <c r="H23" s="1815"/>
      <c r="I23" s="1806"/>
      <c r="J23" s="69"/>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1873</v>
      </c>
      <c r="B24" s="783" t="s">
        <v>675</v>
      </c>
      <c r="C24" s="53"/>
      <c r="D24" s="2533" t="str">
        <f>IF(F25&lt;=1,"单利计息。","复利计息。")&amp;"建造成本、管理费用、销售费用产生的利息。"</f>
        <v>复利计息。建造成本、管理费用、销售费用产生的利息。</v>
      </c>
      <c r="E24" s="1964"/>
      <c r="F24" s="56"/>
      <c r="G24" s="1575"/>
      <c r="H24" s="1813" t="s">
        <v>2062</v>
      </c>
      <c r="I24" s="783" t="s">
        <v>676</v>
      </c>
      <c r="J24" s="53">
        <f ca="1">ROUND(J16*M24,0)</f>
        <v>0</v>
      </c>
      <c r="K24" s="1959" t="s">
        <v>677</v>
      </c>
      <c r="L24" s="783" t="s">
        <v>649</v>
      </c>
      <c r="M24" s="816">
        <f ca="1">INDIRECT("'数据-取费表'!Ak"&amp;$G$1)</f>
        <v>0</v>
      </c>
    </row>
    <row r="25" spans="1:25" s="2046" customFormat="1" ht="18" customHeight="1">
      <c r="A25" s="802" t="s">
        <v>1869</v>
      </c>
      <c r="B25" s="783" t="s">
        <v>2428</v>
      </c>
      <c r="C25" s="53">
        <f ca="1">ROUND(IF('数据-取费表'!B22&lt;=1,(C21+C22)*F26*F25/2,(C21+C22)*(POWER((1+F26),F25/2)-1)),0)</f>
        <v>0</v>
      </c>
      <c r="D25" s="2532" t="str">
        <f>IF(F25&lt;=1,"(建造成本+管理费用)×利率×(建设周期÷2)","(建造成本+管理费用)×((1+利率)^(建设周期÷2)-1)")</f>
        <v>(建造成本+管理费用)×((1+利率)^(建设周期÷2)-1)</v>
      </c>
      <c r="E25" s="783" t="s">
        <v>678</v>
      </c>
      <c r="F25" s="639">
        <f>'数据-取费表'!B20</f>
        <v>3</v>
      </c>
      <c r="G25" s="1576"/>
      <c r="H25" s="802" t="s">
        <v>1872</v>
      </c>
      <c r="I25" s="783" t="s">
        <v>679</v>
      </c>
      <c r="J25" s="53">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1843</v>
      </c>
      <c r="B26" s="783" t="s">
        <v>681</v>
      </c>
      <c r="C26" s="53">
        <f ca="1">ROUND(IF('数据-取费表'!B22&lt;=1,F23*F26*F25/2,F23*(POWER((1+F26),F25/2)-1)),4)</f>
        <v>1.4E-3</v>
      </c>
      <c r="D26" s="2532" t="str">
        <f>IF(F25&lt;=1,"销售费用×利率×(建设周期÷2)","销售费用×((1+利率)^(建设周期÷2)-1)")</f>
        <v>销售费用×((1+利率)^(建设周期÷2)-1)</v>
      </c>
      <c r="E26" s="783" t="s">
        <v>682</v>
      </c>
      <c r="F26" s="818">
        <f ca="1">'数据-取费表'!B40</f>
        <v>4.7500000000000001E-2</v>
      </c>
      <c r="G26" s="1576"/>
      <c r="H26" s="802" t="s">
        <v>1873</v>
      </c>
      <c r="I26" s="783" t="s">
        <v>666</v>
      </c>
      <c r="J26" s="53">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1875</v>
      </c>
      <c r="B27" s="783" t="s">
        <v>684</v>
      </c>
      <c r="C27" s="53"/>
      <c r="D27" s="260" t="s">
        <v>685</v>
      </c>
      <c r="E27" s="1964"/>
      <c r="F27" s="56"/>
      <c r="G27" s="1575"/>
      <c r="H27" s="796" t="s">
        <v>1822</v>
      </c>
      <c r="I27" s="2843" t="s">
        <v>2812</v>
      </c>
      <c r="J27" s="798">
        <f ca="1">J7-J18</f>
        <v>0</v>
      </c>
      <c r="K27" s="1961" t="s">
        <v>700</v>
      </c>
      <c r="L27" s="1963"/>
      <c r="M27" s="819"/>
    </row>
    <row r="28" spans="1:25" ht="18" customHeight="1">
      <c r="A28" s="802" t="s">
        <v>1869</v>
      </c>
      <c r="B28" s="783" t="s">
        <v>2429</v>
      </c>
      <c r="C28" s="53">
        <f ca="1">ROUND((C21+C22)*F28,0)</f>
        <v>0</v>
      </c>
      <c r="D28" s="811" t="s">
        <v>701</v>
      </c>
      <c r="E28" s="794" t="s">
        <v>702</v>
      </c>
      <c r="F28" s="793">
        <f ca="1">INDIRECT("'数据-取费表'!q"&amp;$G$1)</f>
        <v>0</v>
      </c>
      <c r="G28" s="1575"/>
      <c r="H28" s="780" t="s">
        <v>1831</v>
      </c>
      <c r="I28" s="781" t="s">
        <v>703</v>
      </c>
      <c r="J28" s="782">
        <f ca="1">IF(J7&lt;&gt;0,ROUND(J27*(1-((1+M30)/(1+M28))^M29)/(M28-M30),0),0)</f>
        <v>0</v>
      </c>
      <c r="K28" s="813" t="s">
        <v>704</v>
      </c>
      <c r="L28" s="783" t="s">
        <v>705</v>
      </c>
      <c r="M28" s="793">
        <f ca="1">INDIRECT("'数据-取费表'!I"&amp;$G$1)</f>
        <v>0</v>
      </c>
    </row>
    <row r="29" spans="1:25" ht="18" customHeight="1">
      <c r="A29" s="802" t="s">
        <v>1843</v>
      </c>
      <c r="B29" s="783" t="s">
        <v>686</v>
      </c>
      <c r="C29" s="53">
        <f ca="1">ROUND(F23*F28,4)</f>
        <v>0</v>
      </c>
      <c r="D29" s="811" t="s">
        <v>706</v>
      </c>
      <c r="E29" s="805"/>
      <c r="F29" s="806"/>
      <c r="G29" s="1575"/>
      <c r="H29" s="785"/>
      <c r="I29" s="786"/>
      <c r="J29" s="787"/>
      <c r="K29" s="820" t="s">
        <v>707</v>
      </c>
      <c r="L29" s="783" t="s">
        <v>708</v>
      </c>
      <c r="M29" s="821">
        <f ca="1">INDIRECT("'数据-取费表'!ag"&amp;$G$1)</f>
        <v>0</v>
      </c>
    </row>
    <row r="30" spans="1:25" s="2046" customFormat="1" ht="18" customHeight="1">
      <c r="A30" s="802" t="s">
        <v>1876</v>
      </c>
      <c r="B30" s="783" t="s">
        <v>687</v>
      </c>
      <c r="C30" s="53">
        <f>ROUND(F30/(1+'数据-取费表'!C42),4)</f>
        <v>5.33E-2</v>
      </c>
      <c r="D30" s="811" t="s">
        <v>709</v>
      </c>
      <c r="E30" s="783" t="s">
        <v>649</v>
      </c>
      <c r="F30" s="808">
        <f>'数据-取费表'!B41</f>
        <v>5.6000000000000001E-2</v>
      </c>
      <c r="G30" s="1576"/>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1877</v>
      </c>
      <c r="B31" s="2502" t="s">
        <v>2813</v>
      </c>
      <c r="C31" s="2505">
        <f ca="1">ROUND((C21+C22+C25+C28)/(1-F23-C26-C29-C30),0)</f>
        <v>0</v>
      </c>
      <c r="D31" s="2506"/>
      <c r="E31" s="2507"/>
      <c r="F31" s="2508"/>
      <c r="G31" s="1576"/>
      <c r="H31" s="822" t="s">
        <v>1866</v>
      </c>
      <c r="I31" s="2844" t="s">
        <v>2814</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1">
        <f ca="1">ROUND(C33+C38+C39+C40,0)</f>
        <v>0</v>
      </c>
      <c r="D32" s="1803" t="s">
        <v>652</v>
      </c>
      <c r="E32" s="2448"/>
      <c r="F32" s="2452"/>
      <c r="G32" s="2044"/>
      <c r="H32" s="2047"/>
      <c r="I32" s="2048"/>
      <c r="J32" s="2049"/>
      <c r="K32" s="2050"/>
      <c r="L32" s="2051"/>
      <c r="M32" s="2052"/>
    </row>
    <row r="33" spans="1:18" ht="18" customHeight="1">
      <c r="A33" s="802" t="s">
        <v>1870</v>
      </c>
      <c r="B33" s="783" t="s">
        <v>656</v>
      </c>
      <c r="C33" s="53">
        <f ca="1">ROUND(IF(项目基本情况!B11="自然人",C8*F33/(1+'数据-取费表'!C42),C34+C35+C36),1)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1869</v>
      </c>
      <c r="B34" s="783" t="s">
        <v>660</v>
      </c>
      <c r="C34" s="53">
        <f ca="1">ROUND(C8*F34/(1+'数据-取费表'!C42),1)</f>
        <v>0</v>
      </c>
      <c r="D34" s="1959" t="s">
        <v>661</v>
      </c>
      <c r="E34" s="783" t="s">
        <v>649</v>
      </c>
      <c r="F34" s="808">
        <f>'数据-取费表'!B41</f>
        <v>5.6000000000000001E-2</v>
      </c>
      <c r="G34" s="2044"/>
      <c r="H34" s="2053"/>
      <c r="I34" s="2054"/>
      <c r="J34" s="2055"/>
      <c r="K34" s="2056"/>
      <c r="L34" s="2057"/>
      <c r="M34" s="2058"/>
    </row>
    <row r="35" spans="1:18" ht="18" customHeight="1">
      <c r="A35" s="802" t="s">
        <v>1843</v>
      </c>
      <c r="B35" s="783" t="s">
        <v>664</v>
      </c>
      <c r="C35" s="53">
        <f ca="1">IF(D35="按租金收入计税",ROUND(C8*F35/(1+'数据-取费表'!C42),1),IF(D35="按房产原值计税",ROUND(C31*F35*0.7,1),INDIRECT("'数据-取费表'!Aj"&amp;$G$1)))</f>
        <v>0</v>
      </c>
      <c r="D35" s="810" t="s">
        <v>1677</v>
      </c>
      <c r="E35" s="783" t="s">
        <v>649</v>
      </c>
      <c r="F35" s="808">
        <f>IF(D35="按租金收入计税",'数据-取费表'!B51,'数据-取费表'!B50)</f>
        <v>1.2E-2</v>
      </c>
      <c r="G35" s="2044"/>
      <c r="H35" s="2059"/>
      <c r="I35" s="2059"/>
      <c r="J35" s="2059"/>
      <c r="K35" s="2060"/>
      <c r="L35" s="2059"/>
      <c r="M35" s="2059"/>
    </row>
    <row r="36" spans="1:18" ht="18" customHeight="1">
      <c r="A36" s="812" t="s">
        <v>1874</v>
      </c>
      <c r="B36" s="340" t="s">
        <v>668</v>
      </c>
      <c r="C36" s="54">
        <f ca="1">ROUND(F36*F37/10000,1)</f>
        <v>0</v>
      </c>
      <c r="D36" s="813" t="s">
        <v>669</v>
      </c>
      <c r="E36" s="783" t="s">
        <v>670</v>
      </c>
      <c r="F36" s="639">
        <f>'数据-取费表'!B52</f>
        <v>8</v>
      </c>
      <c r="G36" s="2044"/>
      <c r="H36" s="2047"/>
      <c r="I36" s="3477"/>
      <c r="J36" s="2061"/>
      <c r="K36" s="2062"/>
      <c r="L36" s="2061"/>
      <c r="M36" s="2061"/>
    </row>
    <row r="37" spans="1:18" ht="18" customHeight="1">
      <c r="A37" s="814"/>
      <c r="B37" s="792"/>
      <c r="C37" s="69"/>
      <c r="D37" s="815"/>
      <c r="E37" s="783" t="s">
        <v>674</v>
      </c>
      <c r="F37" s="784">
        <f ca="1">INDIRECT("'数据-取费表'!r"&amp;$G$1)</f>
        <v>0</v>
      </c>
      <c r="G37" s="2044"/>
      <c r="H37" s="2047"/>
      <c r="I37" s="3477"/>
      <c r="J37" s="2059"/>
      <c r="K37" s="2060"/>
      <c r="L37" s="2059"/>
      <c r="M37" s="2059"/>
    </row>
    <row r="38" spans="1:18" ht="18" customHeight="1">
      <c r="A38" s="802" t="s">
        <v>1871</v>
      </c>
      <c r="B38" s="783" t="s">
        <v>676</v>
      </c>
      <c r="C38" s="53">
        <f ca="1">ROUND(C31*F38,1)</f>
        <v>0</v>
      </c>
      <c r="D38" s="1959" t="s">
        <v>691</v>
      </c>
      <c r="E38" s="783" t="s">
        <v>649</v>
      </c>
      <c r="F38" s="816">
        <f ca="1">INDIRECT("'数据-取费表'!Ak"&amp;$G$1)</f>
        <v>0</v>
      </c>
      <c r="G38" s="2044"/>
      <c r="H38" s="2059"/>
      <c r="I38" s="2063"/>
      <c r="J38" s="1970"/>
      <c r="K38" s="2064"/>
      <c r="L38" s="2059"/>
      <c r="M38" s="2059"/>
    </row>
    <row r="39" spans="1:18" ht="18" customHeight="1">
      <c r="A39" s="802" t="s">
        <v>1872</v>
      </c>
      <c r="B39" s="783" t="s">
        <v>679</v>
      </c>
      <c r="C39" s="53">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1" t="s">
        <v>1873</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7"/>
      <c r="D41" s="1348"/>
      <c r="E41" s="1348"/>
      <c r="F41" s="1349"/>
      <c r="G41" s="2044"/>
      <c r="H41" s="2044"/>
      <c r="I41" s="2044"/>
      <c r="J41" s="2044"/>
      <c r="K41" s="2065"/>
      <c r="L41" s="2044"/>
      <c r="M41" s="2044"/>
    </row>
    <row r="42" spans="1:18" ht="18" customHeight="1">
      <c r="A42" s="802" t="s">
        <v>1870</v>
      </c>
      <c r="B42" s="834" t="s">
        <v>693</v>
      </c>
      <c r="C42" s="828">
        <f ca="1">C7-C32</f>
        <v>0</v>
      </c>
      <c r="D42" s="1961" t="s">
        <v>694</v>
      </c>
      <c r="E42" s="1963"/>
      <c r="F42" s="819"/>
      <c r="G42" s="2044"/>
      <c r="H42" s="2044"/>
      <c r="I42" s="2044"/>
      <c r="J42" s="2044"/>
      <c r="K42" s="2065"/>
      <c r="L42" s="2044"/>
      <c r="M42" s="2044"/>
    </row>
    <row r="43" spans="1:18" ht="18" customHeight="1">
      <c r="A43" s="802" t="s">
        <v>1871</v>
      </c>
      <c r="B43" s="834" t="s">
        <v>711</v>
      </c>
      <c r="C43" s="835">
        <f ca="1">ROUND(C15*F43,0)</f>
        <v>0</v>
      </c>
      <c r="D43" s="1350" t="s">
        <v>712</v>
      </c>
      <c r="E43" s="2941" t="s">
        <v>2951</v>
      </c>
      <c r="F43" s="2942">
        <f ca="1">INDIRECT("'数据-取费表'!j"&amp;$G$1)</f>
        <v>0</v>
      </c>
      <c r="G43" s="2044"/>
      <c r="H43" s="2044"/>
      <c r="I43" s="2044"/>
      <c r="J43" s="2044"/>
      <c r="K43" s="2065"/>
      <c r="L43" s="2044"/>
      <c r="M43" s="2044"/>
    </row>
    <row r="44" spans="1:18" ht="18" customHeight="1">
      <c r="A44" s="802" t="s">
        <v>1872</v>
      </c>
      <c r="B44" s="834" t="s">
        <v>713</v>
      </c>
      <c r="C44" s="1351">
        <f ca="1">C42-C43</f>
        <v>0</v>
      </c>
      <c r="D44" s="462" t="s">
        <v>714</v>
      </c>
      <c r="E44" s="463"/>
      <c r="F44" s="464"/>
      <c r="G44" s="2044"/>
      <c r="H44" s="2044"/>
      <c r="I44" s="2044"/>
      <c r="J44" s="2044"/>
      <c r="K44" s="2065"/>
      <c r="L44" s="2044"/>
      <c r="M44" s="2044"/>
    </row>
    <row r="45" spans="1:18" ht="18" customHeight="1">
      <c r="A45" s="802" t="s">
        <v>1873</v>
      </c>
      <c r="B45" s="1350" t="s">
        <v>715</v>
      </c>
      <c r="C45" s="2870">
        <f ca="1">ROUND(-PV(F45,F46,C44,0),0)</f>
        <v>0</v>
      </c>
      <c r="D45" s="1352" t="s">
        <v>716</v>
      </c>
      <c r="E45" s="805" t="s">
        <v>717</v>
      </c>
      <c r="F45" s="829">
        <f ca="1">INDIRECT("'数据-取费表'!h"&amp;$G$1)</f>
        <v>0</v>
      </c>
      <c r="G45" s="2044"/>
      <c r="H45" s="2044"/>
      <c r="I45" s="2044"/>
      <c r="J45" s="2044"/>
      <c r="K45" s="2065"/>
      <c r="L45" s="2044"/>
      <c r="M45" s="2044"/>
    </row>
    <row r="46" spans="1:18" ht="18" customHeight="1" thickBot="1">
      <c r="A46" s="830"/>
      <c r="B46" s="1353"/>
      <c r="C46" s="1354"/>
      <c r="D46" s="1355"/>
      <c r="E46" s="2943" t="s">
        <v>2954</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2334</v>
      </c>
      <c r="J47" s="2340"/>
      <c r="K47" s="2341"/>
      <c r="L47" s="2957" t="str">
        <f ca="1">IF(M48="住宅",0,IF(L49&gt;J52,L61,J61))</f>
        <v>0</v>
      </c>
      <c r="O47" s="2355" t="s">
        <v>2401</v>
      </c>
      <c r="P47" s="1575"/>
      <c r="Q47" s="1586"/>
      <c r="R47" s="1575"/>
    </row>
    <row r="48" spans="1:18" s="2041" customFormat="1" ht="18" customHeight="1" thickBot="1">
      <c r="A48" s="2066"/>
      <c r="C48" s="2069"/>
      <c r="D48" s="2070"/>
      <c r="E48" s="2070"/>
      <c r="F48" s="2071"/>
      <c r="G48" s="2072"/>
      <c r="I48" s="2948" t="s">
        <v>2335</v>
      </c>
      <c r="J48" s="2342"/>
      <c r="K48" s="2954" t="s">
        <v>2340</v>
      </c>
      <c r="L48" s="2958">
        <f ca="1">INDIRECT("'数据-取费表'!d"&amp;$G$1)</f>
        <v>0</v>
      </c>
      <c r="M48" s="2940" t="str">
        <f>IF(ISNUMBER(FIND("住宅",C1)),"住宅","非住宅")</f>
        <v>非住宅</v>
      </c>
      <c r="O48" s="2356" t="s">
        <v>2366</v>
      </c>
      <c r="P48" s="2357" t="s">
        <v>2367</v>
      </c>
      <c r="Q48" s="2358" t="s">
        <v>2368</v>
      </c>
      <c r="R48" s="2357" t="s">
        <v>2369</v>
      </c>
    </row>
    <row r="49" spans="1:18" s="2041" customFormat="1" ht="18" customHeight="1" thickBot="1">
      <c r="A49" s="2066"/>
      <c r="D49" s="2073"/>
      <c r="E49" s="2074"/>
      <c r="F49" s="2071"/>
      <c r="G49" s="2072"/>
      <c r="H49" s="2075"/>
      <c r="I49" s="2944" t="s">
        <v>2336</v>
      </c>
      <c r="J49" s="2343"/>
      <c r="K49" s="2955" t="s">
        <v>2342</v>
      </c>
      <c r="L49" s="1890">
        <f ca="1">INDIRECT("'数据-取费表'!f"&amp;$G$1)</f>
        <v>0</v>
      </c>
      <c r="O49" s="2359" t="s">
        <v>2370</v>
      </c>
      <c r="P49" s="2360" t="s">
        <v>2396</v>
      </c>
      <c r="Q49" s="2361">
        <f ca="1">C41+J31</f>
        <v>0</v>
      </c>
      <c r="R49" s="2360" t="s">
        <v>2371</v>
      </c>
    </row>
    <row r="50" spans="1:18" s="2041" customFormat="1" ht="18" customHeight="1" thickBot="1">
      <c r="A50" s="2066"/>
      <c r="D50" s="2076"/>
      <c r="E50" s="2076"/>
      <c r="F50" s="2070"/>
      <c r="G50" s="2077"/>
      <c r="H50" s="2075"/>
      <c r="I50" s="2944" t="s">
        <v>2337</v>
      </c>
      <c r="J50" s="2344"/>
      <c r="K50" s="2956" t="s">
        <v>2343</v>
      </c>
      <c r="L50" s="2345"/>
      <c r="O50" s="2359" t="s">
        <v>2372</v>
      </c>
      <c r="P50" s="2360" t="s">
        <v>2397</v>
      </c>
      <c r="Q50" s="2361" t="str">
        <f ca="1">J61</f>
        <v>0</v>
      </c>
      <c r="R50" s="2360" t="s">
        <v>2373</v>
      </c>
    </row>
    <row r="51" spans="1:18" s="2041" customFormat="1" ht="18" customHeight="1" thickBot="1">
      <c r="A51" s="2078"/>
      <c r="D51" s="2076"/>
      <c r="E51" s="2076"/>
      <c r="F51" s="2067"/>
      <c r="H51" s="2075"/>
      <c r="I51" s="2944" t="s">
        <v>2338</v>
      </c>
      <c r="J51" s="2952">
        <f>SUMPRODUCT((I64:I66=J48)*(J63:L63=J49)*(J64:L66))</f>
        <v>0</v>
      </c>
      <c r="K51" s="2956" t="s">
        <v>2344</v>
      </c>
      <c r="L51" s="2345"/>
      <c r="O51" s="2362" t="s">
        <v>2374</v>
      </c>
      <c r="P51" s="2360" t="s">
        <v>2398</v>
      </c>
      <c r="Q51" s="2361">
        <f ca="1">C31</f>
        <v>0</v>
      </c>
      <c r="R51" s="2360" t="s">
        <v>2371</v>
      </c>
    </row>
    <row r="52" spans="1:18" s="2041" customFormat="1" ht="18" customHeight="1" thickBot="1">
      <c r="A52" s="2078"/>
      <c r="F52" s="2067"/>
      <c r="I52" s="2949" t="s">
        <v>2339</v>
      </c>
      <c r="J52" s="2953">
        <f>IF(J50="",J51,J50+J51-YEAR('数据-取费表'!B3))</f>
        <v>0</v>
      </c>
      <c r="K52" s="2944" t="s">
        <v>2345</v>
      </c>
      <c r="L52" s="2959">
        <f ca="1">C45</f>
        <v>0</v>
      </c>
      <c r="O52" s="2362" t="s">
        <v>2375</v>
      </c>
      <c r="P52" s="2360" t="s">
        <v>2376</v>
      </c>
      <c r="Q52" s="2363" t="e">
        <f ca="1">J59</f>
        <v>#VALUE!</v>
      </c>
      <c r="R52" s="2364"/>
    </row>
    <row r="53" spans="1:18" s="2041" customFormat="1" ht="18" customHeight="1" thickBot="1">
      <c r="A53" s="2078"/>
      <c r="F53" s="2067"/>
      <c r="I53" s="2950" t="s">
        <v>2412</v>
      </c>
      <c r="J53" s="2346"/>
      <c r="K53" s="2950" t="s">
        <v>2411</v>
      </c>
      <c r="L53" s="2346"/>
      <c r="O53" s="2362" t="s">
        <v>2377</v>
      </c>
      <c r="P53" s="2360" t="s">
        <v>2378</v>
      </c>
      <c r="Q53" s="2363">
        <f>J53</f>
        <v>0</v>
      </c>
      <c r="R53" s="2364"/>
    </row>
    <row r="54" spans="1:18" s="2041" customFormat="1" ht="29.25" thickBot="1">
      <c r="A54" s="2078"/>
      <c r="I54" s="2951" t="s">
        <v>2967</v>
      </c>
      <c r="J54" s="3028">
        <f ca="1">IF(M48="住宅",MAX(J52,L49-'数据-取费表'!B20),MIN(J52,L49-'数据-取费表'!B20))</f>
        <v>-3</v>
      </c>
      <c r="K54" s="3482"/>
      <c r="L54" s="3483"/>
      <c r="O54" s="2362" t="s">
        <v>2379</v>
      </c>
      <c r="P54" s="2360" t="s">
        <v>2380</v>
      </c>
      <c r="Q54" s="2361">
        <f ca="1">J54</f>
        <v>-3</v>
      </c>
      <c r="R54" s="2360" t="s">
        <v>2381</v>
      </c>
    </row>
    <row r="55" spans="1:18" s="2041" customFormat="1" ht="18" customHeight="1" thickBot="1">
      <c r="A55" s="2078"/>
      <c r="I55" s="29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60"/>
      <c r="K55" s="2961"/>
      <c r="O55" s="2359" t="s">
        <v>2382</v>
      </c>
      <c r="P55" s="2360" t="s">
        <v>2399</v>
      </c>
      <c r="Q55" s="2361">
        <f ca="1">Q49+Q50</f>
        <v>0</v>
      </c>
      <c r="R55" s="2364" t="s">
        <v>2383</v>
      </c>
    </row>
    <row r="56" spans="1:18" s="2041" customFormat="1" ht="16.5" thickBot="1">
      <c r="A56" s="2078"/>
      <c r="B56" s="2079"/>
      <c r="C56" s="2079"/>
      <c r="I56" s="2962" t="s">
        <v>2346</v>
      </c>
      <c r="J56" s="2927" t="e">
        <f ca="1">ROUND(IF(J48="钢混",J58/J51,1-(1-2%)*(J51-J58)/J51),3)</f>
        <v>#VALUE!</v>
      </c>
      <c r="K56" s="2963" t="s">
        <v>2347</v>
      </c>
      <c r="L56" s="2347"/>
      <c r="O56" s="2365" t="s">
        <v>2402</v>
      </c>
      <c r="P56" s="1575"/>
      <c r="Q56" s="1586"/>
      <c r="R56" s="1575"/>
    </row>
    <row r="57" spans="1:18" s="2041" customFormat="1" ht="43.5" thickBot="1">
      <c r="A57" s="2078"/>
      <c r="B57" s="2079"/>
      <c r="C57" s="2079"/>
      <c r="I57" s="2964" t="s">
        <v>2348</v>
      </c>
      <c r="J57" s="2974" t="s">
        <v>1675</v>
      </c>
      <c r="K57" s="2944" t="s">
        <v>2353</v>
      </c>
      <c r="L57" s="1890">
        <f ca="1">IF(L49&lt;J52,"——",L49-J52)</f>
        <v>0</v>
      </c>
      <c r="O57" s="2356" t="s">
        <v>2366</v>
      </c>
      <c r="P57" s="2357" t="s">
        <v>2367</v>
      </c>
      <c r="Q57" s="2358" t="s">
        <v>2368</v>
      </c>
      <c r="R57" s="2357" t="s">
        <v>2369</v>
      </c>
    </row>
    <row r="58" spans="1:18" s="2041" customFormat="1" ht="29.25" thickBot="1">
      <c r="A58" s="2078"/>
      <c r="B58" s="2079"/>
      <c r="C58" s="2079"/>
      <c r="I58" s="2965" t="s">
        <v>2349</v>
      </c>
      <c r="J58" s="2966" t="str">
        <f ca="1">IF(OR(M48="住宅",J52&lt;L49,J57="是"),"——",J52-L49)</f>
        <v>——</v>
      </c>
      <c r="K58" s="2944" t="s">
        <v>2354</v>
      </c>
      <c r="L58" s="1890">
        <f ca="1">IF(L49&lt;J52,"——",IF(L56="比较法",L50,IF(L56="基准地价",L51,L52)))</f>
        <v>0</v>
      </c>
      <c r="O58" s="2359" t="s">
        <v>2370</v>
      </c>
      <c r="P58" s="2360" t="s">
        <v>2396</v>
      </c>
      <c r="Q58" s="2361">
        <f ca="1">C41+J31</f>
        <v>0</v>
      </c>
      <c r="R58" s="2360" t="s">
        <v>2371</v>
      </c>
    </row>
    <row r="59" spans="1:18" s="2041" customFormat="1" ht="29.25" thickBot="1">
      <c r="A59" s="2078"/>
      <c r="B59" s="2079"/>
      <c r="C59" s="2079"/>
      <c r="I59" s="2965" t="s">
        <v>2350</v>
      </c>
      <c r="J59" s="2928" t="e">
        <f ca="1">IF(J56&lt;0.4,0.4,J56)</f>
        <v>#VALUE!</v>
      </c>
      <c r="K59" s="2944" t="s">
        <v>2355</v>
      </c>
      <c r="L59" s="1890">
        <f ca="1">IF(ISERROR(POWER(1+L53,L48-L49)*(POWER(1+L53,L49)-1)/(POWER(1+L53,L48)-1)),0,POWER(1+L53,L48-L49)*(POWER(1+L53,L49)-1)/(POWER(1+L53,L48)-1))</f>
        <v>0</v>
      </c>
      <c r="O59" s="2359" t="s">
        <v>2372</v>
      </c>
      <c r="P59" s="2360" t="s">
        <v>2403</v>
      </c>
      <c r="Q59" s="2361" t="e">
        <f ca="1">L61</f>
        <v>#DIV/0!</v>
      </c>
      <c r="R59" s="2364" t="s">
        <v>2405</v>
      </c>
    </row>
    <row r="60" spans="1:18" s="2041" customFormat="1" ht="29.25" thickBot="1">
      <c r="A60" s="2078"/>
      <c r="B60" s="2079"/>
      <c r="C60" s="2079"/>
      <c r="I60" s="2965" t="s">
        <v>2351</v>
      </c>
      <c r="J60" s="2966" t="str">
        <f ca="1">IF(OR(M48="住宅",J52&lt;L49,J57="是"),"——",ROUND(C30*J59,0))</f>
        <v>——</v>
      </c>
      <c r="K60" s="2944" t="s">
        <v>2356</v>
      </c>
      <c r="L60" s="1890">
        <f ca="1">IF(ISERROR(POWER(1+L53,L48-J52)*(POWER(1+L53,J52)-1)/(POWER(1+L53,L48)-1)),0,POWER(1+L53,L48-J52)*(POWER(1+L53,J52)-1)/(POWER(1+L53,L48)-1))</f>
        <v>0</v>
      </c>
      <c r="O60" s="2362" t="s">
        <v>2374</v>
      </c>
      <c r="P60" s="2360" t="s">
        <v>2404</v>
      </c>
      <c r="Q60" s="2361">
        <f>IF(L56="比较法",L50,IF(L56="基准地价",L51,0))</f>
        <v>0</v>
      </c>
      <c r="R60" s="2360" t="s">
        <v>2371</v>
      </c>
    </row>
    <row r="61" spans="1:18" s="2041" customFormat="1" ht="15.75" thickBot="1">
      <c r="A61" s="2078"/>
      <c r="B61" s="2079"/>
      <c r="C61" s="2079"/>
      <c r="I61" s="2967" t="s">
        <v>2352</v>
      </c>
      <c r="J61" s="2968" t="str">
        <f ca="1">IF(OR(M48="住宅",J52&lt;L49,J57="是"),"0",ROUND(J60/(1+J53)^J54,0))</f>
        <v>0</v>
      </c>
      <c r="K61" s="2969" t="s">
        <v>2357</v>
      </c>
      <c r="L61" s="2968" t="e">
        <f ca="1">IF(OR(M48="住宅",L49&lt;J52),0,ROUND(L58*(L59/L60-1),0))</f>
        <v>#DIV/0!</v>
      </c>
      <c r="O61" s="2362" t="s">
        <v>2375</v>
      </c>
      <c r="P61" s="2360" t="s">
        <v>2384</v>
      </c>
      <c r="Q61" s="2363">
        <f>L53</f>
        <v>0</v>
      </c>
      <c r="R61" s="2364"/>
    </row>
    <row r="62" spans="1:18" s="2041" customFormat="1" ht="20.25" thickBot="1">
      <c r="A62" s="2078"/>
      <c r="B62" s="2079"/>
      <c r="C62" s="2079"/>
      <c r="K62" s="2068"/>
      <c r="O62" s="2362" t="s">
        <v>2377</v>
      </c>
      <c r="P62" s="2360" t="s">
        <v>2385</v>
      </c>
      <c r="Q62" s="2361">
        <f ca="1">L59</f>
        <v>0</v>
      </c>
      <c r="R62" s="2364" t="s">
        <v>2386</v>
      </c>
    </row>
    <row r="63" spans="1:18" s="2041" customFormat="1" ht="20.25" thickBot="1">
      <c r="A63" s="2078"/>
      <c r="B63" s="2079"/>
      <c r="C63" s="2079"/>
      <c r="I63" s="2970" t="s">
        <v>2358</v>
      </c>
      <c r="J63" s="2971" t="s">
        <v>2359</v>
      </c>
      <c r="K63" s="2971" t="s">
        <v>2360</v>
      </c>
      <c r="L63" s="2971" t="s">
        <v>2341</v>
      </c>
      <c r="M63" s="2972" t="s">
        <v>2932</v>
      </c>
      <c r="O63" s="2362" t="s">
        <v>2379</v>
      </c>
      <c r="P63" s="2360" t="s">
        <v>2387</v>
      </c>
      <c r="Q63" s="2361">
        <f ca="1">L60</f>
        <v>0</v>
      </c>
      <c r="R63" s="2364" t="s">
        <v>2388</v>
      </c>
    </row>
    <row r="64" spans="1:18" s="2041" customFormat="1" ht="15.75" thickBot="1">
      <c r="A64" s="2078"/>
      <c r="B64" s="2079"/>
      <c r="C64" s="2079"/>
      <c r="I64" s="2970" t="s">
        <v>2361</v>
      </c>
      <c r="J64" s="2971">
        <v>70</v>
      </c>
      <c r="K64" s="2971">
        <v>50</v>
      </c>
      <c r="L64" s="2971">
        <v>80</v>
      </c>
      <c r="M64" s="2973">
        <v>0.02</v>
      </c>
      <c r="O64" s="2359" t="s">
        <v>2382</v>
      </c>
      <c r="P64" s="2360" t="s">
        <v>2399</v>
      </c>
      <c r="Q64" s="2361" t="e">
        <f ca="1">Q58+Q59</f>
        <v>#DIV/0!</v>
      </c>
      <c r="R64" s="2364" t="s">
        <v>2383</v>
      </c>
    </row>
    <row r="65" spans="1:18" s="2041" customFormat="1" ht="16.5" thickBot="1">
      <c r="A65" s="2078"/>
      <c r="B65" s="2079"/>
      <c r="C65" s="2079"/>
      <c r="I65" s="2970" t="s">
        <v>2362</v>
      </c>
      <c r="J65" s="2971">
        <v>50</v>
      </c>
      <c r="K65" s="2971">
        <v>35</v>
      </c>
      <c r="L65" s="2971">
        <v>60</v>
      </c>
      <c r="M65" s="845">
        <v>0</v>
      </c>
      <c r="O65" s="2365" t="s">
        <v>2406</v>
      </c>
      <c r="P65" s="1575"/>
      <c r="Q65" s="1586"/>
      <c r="R65" s="1575"/>
    </row>
    <row r="66" spans="1:18" s="2041" customFormat="1" ht="15.75" thickBot="1">
      <c r="A66" s="2078"/>
      <c r="B66" s="2079"/>
      <c r="C66" s="2079"/>
      <c r="I66" s="2970" t="s">
        <v>2363</v>
      </c>
      <c r="J66" s="2971">
        <v>40</v>
      </c>
      <c r="K66" s="2971">
        <v>30</v>
      </c>
      <c r="L66" s="2971">
        <v>50</v>
      </c>
      <c r="M66" s="2973">
        <v>0.02</v>
      </c>
      <c r="O66" s="2356" t="s">
        <v>2366</v>
      </c>
      <c r="P66" s="2357" t="s">
        <v>2367</v>
      </c>
      <c r="Q66" s="2358" t="s">
        <v>2368</v>
      </c>
      <c r="R66" s="2357" t="s">
        <v>2369</v>
      </c>
    </row>
    <row r="67" spans="1:18" s="2041" customFormat="1" ht="15.75" thickBot="1">
      <c r="A67" s="2078"/>
      <c r="B67" s="2079"/>
      <c r="C67" s="2079"/>
      <c r="K67" s="2068"/>
      <c r="O67" s="2359" t="s">
        <v>2370</v>
      </c>
      <c r="P67" s="2360" t="s">
        <v>2396</v>
      </c>
      <c r="Q67" s="2361">
        <f ca="1">C41+J31</f>
        <v>0</v>
      </c>
      <c r="R67" s="2360" t="s">
        <v>2371</v>
      </c>
    </row>
    <row r="68" spans="1:18" s="2041" customFormat="1" ht="20.25" thickBot="1">
      <c r="A68" s="2078"/>
      <c r="B68" s="2079"/>
      <c r="C68" s="2079"/>
      <c r="K68" s="2068"/>
      <c r="O68" s="2359" t="s">
        <v>2372</v>
      </c>
      <c r="P68" s="2360" t="s">
        <v>2403</v>
      </c>
      <c r="Q68" s="2361" t="e">
        <f ca="1">L61</f>
        <v>#DIV/0!</v>
      </c>
      <c r="R68" s="2364" t="s">
        <v>2405</v>
      </c>
    </row>
    <row r="69" spans="1:18" s="2041" customFormat="1" ht="21.75" thickBot="1">
      <c r="A69" s="2078"/>
      <c r="B69" s="2079"/>
      <c r="C69" s="2079"/>
      <c r="K69" s="2068"/>
      <c r="O69" s="2362" t="s">
        <v>2374</v>
      </c>
      <c r="P69" s="2360" t="s">
        <v>2404</v>
      </c>
      <c r="Q69" s="2366">
        <f ca="1">L52</f>
        <v>0</v>
      </c>
      <c r="R69" s="2367" t="s">
        <v>2407</v>
      </c>
    </row>
    <row r="70" spans="1:18" s="2041" customFormat="1" ht="20.25" thickBot="1">
      <c r="A70" s="2078"/>
      <c r="B70" s="2079"/>
      <c r="C70" s="2079"/>
      <c r="K70" s="2068"/>
      <c r="O70" s="2362" t="s">
        <v>2375</v>
      </c>
      <c r="P70" s="2368" t="s">
        <v>2389</v>
      </c>
      <c r="Q70" s="2361">
        <f ca="1">ROUND(Q71-Q72*Q73,0)</f>
        <v>0</v>
      </c>
      <c r="R70" s="2364"/>
    </row>
    <row r="71" spans="1:18" s="2041" customFormat="1" ht="15.75" thickBot="1">
      <c r="A71" s="2078"/>
      <c r="B71" s="2079"/>
      <c r="C71" s="2079"/>
      <c r="K71" s="2068"/>
      <c r="O71" s="2362" t="s">
        <v>2390</v>
      </c>
      <c r="P71" s="2368" t="s">
        <v>2391</v>
      </c>
      <c r="Q71" s="2361">
        <f ca="1">C42</f>
        <v>0</v>
      </c>
      <c r="R71" s="2360" t="s">
        <v>2371</v>
      </c>
    </row>
    <row r="72" spans="1:18" s="2041" customFormat="1" ht="15.75" thickBot="1">
      <c r="A72" s="2078"/>
      <c r="B72" s="2079"/>
      <c r="C72" s="2079"/>
      <c r="K72" s="2068"/>
      <c r="O72" s="2362" t="s">
        <v>2392</v>
      </c>
      <c r="P72" s="2368" t="s">
        <v>2393</v>
      </c>
      <c r="Q72" s="2361">
        <f ca="1">C15</f>
        <v>0</v>
      </c>
      <c r="R72" s="2360" t="s">
        <v>2371</v>
      </c>
    </row>
    <row r="73" spans="1:18" s="2041" customFormat="1" ht="15.75" thickBot="1">
      <c r="A73" s="2078"/>
      <c r="B73" s="2079"/>
      <c r="C73" s="2079"/>
      <c r="K73" s="2068"/>
      <c r="O73" s="2362" t="s">
        <v>2394</v>
      </c>
      <c r="P73" s="2368" t="s">
        <v>2395</v>
      </c>
      <c r="Q73" s="2363">
        <f ca="1">F43</f>
        <v>0</v>
      </c>
      <c r="R73" s="2364"/>
    </row>
    <row r="74" spans="1:18" s="2041" customFormat="1" ht="15.75" thickBot="1">
      <c r="A74" s="2078"/>
      <c r="B74" s="2079"/>
      <c r="C74" s="2079"/>
      <c r="K74" s="2068"/>
      <c r="O74" s="2362" t="s">
        <v>2377</v>
      </c>
      <c r="P74" s="2360" t="s">
        <v>2384</v>
      </c>
      <c r="Q74" s="2363">
        <f>L53</f>
        <v>0</v>
      </c>
      <c r="R74" s="2364"/>
    </row>
    <row r="75" spans="1:18" s="2041" customFormat="1" ht="20.25" thickBot="1">
      <c r="A75" s="2078"/>
      <c r="B75" s="2079"/>
      <c r="C75" s="2079"/>
      <c r="K75" s="2068"/>
      <c r="O75" s="2362" t="s">
        <v>2379</v>
      </c>
      <c r="P75" s="2360" t="s">
        <v>2385</v>
      </c>
      <c r="Q75" s="2361">
        <f ca="1">L59</f>
        <v>0</v>
      </c>
      <c r="R75" s="2364" t="s">
        <v>2386</v>
      </c>
    </row>
    <row r="76" spans="1:18" s="2041" customFormat="1" ht="20.25" thickBot="1">
      <c r="A76" s="2078"/>
      <c r="B76" s="2079"/>
      <c r="C76" s="2079"/>
      <c r="K76" s="2068"/>
      <c r="O76" s="2362" t="s">
        <v>2408</v>
      </c>
      <c r="P76" s="2360" t="s">
        <v>2387</v>
      </c>
      <c r="Q76" s="2361">
        <f ca="1">L60</f>
        <v>0</v>
      </c>
      <c r="R76" s="2364" t="s">
        <v>2388</v>
      </c>
    </row>
    <row r="77" spans="1:18" s="2041" customFormat="1" ht="15.75" thickBot="1">
      <c r="A77" s="2078"/>
      <c r="B77" s="2079"/>
      <c r="C77" s="2079"/>
      <c r="K77" s="2068"/>
      <c r="O77" s="2359" t="s">
        <v>2382</v>
      </c>
      <c r="P77" s="2360" t="s">
        <v>2399</v>
      </c>
      <c r="Q77" s="2361" t="e">
        <f ca="1">Q67+Q68</f>
        <v>#DIV/0!</v>
      </c>
      <c r="R77" s="2364" t="s">
        <v>2383</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0" t="s">
        <v>2462</v>
      </c>
      <c r="B1" s="3501"/>
      <c r="C1" s="3502"/>
      <c r="D1" s="3503">
        <f>SUM(I10,I15,I20,I21,I23)</f>
        <v>0</v>
      </c>
      <c r="E1" s="3503"/>
      <c r="F1" s="3503"/>
      <c r="G1" s="3503"/>
      <c r="H1" s="3503"/>
      <c r="I1" s="3504"/>
    </row>
    <row r="2" spans="1:9">
      <c r="A2" s="3490" t="s">
        <v>2463</v>
      </c>
      <c r="B2" s="3491" t="s">
        <v>2464</v>
      </c>
      <c r="C2" s="3491"/>
      <c r="D2" s="2468" t="s">
        <v>2465</v>
      </c>
      <c r="E2" s="2468" t="s">
        <v>2466</v>
      </c>
      <c r="F2" s="2468" t="s">
        <v>2467</v>
      </c>
      <c r="G2" s="2468" t="s">
        <v>2468</v>
      </c>
      <c r="H2" s="2468" t="s">
        <v>2469</v>
      </c>
      <c r="I2" s="2469" t="s">
        <v>2470</v>
      </c>
    </row>
    <row r="3" spans="1:9">
      <c r="A3" s="3490"/>
      <c r="B3" s="3491" t="s">
        <v>2471</v>
      </c>
      <c r="C3" s="3491"/>
      <c r="D3" s="2470"/>
      <c r="E3" s="2468"/>
      <c r="F3" s="2471"/>
      <c r="G3" s="2471"/>
      <c r="H3" s="2472"/>
      <c r="I3" s="2473">
        <f>ROUND(D3*E3*F3*G3*H3/10000,0)</f>
        <v>0</v>
      </c>
    </row>
    <row r="4" spans="1:9">
      <c r="A4" s="3490"/>
      <c r="B4" s="3491" t="s">
        <v>2472</v>
      </c>
      <c r="C4" s="3491"/>
      <c r="D4" s="2470"/>
      <c r="E4" s="2468"/>
      <c r="F4" s="2471"/>
      <c r="G4" s="2471"/>
      <c r="H4" s="2472"/>
      <c r="I4" s="2473">
        <f t="shared" ref="I4:I9" si="0">ROUND(D4*E4*F4*G4*H4/10000,0)</f>
        <v>0</v>
      </c>
    </row>
    <row r="5" spans="1:9">
      <c r="A5" s="3490"/>
      <c r="B5" s="3491" t="s">
        <v>2473</v>
      </c>
      <c r="C5" s="3491"/>
      <c r="D5" s="2470"/>
      <c r="E5" s="2468"/>
      <c r="F5" s="2471"/>
      <c r="G5" s="2471"/>
      <c r="H5" s="2472"/>
      <c r="I5" s="2473">
        <f t="shared" si="0"/>
        <v>0</v>
      </c>
    </row>
    <row r="6" spans="1:9">
      <c r="A6" s="3490"/>
      <c r="B6" s="3491" t="s">
        <v>2474</v>
      </c>
      <c r="C6" s="3491"/>
      <c r="D6" s="2470"/>
      <c r="E6" s="2468"/>
      <c r="F6" s="2471"/>
      <c r="G6" s="2471"/>
      <c r="H6" s="2472"/>
      <c r="I6" s="2473">
        <f t="shared" si="0"/>
        <v>0</v>
      </c>
    </row>
    <row r="7" spans="1:9">
      <c r="A7" s="3490"/>
      <c r="B7" s="3491" t="s">
        <v>2475</v>
      </c>
      <c r="C7" s="3491"/>
      <c r="D7" s="2470"/>
      <c r="E7" s="2468"/>
      <c r="F7" s="2471"/>
      <c r="G7" s="2471"/>
      <c r="H7" s="2472"/>
      <c r="I7" s="2473">
        <f t="shared" si="0"/>
        <v>0</v>
      </c>
    </row>
    <row r="8" spans="1:9">
      <c r="A8" s="3490"/>
      <c r="B8" s="3491" t="s">
        <v>2476</v>
      </c>
      <c r="C8" s="3491"/>
      <c r="D8" s="2470"/>
      <c r="E8" s="2468"/>
      <c r="F8" s="2471"/>
      <c r="G8" s="2471"/>
      <c r="H8" s="2472"/>
      <c r="I8" s="2473">
        <f t="shared" si="0"/>
        <v>0</v>
      </c>
    </row>
    <row r="9" spans="1:9">
      <c r="A9" s="3490"/>
      <c r="B9" s="3491" t="s">
        <v>2477</v>
      </c>
      <c r="C9" s="3491"/>
      <c r="D9" s="2470"/>
      <c r="E9" s="2468"/>
      <c r="F9" s="2471"/>
      <c r="G9" s="2471"/>
      <c r="H9" s="2472"/>
      <c r="I9" s="2473">
        <f t="shared" si="0"/>
        <v>0</v>
      </c>
    </row>
    <row r="10" spans="1:9">
      <c r="A10" s="3490"/>
      <c r="B10" s="3492" t="s">
        <v>2478</v>
      </c>
      <c r="C10" s="3492"/>
      <c r="D10" s="2474">
        <v>527</v>
      </c>
      <c r="E10" s="2474" t="e">
        <f>ROUND(D1*10000/D10/H9,0)</f>
        <v>#DIV/0!</v>
      </c>
      <c r="F10" s="2475"/>
      <c r="G10" s="2475"/>
      <c r="H10" s="2476"/>
      <c r="I10" s="2477">
        <f>SUM(I3:I9)</f>
        <v>0</v>
      </c>
    </row>
    <row r="11" spans="1:9" ht="14.25">
      <c r="A11" s="3490" t="s">
        <v>2479</v>
      </c>
      <c r="B11" s="3491" t="s">
        <v>2480</v>
      </c>
      <c r="C11" s="3491"/>
      <c r="D11" s="2470" t="s">
        <v>2481</v>
      </c>
      <c r="E11" s="2470" t="s">
        <v>2482</v>
      </c>
      <c r="F11" s="2471" t="s">
        <v>2483</v>
      </c>
      <c r="G11" s="2471" t="s">
        <v>2484</v>
      </c>
      <c r="H11" s="2478" t="s">
        <v>2485</v>
      </c>
      <c r="I11" s="2469" t="s">
        <v>2486</v>
      </c>
    </row>
    <row r="12" spans="1:9">
      <c r="A12" s="3490"/>
      <c r="B12" s="3491" t="s">
        <v>2487</v>
      </c>
      <c r="C12" s="3491"/>
      <c r="D12" s="2470"/>
      <c r="E12" s="2470"/>
      <c r="F12" s="2471"/>
      <c r="G12" s="2472"/>
      <c r="H12" s="2479"/>
      <c r="I12" s="2469">
        <f>ROUND(D12*E12*F12*G12/10000,0)</f>
        <v>0</v>
      </c>
    </row>
    <row r="13" spans="1:9">
      <c r="A13" s="3490"/>
      <c r="B13" s="3491" t="s">
        <v>2488</v>
      </c>
      <c r="C13" s="3491"/>
      <c r="D13" s="2470"/>
      <c r="E13" s="2470"/>
      <c r="F13" s="2471"/>
      <c r="G13" s="2472"/>
      <c r="H13" s="2479"/>
      <c r="I13" s="2469">
        <f>ROUND(D13*E13*F13*G13/10000,0)</f>
        <v>0</v>
      </c>
    </row>
    <row r="14" spans="1:9">
      <c r="A14" s="3490"/>
      <c r="B14" s="3491" t="s">
        <v>2489</v>
      </c>
      <c r="C14" s="3491"/>
      <c r="D14" s="2470"/>
      <c r="E14" s="2470"/>
      <c r="F14" s="2471"/>
      <c r="G14" s="2472"/>
      <c r="H14" s="2479"/>
      <c r="I14" s="2469">
        <f>ROUND(D14*E14*F14*G14/10000,0)</f>
        <v>0</v>
      </c>
    </row>
    <row r="15" spans="1:9">
      <c r="A15" s="3490"/>
      <c r="B15" s="3492" t="s">
        <v>2478</v>
      </c>
      <c r="C15" s="3492"/>
      <c r="D15" s="2474"/>
      <c r="E15" s="2474">
        <f>SUM(E12:E14)</f>
        <v>0</v>
      </c>
      <c r="F15" s="2475"/>
      <c r="G15" s="2472"/>
      <c r="H15" s="2479"/>
      <c r="I15" s="2480">
        <f>SUM(I12:I14)</f>
        <v>0</v>
      </c>
    </row>
    <row r="16" spans="1:9" ht="24">
      <c r="A16" s="3490" t="s">
        <v>2490</v>
      </c>
      <c r="B16" s="3491" t="s">
        <v>2491</v>
      </c>
      <c r="C16" s="3491"/>
      <c r="D16" s="2470" t="s">
        <v>2492</v>
      </c>
      <c r="E16" s="2481" t="s">
        <v>2493</v>
      </c>
      <c r="F16" s="2471" t="s">
        <v>2494</v>
      </c>
      <c r="G16" s="2472" t="s">
        <v>2484</v>
      </c>
      <c r="H16" s="2478" t="s">
        <v>2485</v>
      </c>
      <c r="I16" s="2469" t="s">
        <v>2486</v>
      </c>
    </row>
    <row r="17" spans="1:9" ht="14.25">
      <c r="A17" s="3490"/>
      <c r="B17" s="3491" t="s">
        <v>2495</v>
      </c>
      <c r="C17" s="3491"/>
      <c r="D17" s="2470"/>
      <c r="E17" s="2470"/>
      <c r="F17" s="2471"/>
      <c r="G17" s="2472"/>
      <c r="H17" s="2482"/>
      <c r="I17" s="2483">
        <f>ROUND(D17*E17*F17*G17/10000,0)</f>
        <v>0</v>
      </c>
    </row>
    <row r="18" spans="1:9" ht="14.25">
      <c r="A18" s="3490"/>
      <c r="B18" s="3491" t="s">
        <v>2496</v>
      </c>
      <c r="C18" s="3491"/>
      <c r="D18" s="2470"/>
      <c r="E18" s="2470"/>
      <c r="F18" s="2471"/>
      <c r="G18" s="2472"/>
      <c r="H18" s="2482"/>
      <c r="I18" s="2483">
        <f>ROUND(D18*E18*F18*G18/10000,0)</f>
        <v>0</v>
      </c>
    </row>
    <row r="19" spans="1:9" ht="14.25">
      <c r="A19" s="3490"/>
      <c r="B19" s="3491" t="s">
        <v>2497</v>
      </c>
      <c r="C19" s="3491"/>
      <c r="D19" s="2470"/>
      <c r="E19" s="2470"/>
      <c r="F19" s="2471"/>
      <c r="G19" s="2472"/>
      <c r="H19" s="2482"/>
      <c r="I19" s="2483">
        <f>ROUND(D19*E19*F19*G19/10000,0)</f>
        <v>0</v>
      </c>
    </row>
    <row r="20" spans="1:9">
      <c r="A20" s="3490"/>
      <c r="B20" s="3492" t="s">
        <v>2478</v>
      </c>
      <c r="C20" s="3492"/>
      <c r="D20" s="2474">
        <f>SUM(D17:D19)</f>
        <v>0</v>
      </c>
      <c r="E20" s="2474"/>
      <c r="F20" s="2475"/>
      <c r="G20" s="2472"/>
      <c r="H20" s="2479"/>
      <c r="I20" s="2480">
        <f>SUM(I17:I19)</f>
        <v>0</v>
      </c>
    </row>
    <row r="21" spans="1:9">
      <c r="A21" s="3490" t="s">
        <v>2498</v>
      </c>
      <c r="B21" s="3493"/>
      <c r="C21" s="3493"/>
      <c r="D21" s="3493"/>
      <c r="E21" s="3493"/>
      <c r="F21" s="3493"/>
      <c r="G21" s="3493"/>
      <c r="H21" s="2484">
        <v>0.1</v>
      </c>
      <c r="I21" s="2477">
        <f>ROUND(I10*H21,0)</f>
        <v>0</v>
      </c>
    </row>
    <row r="22" spans="1:9" ht="14.25">
      <c r="A22" s="3494" t="s">
        <v>2499</v>
      </c>
      <c r="B22" s="3495"/>
      <c r="C22" s="3496"/>
      <c r="D22" s="2485" t="s">
        <v>2500</v>
      </c>
      <c r="E22" s="2485" t="s">
        <v>2501</v>
      </c>
      <c r="F22" s="2486" t="s">
        <v>2502</v>
      </c>
      <c r="G22" s="2486" t="s">
        <v>2503</v>
      </c>
      <c r="H22" s="2478" t="s">
        <v>2504</v>
      </c>
      <c r="I22" s="2469" t="s">
        <v>2505</v>
      </c>
    </row>
    <row r="23" spans="1:9" ht="14.25" thickBot="1">
      <c r="A23" s="3497"/>
      <c r="B23" s="3498"/>
      <c r="C23" s="3499"/>
      <c r="D23" s="2487"/>
      <c r="E23" s="2487"/>
      <c r="F23" s="2487"/>
      <c r="G23" s="2488"/>
      <c r="H23" s="2489"/>
      <c r="I23" s="2490">
        <f>ROUND(E23*D23*F23*(1-G23)/10000,0)</f>
        <v>0</v>
      </c>
    </row>
    <row r="26" spans="1:9">
      <c r="A26" s="2491" t="s">
        <v>2506</v>
      </c>
      <c r="B26" s="2491"/>
      <c r="C26" s="2491"/>
      <c r="D26" s="2491"/>
      <c r="E26" s="3487">
        <f>C27-C30-C31-C32</f>
        <v>0</v>
      </c>
      <c r="F26" s="3487"/>
      <c r="G26" s="3487"/>
      <c r="H26" s="2875" t="s">
        <v>2833</v>
      </c>
    </row>
    <row r="27" spans="1:9">
      <c r="A27" s="2492">
        <v>1</v>
      </c>
      <c r="B27" s="2493" t="s">
        <v>2507</v>
      </c>
      <c r="C27" s="2493"/>
      <c r="D27" s="2493"/>
      <c r="E27" s="3488"/>
      <c r="F27" s="3488"/>
      <c r="G27" s="3488"/>
    </row>
    <row r="28" spans="1:9">
      <c r="A28" s="2494" t="s">
        <v>2508</v>
      </c>
      <c r="B28" s="2493" t="s">
        <v>2509</v>
      </c>
      <c r="C28" s="2493"/>
      <c r="D28" s="2493"/>
      <c r="E28" s="3488"/>
      <c r="F28" s="3488"/>
      <c r="G28" s="3488"/>
    </row>
    <row r="29" spans="1:9">
      <c r="A29" s="2494" t="s">
        <v>2510</v>
      </c>
      <c r="B29" s="2493" t="s">
        <v>2451</v>
      </c>
      <c r="C29" s="2493"/>
      <c r="D29" s="2493"/>
      <c r="E29" s="2493" t="s">
        <v>2511</v>
      </c>
      <c r="F29" s="2493"/>
      <c r="G29" s="2493"/>
    </row>
    <row r="30" spans="1:9">
      <c r="A30" s="2492">
        <v>2</v>
      </c>
      <c r="B30" s="2493" t="s">
        <v>2512</v>
      </c>
      <c r="C30" s="2493">
        <f>C27*D30</f>
        <v>0</v>
      </c>
      <c r="D30" s="2495">
        <v>0.2</v>
      </c>
      <c r="E30" s="2493" t="s">
        <v>2513</v>
      </c>
      <c r="F30" s="2493"/>
      <c r="G30" s="2493"/>
    </row>
    <row r="31" spans="1:9">
      <c r="A31" s="2492">
        <v>3</v>
      </c>
      <c r="B31" s="2493" t="s">
        <v>2514</v>
      </c>
      <c r="C31" s="2493">
        <f>C25*D31</f>
        <v>0</v>
      </c>
      <c r="D31" s="2495">
        <v>0.15</v>
      </c>
      <c r="E31" s="2493" t="s">
        <v>2515</v>
      </c>
      <c r="F31" s="2493"/>
      <c r="G31" s="2493"/>
    </row>
    <row r="32" spans="1:9">
      <c r="A32" s="2492">
        <v>4</v>
      </c>
      <c r="B32" s="2493" t="s">
        <v>2516</v>
      </c>
      <c r="C32" s="2493">
        <f>C27*D32</f>
        <v>0</v>
      </c>
      <c r="D32" s="2495">
        <v>0.05</v>
      </c>
      <c r="E32" s="3489"/>
      <c r="F32" s="3489"/>
      <c r="G32" s="3489"/>
    </row>
    <row r="33" spans="1:7" hidden="1">
      <c r="A33" s="3484" t="s">
        <v>2517</v>
      </c>
      <c r="B33" s="3485"/>
      <c r="C33" s="3485"/>
      <c r="D33" s="3486"/>
      <c r="E33" s="3487"/>
      <c r="F33" s="3487"/>
      <c r="G33" s="3487"/>
    </row>
    <row r="34" spans="1:7" hidden="1">
      <c r="A34" s="2496">
        <v>1</v>
      </c>
      <c r="B34" s="2493" t="s">
        <v>2518</v>
      </c>
      <c r="C34" s="2493"/>
      <c r="D34" s="2493"/>
      <c r="E34" s="3488"/>
      <c r="F34" s="3488"/>
      <c r="G34" s="3488"/>
    </row>
    <row r="35" spans="1:7" hidden="1">
      <c r="A35" s="2496">
        <v>2</v>
      </c>
      <c r="B35" s="2493" t="s">
        <v>2519</v>
      </c>
      <c r="C35" s="2493"/>
      <c r="D35" s="2493"/>
      <c r="E35" s="3488"/>
      <c r="F35" s="3488"/>
      <c r="G35" s="3488"/>
    </row>
    <row r="36" spans="1:7" hidden="1">
      <c r="A36" s="2496">
        <v>3</v>
      </c>
      <c r="B36" s="2493" t="s">
        <v>2520</v>
      </c>
      <c r="C36" s="2493"/>
      <c r="D36" s="2493"/>
      <c r="E36" s="3488"/>
      <c r="F36" s="3488"/>
      <c r="G36" s="3488"/>
    </row>
    <row r="37" spans="1:7" hidden="1">
      <c r="A37" s="2496">
        <v>4</v>
      </c>
      <c r="B37" s="2493" t="s">
        <v>2521</v>
      </c>
      <c r="C37" s="2493"/>
      <c r="D37" s="2493"/>
      <c r="E37" s="3488"/>
      <c r="F37" s="3488"/>
      <c r="G37" s="3488"/>
    </row>
    <row r="38" spans="1:7" hidden="1">
      <c r="A38" s="3484" t="s">
        <v>2522</v>
      </c>
      <c r="B38" s="3485"/>
      <c r="C38" s="3485"/>
      <c r="D38" s="3486"/>
      <c r="E38" s="3487"/>
      <c r="F38" s="3487"/>
      <c r="G38" s="34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0" t="s">
        <v>603</v>
      </c>
      <c r="B1" s="741"/>
      <c r="C1" s="2164"/>
      <c r="D1" s="2164"/>
      <c r="E1" s="2164"/>
      <c r="F1" s="2164"/>
      <c r="G1" s="2090"/>
    </row>
    <row r="2" spans="1:25" s="2041" customFormat="1" ht="18" customHeight="1">
      <c r="A2" s="422" t="s">
        <v>467</v>
      </c>
      <c r="B2" s="424">
        <f ca="1">C23</f>
        <v>0</v>
      </c>
      <c r="C2" s="2090"/>
      <c r="D2" s="2090"/>
      <c r="E2" s="2090"/>
      <c r="F2" s="2090"/>
      <c r="G2" s="2090"/>
    </row>
    <row r="3" spans="1:25" s="2041" customFormat="1" ht="18" customHeight="1">
      <c r="A3" s="1372" t="s">
        <v>1679</v>
      </c>
      <c r="B3" s="424">
        <f ca="1">ROUND(B2*10000/'数据-汇总表'!E3,0)</f>
        <v>0</v>
      </c>
      <c r="C3" s="2090"/>
      <c r="D3" s="2090"/>
      <c r="E3" s="2090"/>
      <c r="F3" s="2090"/>
      <c r="G3" s="2090"/>
    </row>
    <row r="4" spans="1:25" s="2041" customFormat="1" ht="18" customHeight="1">
      <c r="A4" s="425" t="s">
        <v>468</v>
      </c>
      <c r="B4" s="426">
        <f ca="1">ROUND(B2*10000/'数据-汇总表'!D3,0)</f>
        <v>0</v>
      </c>
      <c r="C4" s="2043"/>
      <c r="D4" s="2090"/>
      <c r="E4" s="2090"/>
      <c r="F4" s="2090"/>
      <c r="G4" s="2090"/>
    </row>
    <row r="5" spans="1:25" s="2041" customFormat="1" ht="18" customHeight="1" thickBot="1">
      <c r="A5" s="428"/>
      <c r="B5" s="429">
        <f ca="1">ROUND(B2/('数据-汇总表'!D3/666.67),0)</f>
        <v>0</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30">
        <v>1</v>
      </c>
      <c r="B7" s="747" t="s">
        <v>609</v>
      </c>
      <c r="C7" s="748">
        <f>C8+C9</f>
        <v>0</v>
      </c>
      <c r="D7" s="748"/>
      <c r="E7" s="749"/>
      <c r="F7" s="749"/>
      <c r="G7" s="2440"/>
    </row>
    <row r="8" spans="1:25" s="2165" customFormat="1" ht="13.5" customHeight="1">
      <c r="A8" s="2430" t="s">
        <v>2431</v>
      </c>
      <c r="B8" s="2433" t="s">
        <v>2433</v>
      </c>
      <c r="C8" s="2434"/>
      <c r="D8" s="748"/>
      <c r="E8" s="749"/>
      <c r="F8" s="749"/>
      <c r="G8" s="750"/>
    </row>
    <row r="9" spans="1:25" s="2165" customFormat="1" ht="13.5" customHeight="1">
      <c r="A9" s="2430" t="s">
        <v>2432</v>
      </c>
      <c r="B9" s="2433" t="s">
        <v>2434</v>
      </c>
      <c r="C9" s="2434"/>
      <c r="D9" s="748"/>
      <c r="E9" s="749"/>
      <c r="F9" s="749"/>
      <c r="G9" s="750"/>
    </row>
    <row r="10" spans="1:25" s="2165" customFormat="1" ht="36">
      <c r="A10" s="2430">
        <v>2</v>
      </c>
      <c r="B10" s="747" t="s">
        <v>613</v>
      </c>
      <c r="C10" s="748">
        <f>C11+C14+C15</f>
        <v>0</v>
      </c>
      <c r="D10" s="759">
        <f>'数据-汇总表'!E3</f>
        <v>472085.52</v>
      </c>
      <c r="E10" s="748">
        <f>'数据-取费表'!B31</f>
        <v>180</v>
      </c>
      <c r="F10" s="760"/>
      <c r="G10" s="758" t="s">
        <v>614</v>
      </c>
    </row>
    <row r="11" spans="1:25" s="2165" customFormat="1" ht="13.5" customHeight="1">
      <c r="A11" s="2430" t="s">
        <v>2431</v>
      </c>
      <c r="B11" s="751" t="s">
        <v>610</v>
      </c>
      <c r="C11" s="752">
        <f>'数据-取费表'!B29</f>
        <v>0</v>
      </c>
      <c r="D11" s="753"/>
      <c r="E11" s="752"/>
      <c r="F11" s="754"/>
      <c r="G11" s="2439" t="s">
        <v>2442</v>
      </c>
    </row>
    <row r="12" spans="1:25" s="2165" customFormat="1" ht="13.5" customHeight="1">
      <c r="A12" s="2437" t="s">
        <v>2439</v>
      </c>
      <c r="B12" s="755" t="s">
        <v>611</v>
      </c>
      <c r="C12" s="756">
        <f>ROUND(D12*E12/10000,0)</f>
        <v>2705</v>
      </c>
      <c r="D12" s="757">
        <f>'数据-汇总表'!E5</f>
        <v>257657.15</v>
      </c>
      <c r="E12" s="756">
        <f>'数据-取费表'!B27</f>
        <v>105</v>
      </c>
      <c r="F12" s="754"/>
      <c r="G12" s="758"/>
    </row>
    <row r="13" spans="1:25" s="2165" customFormat="1" ht="13.5" customHeight="1">
      <c r="A13" s="2437" t="s">
        <v>2438</v>
      </c>
      <c r="B13" s="755" t="s">
        <v>612</v>
      </c>
      <c r="C13" s="756">
        <f>ROUND(D13*E13/10000,0)</f>
        <v>2251</v>
      </c>
      <c r="D13" s="757">
        <f>'数据-汇总表'!E6</f>
        <v>214428.37000000002</v>
      </c>
      <c r="E13" s="756">
        <f>'数据-取费表'!B28</f>
        <v>105</v>
      </c>
      <c r="F13" s="754"/>
      <c r="G13" s="758"/>
    </row>
    <row r="14" spans="1:25" s="2165" customFormat="1" ht="13.5" customHeight="1">
      <c r="A14" s="2430" t="s">
        <v>2432</v>
      </c>
      <c r="B14" s="2436" t="s">
        <v>2435</v>
      </c>
      <c r="C14" s="2434"/>
      <c r="D14" s="757"/>
      <c r="E14" s="756"/>
      <c r="F14" s="2435"/>
      <c r="G14" s="2438" t="s">
        <v>2440</v>
      </c>
    </row>
    <row r="15" spans="1:25" s="2165" customFormat="1" ht="13.5" customHeight="1">
      <c r="A15" s="2430" t="s">
        <v>2437</v>
      </c>
      <c r="B15" s="2436" t="s">
        <v>2436</v>
      </c>
      <c r="C15" s="2434"/>
      <c r="D15" s="757"/>
      <c r="E15" s="756"/>
      <c r="F15" s="2435"/>
      <c r="G15" s="2438" t="s">
        <v>2441</v>
      </c>
    </row>
    <row r="16" spans="1:25" s="2166" customFormat="1" ht="48">
      <c r="A16" s="2430">
        <v>3</v>
      </c>
      <c r="B16" s="747" t="s">
        <v>615</v>
      </c>
      <c r="C16" s="2434"/>
      <c r="D16" s="759"/>
      <c r="E16" s="748"/>
      <c r="F16" s="760"/>
      <c r="G16" s="758" t="s">
        <v>2443</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7" t="s">
        <v>616</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617</v>
      </c>
      <c r="C18" s="748">
        <f>ROUND((C7+C10+C16)*F18,0)</f>
        <v>0</v>
      </c>
      <c r="D18" s="761"/>
      <c r="E18" s="762"/>
      <c r="F18" s="760">
        <f>'数据-取费表'!Q16</f>
        <v>0.13</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619</v>
      </c>
      <c r="C19" s="748">
        <f ca="1">C7+C10+C16+C17+C18</f>
        <v>0</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7" t="s">
        <v>621</v>
      </c>
      <c r="C20" s="748">
        <f ca="1">ROUND(C19*F20,0)</f>
        <v>0</v>
      </c>
      <c r="D20" s="759"/>
      <c r="E20" s="748"/>
      <c r="F20" s="1343"/>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623</v>
      </c>
      <c r="C21" s="748">
        <f ca="1">C19+C20</f>
        <v>0</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625</v>
      </c>
      <c r="C22" s="748">
        <f ca="1">ROUND(C21*F22,0)</f>
        <v>0</v>
      </c>
      <c r="D22" s="759"/>
      <c r="E22" s="748"/>
      <c r="F22" s="765">
        <f>'数据-取费表'!AP16</f>
        <v>0.88900000000000001</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627</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topLeftCell="A19" zoomScale="80" zoomScaleNormal="80" workbookViewId="0">
      <selection activeCell="N51" sqref="N5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2584" t="s">
        <v>719</v>
      </c>
      <c r="C1" s="2585" t="s">
        <v>720</v>
      </c>
      <c r="D1" s="2586" t="s">
        <v>3017</v>
      </c>
      <c r="E1" s="2587"/>
      <c r="F1" s="2643" t="s">
        <v>3283</v>
      </c>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2" t="s">
        <v>467</v>
      </c>
      <c r="B2" s="2583">
        <f>ROUND(B3*D3/10000,0)</f>
        <v>291994</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8" t="s">
        <v>519</v>
      </c>
      <c r="B3" s="850">
        <f>C49</f>
        <v>14939</v>
      </c>
      <c r="C3" s="851" t="s">
        <v>722</v>
      </c>
      <c r="D3" s="850">
        <f>SUMIF('数据-汇总表'!$C19:$C33,D1,'数据-汇总表'!$E19:$E33)</f>
        <v>195457.31999999998</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1" t="s">
        <v>521</v>
      </c>
      <c r="B4" s="512"/>
      <c r="C4" s="3410" t="s">
        <v>522</v>
      </c>
      <c r="D4" s="3411"/>
      <c r="E4" s="3434" t="s">
        <v>523</v>
      </c>
      <c r="F4" s="3435"/>
      <c r="G4" s="3410" t="s">
        <v>524</v>
      </c>
      <c r="H4" s="3411"/>
      <c r="I4" s="3410" t="s">
        <v>525</v>
      </c>
      <c r="J4" s="3411"/>
      <c r="K4" s="852" t="s">
        <v>526</v>
      </c>
      <c r="L4" s="2115"/>
      <c r="M4" s="2116"/>
      <c r="N4" s="2116"/>
      <c r="O4" s="2116"/>
      <c r="P4" s="3412" t="s">
        <v>527</v>
      </c>
      <c r="Q4" s="3413"/>
      <c r="R4" s="3398" t="s">
        <v>523</v>
      </c>
      <c r="S4" s="3399"/>
      <c r="T4" s="3398" t="s">
        <v>524</v>
      </c>
      <c r="U4" s="3399"/>
      <c r="V4" s="3418" t="s">
        <v>525</v>
      </c>
      <c r="W4" s="3418"/>
      <c r="X4" s="1550"/>
      <c r="Y4" s="3398" t="s">
        <v>527</v>
      </c>
      <c r="Z4" s="3399"/>
      <c r="AA4" s="3393" t="s">
        <v>523</v>
      </c>
      <c r="AB4" s="3393" t="s">
        <v>524</v>
      </c>
      <c r="AC4" s="3393" t="s">
        <v>525</v>
      </c>
    </row>
    <row r="5" spans="1:29" ht="15">
      <c r="A5" s="514"/>
      <c r="B5" s="515"/>
      <c r="C5" s="3421" t="s">
        <v>2919</v>
      </c>
      <c r="D5" s="3422"/>
      <c r="E5" s="3505" t="s">
        <v>3273</v>
      </c>
      <c r="F5" s="3437"/>
      <c r="G5" s="3506" t="s">
        <v>3280</v>
      </c>
      <c r="H5" s="3422"/>
      <c r="I5" s="3506" t="s">
        <v>3279</v>
      </c>
      <c r="J5" s="3422"/>
      <c r="K5" s="853"/>
      <c r="L5" s="2115"/>
      <c r="M5" s="2116"/>
      <c r="N5" s="2116"/>
      <c r="O5" s="2116"/>
      <c r="P5" s="3414"/>
      <c r="Q5" s="3415"/>
      <c r="R5" s="3400"/>
      <c r="S5" s="3401"/>
      <c r="T5" s="3400"/>
      <c r="U5" s="3401"/>
      <c r="V5" s="3418"/>
      <c r="W5" s="3418"/>
      <c r="X5" s="1550"/>
      <c r="Y5" s="3400"/>
      <c r="Z5" s="3401"/>
      <c r="AA5" s="3394"/>
      <c r="AB5" s="3394"/>
      <c r="AC5" s="3394"/>
    </row>
    <row r="6" spans="1:29" ht="15.75" thickBot="1">
      <c r="A6" s="516"/>
      <c r="B6" s="517"/>
      <c r="C6" s="3419" t="s">
        <v>2923</v>
      </c>
      <c r="D6" s="3420"/>
      <c r="E6" s="3438" t="s">
        <v>2923</v>
      </c>
      <c r="F6" s="3439"/>
      <c r="G6" s="3419" t="s">
        <v>2923</v>
      </c>
      <c r="H6" s="3420"/>
      <c r="I6" s="3419" t="s">
        <v>2923</v>
      </c>
      <c r="J6" s="3420"/>
      <c r="K6" s="853" t="s">
        <v>528</v>
      </c>
      <c r="L6" s="2115"/>
      <c r="M6" s="2116"/>
      <c r="N6" s="2116"/>
      <c r="O6" s="2116"/>
      <c r="P6" s="3416"/>
      <c r="Q6" s="3417"/>
      <c r="R6" s="3400"/>
      <c r="S6" s="3401"/>
      <c r="T6" s="3402"/>
      <c r="U6" s="3403"/>
      <c r="V6" s="3418"/>
      <c r="W6" s="3418"/>
      <c r="X6" s="1550"/>
      <c r="Y6" s="3402"/>
      <c r="Z6" s="3403"/>
      <c r="AA6" s="3395"/>
      <c r="AB6" s="3395"/>
      <c r="AC6" s="3395"/>
    </row>
    <row r="7" spans="1:29" s="1214" customFormat="1" ht="15.75" thickBot="1">
      <c r="A7" s="2748"/>
      <c r="B7" s="2755" t="s">
        <v>529</v>
      </c>
      <c r="C7" s="518">
        <f>'数据-取费表'!B2</f>
        <v>44050</v>
      </c>
      <c r="D7" s="519">
        <v>100</v>
      </c>
      <c r="E7" s="520">
        <f>C7</f>
        <v>44050</v>
      </c>
      <c r="F7" s="521">
        <f>SUMIF(58:58,YEAR(E7)&amp;"-"&amp;MONTH(E7),59:59)</f>
        <v>100</v>
      </c>
      <c r="G7" s="522">
        <f>C7</f>
        <v>44050</v>
      </c>
      <c r="H7" s="519">
        <f>SUMIF(58:58,YEAR(G7)&amp;"-"&amp;MONTH(G7),59:59)</f>
        <v>100</v>
      </c>
      <c r="I7" s="522">
        <f>C7</f>
        <v>44050</v>
      </c>
      <c r="J7" s="519">
        <f>SUMIF(58:58,YEAR(I7)&amp;"-"&amp;MONTH(I7),59:59)</f>
        <v>100</v>
      </c>
      <c r="K7" s="854"/>
      <c r="L7" s="2117"/>
      <c r="M7" s="2118"/>
      <c r="N7" s="2118"/>
      <c r="O7" s="2118"/>
      <c r="P7" s="3396" t="s">
        <v>530</v>
      </c>
      <c r="Q7" s="3405"/>
      <c r="R7" s="1551" t="s">
        <v>13</v>
      </c>
      <c r="S7" s="1552">
        <f t="shared" ref="S7:S15" si="0">F7</f>
        <v>100</v>
      </c>
      <c r="T7" s="1551" t="s">
        <v>13</v>
      </c>
      <c r="U7" s="1552">
        <f t="shared" ref="U7:U15" si="1">H7</f>
        <v>100</v>
      </c>
      <c r="V7" s="1551" t="s">
        <v>13</v>
      </c>
      <c r="W7" s="1552">
        <f t="shared" ref="W7:W15" si="2">J7</f>
        <v>100</v>
      </c>
      <c r="X7" s="1553"/>
      <c r="Y7" s="3396" t="s">
        <v>530</v>
      </c>
      <c r="Z7" s="3397"/>
      <c r="AA7" s="1554">
        <f>D7/F7</f>
        <v>1</v>
      </c>
      <c r="AB7" s="1554">
        <f>D7/H7</f>
        <v>1</v>
      </c>
      <c r="AC7" s="1554">
        <f>D7/J7</f>
        <v>1</v>
      </c>
    </row>
    <row r="8" spans="1:29" s="1214" customFormat="1" ht="15.75" thickBot="1">
      <c r="A8" s="2749"/>
      <c r="B8" s="2756" t="s">
        <v>531</v>
      </c>
      <c r="C8" s="524" t="s">
        <v>576</v>
      </c>
      <c r="D8" s="519">
        <v>100</v>
      </c>
      <c r="E8" s="855" t="s">
        <v>3034</v>
      </c>
      <c r="F8" s="521">
        <f>SUMIF(61:61,E8,62:62)-SUMIF(61:61,C8,62:62)+100</f>
        <v>100</v>
      </c>
      <c r="G8" s="524" t="s">
        <v>3034</v>
      </c>
      <c r="H8" s="519">
        <f>SUMIF(61:61,G8,62:62)-SUMIF(61:61,C8,62:62)+100</f>
        <v>100</v>
      </c>
      <c r="I8" s="855" t="s">
        <v>3034</v>
      </c>
      <c r="J8" s="519">
        <f>SUMIF(61:61,I8,62:62)-SUMIF(61:61,C8,62:62)+100</f>
        <v>100</v>
      </c>
      <c r="K8" s="854"/>
      <c r="L8" s="2117"/>
      <c r="M8" s="2118"/>
      <c r="N8" s="2118"/>
      <c r="O8" s="2118"/>
      <c r="P8" s="3396" t="s">
        <v>533</v>
      </c>
      <c r="Q8" s="3397"/>
      <c r="R8" s="1551" t="s">
        <v>13</v>
      </c>
      <c r="S8" s="1552">
        <f t="shared" si="0"/>
        <v>100</v>
      </c>
      <c r="T8" s="1551" t="s">
        <v>13</v>
      </c>
      <c r="U8" s="1552">
        <f t="shared" si="1"/>
        <v>100</v>
      </c>
      <c r="V8" s="1551" t="s">
        <v>13</v>
      </c>
      <c r="W8" s="1552">
        <f t="shared" si="2"/>
        <v>100</v>
      </c>
      <c r="X8" s="1553"/>
      <c r="Y8" s="3396" t="s">
        <v>533</v>
      </c>
      <c r="Z8" s="3397"/>
      <c r="AA8" s="1554">
        <f t="shared" ref="AA8:AA46" si="3">D8/F8</f>
        <v>1</v>
      </c>
      <c r="AB8" s="1554">
        <f t="shared" ref="AB8:AB46" si="4">D8/H8</f>
        <v>1</v>
      </c>
      <c r="AC8" s="1554">
        <f t="shared" ref="AC8:AC46" si="5">D8/J8</f>
        <v>1</v>
      </c>
    </row>
    <row r="9" spans="1:29" s="1214" customFormat="1" ht="15">
      <c r="A9" s="2750"/>
      <c r="B9" s="2757" t="s">
        <v>2746</v>
      </c>
      <c r="C9" s="3200" t="s">
        <v>3274</v>
      </c>
      <c r="D9" s="253">
        <v>100</v>
      </c>
      <c r="E9" s="857" t="s">
        <v>920</v>
      </c>
      <c r="F9" s="858">
        <f>SUMIF(63:63,E9,64:64)-SUMIF(63:63,C9,64:64)+100</f>
        <v>100</v>
      </c>
      <c r="G9" s="859" t="s">
        <v>920</v>
      </c>
      <c r="H9" s="253">
        <f>SUMIF(63:63,G9,64:64)-SUMIF(63:63,C9,64:64)+100</f>
        <v>100</v>
      </c>
      <c r="I9" s="859" t="s">
        <v>920</v>
      </c>
      <c r="J9" s="253">
        <f>SUMIF(63:63,I9,64:64)-SUMIF(63:63,C9,64:64)+100</f>
        <v>100</v>
      </c>
      <c r="K9" s="854"/>
      <c r="L9" s="2117"/>
      <c r="M9" s="2118"/>
      <c r="N9" s="2118"/>
      <c r="O9" s="2119"/>
      <c r="P9" s="3404" t="s">
        <v>535</v>
      </c>
      <c r="Q9" s="1145" t="str">
        <f t="shared" ref="Q9:Q15" si="6">B9</f>
        <v>用途</v>
      </c>
      <c r="R9" s="1551" t="s">
        <v>8</v>
      </c>
      <c r="S9" s="1552">
        <f t="shared" si="0"/>
        <v>100</v>
      </c>
      <c r="T9" s="1551" t="s">
        <v>8</v>
      </c>
      <c r="U9" s="1552">
        <f t="shared" si="1"/>
        <v>100</v>
      </c>
      <c r="V9" s="1551" t="s">
        <v>8</v>
      </c>
      <c r="W9" s="1552">
        <f t="shared" si="2"/>
        <v>100</v>
      </c>
      <c r="X9" s="1553"/>
      <c r="Y9" s="3358" t="s">
        <v>536</v>
      </c>
      <c r="Z9" s="1144" t="str">
        <f t="shared" ref="Z9:Z15" si="7">Q9</f>
        <v>用途</v>
      </c>
      <c r="AA9" s="1554">
        <f t="shared" si="3"/>
        <v>1</v>
      </c>
      <c r="AB9" s="1554">
        <f t="shared" si="4"/>
        <v>1</v>
      </c>
      <c r="AC9" s="1554">
        <f t="shared" si="5"/>
        <v>1</v>
      </c>
    </row>
    <row r="10" spans="1:29" s="1332" customFormat="1" ht="27">
      <c r="A10" s="2751"/>
      <c r="B10" s="2756" t="s">
        <v>2747</v>
      </c>
      <c r="C10" s="860" t="s">
        <v>3275</v>
      </c>
      <c r="D10" s="254">
        <v>100</v>
      </c>
      <c r="E10" s="861" t="s">
        <v>3275</v>
      </c>
      <c r="F10" s="862">
        <f>SUMIF(65:65,E10,66:66)-SUMIF(65:65,C10,66:66)+100</f>
        <v>100</v>
      </c>
      <c r="G10" s="860" t="s">
        <v>3275</v>
      </c>
      <c r="H10" s="254">
        <f>SUMIF(65:65,G10,66:66)-SUMIF(65:65,C10,66:66)+100</f>
        <v>100</v>
      </c>
      <c r="I10" s="860" t="s">
        <v>3275</v>
      </c>
      <c r="J10" s="254">
        <f>SUMIF(65:65,I10,66:66)-SUMIF(65:65,C10,66:66)+100</f>
        <v>100</v>
      </c>
      <c r="K10" s="863">
        <v>2</v>
      </c>
      <c r="L10" s="2120"/>
      <c r="M10" s="2160"/>
      <c r="N10" s="2160"/>
      <c r="O10" s="2121"/>
      <c r="P10" s="3404"/>
      <c r="Q10" s="1145" t="str">
        <f t="shared" si="6"/>
        <v>土地使用年限（年）</v>
      </c>
      <c r="R10" s="1551" t="s">
        <v>8</v>
      </c>
      <c r="S10" s="1552">
        <f t="shared" si="0"/>
        <v>100</v>
      </c>
      <c r="T10" s="1551" t="s">
        <v>8</v>
      </c>
      <c r="U10" s="1552">
        <f t="shared" si="1"/>
        <v>100</v>
      </c>
      <c r="V10" s="1551" t="s">
        <v>8</v>
      </c>
      <c r="W10" s="1552">
        <f t="shared" si="2"/>
        <v>100</v>
      </c>
      <c r="X10" s="1553"/>
      <c r="Y10" s="3358"/>
      <c r="Z10" s="1144" t="str">
        <f t="shared" si="7"/>
        <v>土地使用年限（年）</v>
      </c>
      <c r="AA10" s="1554">
        <f t="shared" si="3"/>
        <v>1</v>
      </c>
      <c r="AB10" s="1554">
        <f t="shared" si="4"/>
        <v>1</v>
      </c>
      <c r="AC10" s="1554">
        <f t="shared" si="5"/>
        <v>1</v>
      </c>
    </row>
    <row r="11" spans="1:29" ht="15">
      <c r="A11" s="2752"/>
      <c r="B11" s="2756" t="s">
        <v>2748</v>
      </c>
      <c r="C11" s="532">
        <v>1.87</v>
      </c>
      <c r="D11" s="254">
        <v>100</v>
      </c>
      <c r="E11" s="533">
        <v>1.4</v>
      </c>
      <c r="F11" s="862">
        <f>LOOKUP(E11,68:68,69:69)-LOOKUP(C11,68:68,69:69)+100</f>
        <v>102</v>
      </c>
      <c r="G11" s="532">
        <v>2.1</v>
      </c>
      <c r="H11" s="254">
        <f>LOOKUP(G11,68:68,69:69)-LOOKUP(C11,68:68,69:69)+100</f>
        <v>98</v>
      </c>
      <c r="I11" s="532">
        <v>1</v>
      </c>
      <c r="J11" s="254">
        <f>LOOKUP(I11,68:68,69:69)-LOOKUP(C11,68:68,69:69)+100</f>
        <v>102</v>
      </c>
      <c r="K11" s="863">
        <v>2</v>
      </c>
      <c r="L11" s="2122"/>
      <c r="M11" s="2116"/>
      <c r="N11" s="2116"/>
      <c r="O11" s="2123"/>
      <c r="P11" s="3404"/>
      <c r="Q11" s="1145" t="str">
        <f t="shared" si="6"/>
        <v>容积率</v>
      </c>
      <c r="R11" s="1551" t="s">
        <v>11</v>
      </c>
      <c r="S11" s="1552">
        <f t="shared" si="0"/>
        <v>102</v>
      </c>
      <c r="T11" s="1551" t="s">
        <v>11</v>
      </c>
      <c r="U11" s="1552">
        <f t="shared" si="1"/>
        <v>98</v>
      </c>
      <c r="V11" s="1551" t="s">
        <v>11</v>
      </c>
      <c r="W11" s="1552">
        <f t="shared" si="2"/>
        <v>102</v>
      </c>
      <c r="X11" s="1553"/>
      <c r="Y11" s="3358"/>
      <c r="Z11" s="1144" t="str">
        <f t="shared" si="7"/>
        <v>容积率</v>
      </c>
      <c r="AA11" s="1554">
        <f t="shared" si="3"/>
        <v>0.98039215686274506</v>
      </c>
      <c r="AB11" s="1554">
        <f t="shared" si="4"/>
        <v>1.0204081632653061</v>
      </c>
      <c r="AC11" s="1554">
        <f t="shared" si="5"/>
        <v>0.98039215686274506</v>
      </c>
    </row>
    <row r="12" spans="1:29" s="1214" customFormat="1" ht="15">
      <c r="A12" s="2753"/>
      <c r="B12" s="2759">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404"/>
      <c r="Q12" s="1145">
        <f t="shared" si="6"/>
        <v>111</v>
      </c>
      <c r="R12" s="1551" t="s">
        <v>11</v>
      </c>
      <c r="S12" s="1552">
        <f t="shared" si="0"/>
        <v>100</v>
      </c>
      <c r="T12" s="1551" t="s">
        <v>11</v>
      </c>
      <c r="U12" s="1552">
        <f t="shared" si="1"/>
        <v>100</v>
      </c>
      <c r="V12" s="1551" t="s">
        <v>11</v>
      </c>
      <c r="W12" s="1552">
        <f t="shared" si="2"/>
        <v>100</v>
      </c>
      <c r="X12" s="1553"/>
      <c r="Y12" s="3358"/>
      <c r="Z12" s="1144">
        <f t="shared" si="7"/>
        <v>111</v>
      </c>
      <c r="AA12" s="1554">
        <f>D12/F12</f>
        <v>1</v>
      </c>
      <c r="AB12" s="1554">
        <f>D12/H12</f>
        <v>1</v>
      </c>
      <c r="AC12" s="1554">
        <f>D12/J12</f>
        <v>1</v>
      </c>
    </row>
    <row r="13" spans="1:29" ht="15">
      <c r="A13" s="2753"/>
      <c r="B13" s="2759">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404"/>
      <c r="Q13" s="1145">
        <f t="shared" si="6"/>
        <v>111</v>
      </c>
      <c r="R13" s="1551" t="s">
        <v>11</v>
      </c>
      <c r="S13" s="1552">
        <f t="shared" si="0"/>
        <v>100</v>
      </c>
      <c r="T13" s="1551" t="s">
        <v>11</v>
      </c>
      <c r="U13" s="1552">
        <f t="shared" si="1"/>
        <v>100</v>
      </c>
      <c r="V13" s="1551" t="s">
        <v>11</v>
      </c>
      <c r="W13" s="1552">
        <f t="shared" si="2"/>
        <v>100</v>
      </c>
      <c r="X13" s="1553"/>
      <c r="Y13" s="3358"/>
      <c r="Z13" s="1144">
        <f t="shared" si="7"/>
        <v>111</v>
      </c>
      <c r="AA13" s="1554">
        <f t="shared" si="3"/>
        <v>1</v>
      </c>
      <c r="AB13" s="1554">
        <f t="shared" si="4"/>
        <v>1</v>
      </c>
      <c r="AC13" s="1554">
        <f t="shared" si="5"/>
        <v>1</v>
      </c>
    </row>
    <row r="14" spans="1:29" ht="15.75" thickBot="1">
      <c r="A14" s="2754"/>
      <c r="B14" s="2760">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404"/>
      <c r="Q14" s="1145">
        <f t="shared" si="6"/>
        <v>111</v>
      </c>
      <c r="R14" s="1551" t="s">
        <v>11</v>
      </c>
      <c r="S14" s="1552">
        <f t="shared" si="0"/>
        <v>100</v>
      </c>
      <c r="T14" s="1551" t="s">
        <v>11</v>
      </c>
      <c r="U14" s="1552">
        <f t="shared" si="1"/>
        <v>100</v>
      </c>
      <c r="V14" s="1551" t="s">
        <v>11</v>
      </c>
      <c r="W14" s="1552">
        <f t="shared" si="2"/>
        <v>100</v>
      </c>
      <c r="X14" s="1553"/>
      <c r="Y14" s="3358"/>
      <c r="Z14" s="1144">
        <f t="shared" si="7"/>
        <v>111</v>
      </c>
      <c r="AA14" s="1554">
        <f t="shared" si="3"/>
        <v>1</v>
      </c>
      <c r="AB14" s="1554">
        <f t="shared" si="4"/>
        <v>1</v>
      </c>
      <c r="AC14" s="1554">
        <f t="shared" si="5"/>
        <v>1</v>
      </c>
    </row>
    <row r="15" spans="1:29" ht="99.75">
      <c r="A15" s="2746" t="s">
        <v>2744</v>
      </c>
      <c r="B15" s="165"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98</v>
      </c>
      <c r="K15" s="867">
        <v>2</v>
      </c>
      <c r="L15" s="2124"/>
      <c r="M15" s="2116"/>
      <c r="N15" s="2116"/>
      <c r="O15" s="2123"/>
      <c r="P15" s="3406" t="s">
        <v>540</v>
      </c>
      <c r="Q15" s="1555" t="str">
        <f t="shared" si="6"/>
        <v>居住社区成熟度</v>
      </c>
      <c r="R15" s="1556" t="s">
        <v>11</v>
      </c>
      <c r="S15" s="1557">
        <f t="shared" si="0"/>
        <v>100</v>
      </c>
      <c r="T15" s="1556" t="s">
        <v>11</v>
      </c>
      <c r="U15" s="1557">
        <f t="shared" si="1"/>
        <v>100</v>
      </c>
      <c r="V15" s="1556" t="s">
        <v>11</v>
      </c>
      <c r="W15" s="1557">
        <f t="shared" si="2"/>
        <v>98</v>
      </c>
      <c r="X15" s="1550"/>
      <c r="Y15" s="3406" t="s">
        <v>540</v>
      </c>
      <c r="Z15" s="1558" t="str">
        <f t="shared" si="7"/>
        <v>居住社区成熟度</v>
      </c>
      <c r="AA15" s="1559">
        <f t="shared" si="3"/>
        <v>1</v>
      </c>
      <c r="AB15" s="1559">
        <f t="shared" si="4"/>
        <v>1</v>
      </c>
      <c r="AC15" s="1559">
        <f t="shared" si="5"/>
        <v>1.0204081632653061</v>
      </c>
    </row>
    <row r="16" spans="1:29" ht="15">
      <c r="A16" s="531"/>
      <c r="B16" s="868"/>
      <c r="C16" s="575" t="s">
        <v>3252</v>
      </c>
      <c r="D16" s="554"/>
      <c r="E16" s="555" t="s">
        <v>3252</v>
      </c>
      <c r="F16" s="556"/>
      <c r="G16" s="557" t="s">
        <v>3252</v>
      </c>
      <c r="H16" s="558"/>
      <c r="I16" s="555" t="s">
        <v>3281</v>
      </c>
      <c r="J16" s="554"/>
      <c r="K16" s="869"/>
      <c r="L16" s="2124"/>
      <c r="M16" s="2116"/>
      <c r="N16" s="2116"/>
      <c r="O16" s="2123"/>
      <c r="P16" s="3407"/>
      <c r="Q16" s="1555"/>
      <c r="R16" s="1556"/>
      <c r="S16" s="1557"/>
      <c r="T16" s="1556"/>
      <c r="U16" s="1557"/>
      <c r="V16" s="1556"/>
      <c r="W16" s="1557"/>
      <c r="X16" s="1550"/>
      <c r="Y16" s="3407"/>
      <c r="Z16" s="1558"/>
      <c r="AA16" s="1559">
        <v>1</v>
      </c>
      <c r="AB16" s="1559">
        <v>1</v>
      </c>
      <c r="AC16" s="1559">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4"/>
      <c r="M17" s="2116"/>
      <c r="N17" s="2116"/>
      <c r="O17" s="2123"/>
      <c r="P17" s="3407"/>
      <c r="Q17" s="1555" t="str">
        <f>B17</f>
        <v>交通便捷度</v>
      </c>
      <c r="R17" s="1556" t="s">
        <v>11</v>
      </c>
      <c r="S17" s="1557">
        <f>F17</f>
        <v>100</v>
      </c>
      <c r="T17" s="1556" t="s">
        <v>11</v>
      </c>
      <c r="U17" s="1557">
        <f>H17</f>
        <v>100</v>
      </c>
      <c r="V17" s="1556" t="s">
        <v>11</v>
      </c>
      <c r="W17" s="1557">
        <f>J17</f>
        <v>100</v>
      </c>
      <c r="X17" s="1550"/>
      <c r="Y17" s="3407"/>
      <c r="Z17" s="1558" t="str">
        <f>Q17</f>
        <v>交通便捷度</v>
      </c>
      <c r="AA17" s="1559">
        <f t="shared" si="3"/>
        <v>1</v>
      </c>
      <c r="AB17" s="1559">
        <f t="shared" si="4"/>
        <v>1</v>
      </c>
      <c r="AC17" s="1559">
        <f t="shared" si="5"/>
        <v>1</v>
      </c>
    </row>
    <row r="18" spans="1:29" ht="15">
      <c r="A18" s="531"/>
      <c r="B18" s="594"/>
      <c r="C18" s="872" t="s">
        <v>3252</v>
      </c>
      <c r="D18" s="558"/>
      <c r="E18" s="567" t="s">
        <v>3252</v>
      </c>
      <c r="F18" s="562"/>
      <c r="G18" s="568" t="s">
        <v>3252</v>
      </c>
      <c r="H18" s="554"/>
      <c r="I18" s="567" t="s">
        <v>3252</v>
      </c>
      <c r="J18" s="554"/>
      <c r="K18" s="869"/>
      <c r="L18" s="2124"/>
      <c r="M18" s="2116"/>
      <c r="N18" s="2116"/>
      <c r="O18" s="2123"/>
      <c r="P18" s="3407"/>
      <c r="Q18" s="1555"/>
      <c r="R18" s="1556"/>
      <c r="S18" s="1557"/>
      <c r="T18" s="1556"/>
      <c r="U18" s="1557"/>
      <c r="V18" s="1556"/>
      <c r="W18" s="1557"/>
      <c r="X18" s="1550"/>
      <c r="Y18" s="3407"/>
      <c r="Z18" s="1558"/>
      <c r="AA18" s="1559">
        <v>1</v>
      </c>
      <c r="AB18" s="1559">
        <v>1</v>
      </c>
      <c r="AC18" s="1559">
        <v>1</v>
      </c>
    </row>
    <row r="19" spans="1:29" ht="42.75">
      <c r="A19" s="531"/>
      <c r="B19" s="2561" t="s">
        <v>2537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24"/>
      <c r="M19" s="2116"/>
      <c r="N19" s="2116"/>
      <c r="O19" s="2123"/>
      <c r="P19" s="3407"/>
      <c r="Q19" s="1555" t="str">
        <f>B19</f>
        <v>公共配套设施</v>
      </c>
      <c r="R19" s="1556" t="s">
        <v>11</v>
      </c>
      <c r="S19" s="1557">
        <f>F19</f>
        <v>100</v>
      </c>
      <c r="T19" s="1556" t="s">
        <v>11</v>
      </c>
      <c r="U19" s="1557">
        <f>H19</f>
        <v>100</v>
      </c>
      <c r="V19" s="1556" t="s">
        <v>11</v>
      </c>
      <c r="W19" s="1557">
        <f>J19</f>
        <v>100</v>
      </c>
      <c r="X19" s="1550"/>
      <c r="Y19" s="3407"/>
      <c r="Z19" s="1558" t="str">
        <f>Q19</f>
        <v>公共配套设施</v>
      </c>
      <c r="AA19" s="1559">
        <f t="shared" si="3"/>
        <v>1</v>
      </c>
      <c r="AB19" s="1559">
        <f t="shared" si="4"/>
        <v>1</v>
      </c>
      <c r="AC19" s="1559">
        <f t="shared" si="5"/>
        <v>1</v>
      </c>
    </row>
    <row r="20" spans="1:29" ht="15">
      <c r="A20" s="531"/>
      <c r="B20" s="594"/>
      <c r="C20" s="575" t="s">
        <v>3281</v>
      </c>
      <c r="D20" s="554"/>
      <c r="E20" s="555" t="s">
        <v>3281</v>
      </c>
      <c r="F20" s="556"/>
      <c r="G20" s="557" t="s">
        <v>3281</v>
      </c>
      <c r="H20" s="554"/>
      <c r="I20" s="555" t="s">
        <v>3281</v>
      </c>
      <c r="J20" s="554"/>
      <c r="K20" s="869"/>
      <c r="L20" s="2124"/>
      <c r="M20" s="2116"/>
      <c r="N20" s="2116"/>
      <c r="O20" s="2123"/>
      <c r="P20" s="3407"/>
      <c r="Q20" s="1555"/>
      <c r="R20" s="1556"/>
      <c r="S20" s="1557"/>
      <c r="T20" s="1556"/>
      <c r="U20" s="1557"/>
      <c r="V20" s="1556"/>
      <c r="W20" s="1557"/>
      <c r="X20" s="1550"/>
      <c r="Y20" s="3407"/>
      <c r="Z20" s="1558"/>
      <c r="AA20" s="1559">
        <v>1</v>
      </c>
      <c r="AB20" s="1559">
        <v>1</v>
      </c>
      <c r="AC20" s="1559">
        <v>1</v>
      </c>
    </row>
    <row r="21" spans="1:29" ht="28.5">
      <c r="A21" s="531"/>
      <c r="B21" s="2554" t="s">
        <v>2549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24"/>
      <c r="M21" s="2116"/>
      <c r="N21" s="2116"/>
      <c r="O21" s="2123"/>
      <c r="P21" s="3407"/>
      <c r="Q21" s="2540" t="str">
        <f>B21</f>
        <v>基础设施水平</v>
      </c>
      <c r="R21" s="1556" t="s">
        <v>11</v>
      </c>
      <c r="S21" s="1557">
        <f>F21</f>
        <v>100</v>
      </c>
      <c r="T21" s="1556" t="s">
        <v>11</v>
      </c>
      <c r="U21" s="1557">
        <f>H21</f>
        <v>100</v>
      </c>
      <c r="V21" s="1556" t="s">
        <v>11</v>
      </c>
      <c r="W21" s="1557">
        <f>J21</f>
        <v>100</v>
      </c>
      <c r="X21" s="2542"/>
      <c r="Y21" s="3407"/>
      <c r="Z21" s="2541" t="str">
        <f>Q21</f>
        <v>基础设施水平</v>
      </c>
      <c r="AA21" s="1559">
        <f t="shared" ref="AA21" si="8">D21/F21</f>
        <v>1</v>
      </c>
      <c r="AB21" s="1559">
        <f t="shared" ref="AB21" si="9">D21/H21</f>
        <v>1</v>
      </c>
      <c r="AC21" s="1559">
        <f t="shared" ref="AC21" si="10">D21/J21</f>
        <v>1</v>
      </c>
    </row>
    <row r="22" spans="1:29" ht="15">
      <c r="A22" s="531"/>
      <c r="B22" s="921"/>
      <c r="C22" s="872" t="s">
        <v>3254</v>
      </c>
      <c r="D22" s="554"/>
      <c r="E22" s="575" t="s">
        <v>3254</v>
      </c>
      <c r="F22" s="556"/>
      <c r="G22" s="575" t="s">
        <v>3254</v>
      </c>
      <c r="H22" s="554"/>
      <c r="I22" s="575" t="s">
        <v>3254</v>
      </c>
      <c r="J22" s="554"/>
      <c r="K22" s="2560"/>
      <c r="L22" s="2124"/>
      <c r="M22" s="2116"/>
      <c r="N22" s="2116"/>
      <c r="O22" s="2123"/>
      <c r="P22" s="3407"/>
      <c r="Q22" s="2540"/>
      <c r="R22" s="1556"/>
      <c r="S22" s="1557"/>
      <c r="T22" s="1556"/>
      <c r="U22" s="1557"/>
      <c r="V22" s="1556"/>
      <c r="W22" s="1557"/>
      <c r="X22" s="2542"/>
      <c r="Y22" s="3407"/>
      <c r="Z22" s="2541"/>
      <c r="AA22" s="1559">
        <v>1</v>
      </c>
      <c r="AB22" s="1559">
        <v>1</v>
      </c>
      <c r="AC22" s="1559">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24"/>
      <c r="M23" s="2116"/>
      <c r="N23" s="2116"/>
      <c r="O23" s="2123"/>
      <c r="P23" s="3407"/>
      <c r="Q23" s="1555" t="str">
        <f>B23</f>
        <v>自然及人文环境</v>
      </c>
      <c r="R23" s="1556" t="s">
        <v>11</v>
      </c>
      <c r="S23" s="1557">
        <f>F23</f>
        <v>100</v>
      </c>
      <c r="T23" s="1556" t="s">
        <v>11</v>
      </c>
      <c r="U23" s="1557">
        <f>H23</f>
        <v>100</v>
      </c>
      <c r="V23" s="1556" t="s">
        <v>11</v>
      </c>
      <c r="W23" s="1557">
        <f>J23</f>
        <v>100</v>
      </c>
      <c r="X23" s="1550"/>
      <c r="Y23" s="3407"/>
      <c r="Z23" s="1558" t="str">
        <f>Q23</f>
        <v>自然及人文环境</v>
      </c>
      <c r="AA23" s="1559">
        <f t="shared" si="3"/>
        <v>1</v>
      </c>
      <c r="AB23" s="1559">
        <f t="shared" si="4"/>
        <v>1</v>
      </c>
      <c r="AC23" s="1559">
        <f t="shared" si="5"/>
        <v>1</v>
      </c>
    </row>
    <row r="24" spans="1:29" ht="15">
      <c r="A24" s="531"/>
      <c r="B24" s="594"/>
      <c r="C24" s="575" t="s">
        <v>3281</v>
      </c>
      <c r="D24" s="554"/>
      <c r="E24" s="555" t="s">
        <v>3281</v>
      </c>
      <c r="F24" s="556"/>
      <c r="G24" s="557" t="s">
        <v>3281</v>
      </c>
      <c r="H24" s="554"/>
      <c r="I24" s="555" t="s">
        <v>3281</v>
      </c>
      <c r="J24" s="554"/>
      <c r="K24" s="869"/>
      <c r="L24" s="2124"/>
      <c r="M24" s="2116"/>
      <c r="N24" s="2116"/>
      <c r="O24" s="2123"/>
      <c r="P24" s="3407"/>
      <c r="Q24" s="1555"/>
      <c r="R24" s="1556"/>
      <c r="S24" s="1557"/>
      <c r="T24" s="1556"/>
      <c r="U24" s="1557"/>
      <c r="V24" s="1556"/>
      <c r="W24" s="1557"/>
      <c r="X24" s="1550"/>
      <c r="Y24" s="3407"/>
      <c r="Z24" s="1558"/>
      <c r="AA24" s="1559">
        <v>1</v>
      </c>
      <c r="AB24" s="1559">
        <v>1</v>
      </c>
      <c r="AC24" s="1559">
        <v>1</v>
      </c>
    </row>
    <row r="25" spans="1:29" ht="15">
      <c r="A25" s="531"/>
      <c r="B25" s="1877" t="s">
        <v>2248</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407"/>
      <c r="Q25" s="1555" t="str">
        <f t="shared" ref="Q25:Q46" si="11">B25</f>
        <v>楼层-1</v>
      </c>
      <c r="R25" s="1556" t="s">
        <v>11</v>
      </c>
      <c r="S25" s="1557">
        <f>F25</f>
        <v>100</v>
      </c>
      <c r="T25" s="1556" t="s">
        <v>11</v>
      </c>
      <c r="U25" s="1557">
        <f>H25</f>
        <v>100</v>
      </c>
      <c r="V25" s="1556" t="s">
        <v>11</v>
      </c>
      <c r="W25" s="1557">
        <f>J25</f>
        <v>100</v>
      </c>
      <c r="X25" s="1550"/>
      <c r="Y25" s="3407"/>
      <c r="Z25" s="1558" t="str">
        <f>Q25</f>
        <v>楼层-1</v>
      </c>
      <c r="AA25" s="1559">
        <f t="shared" si="3"/>
        <v>1</v>
      </c>
      <c r="AB25" s="1559">
        <f t="shared" si="4"/>
        <v>1</v>
      </c>
      <c r="AC25" s="1559">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407"/>
      <c r="Q26" s="1555" t="str">
        <f t="shared" si="11"/>
        <v>朝向</v>
      </c>
      <c r="R26" s="1556" t="s">
        <v>11</v>
      </c>
      <c r="S26" s="1557">
        <f>F26</f>
        <v>100</v>
      </c>
      <c r="T26" s="1556" t="s">
        <v>11</v>
      </c>
      <c r="U26" s="1557">
        <f>H26</f>
        <v>100</v>
      </c>
      <c r="V26" s="1556" t="s">
        <v>11</v>
      </c>
      <c r="W26" s="1557">
        <f>J26</f>
        <v>100</v>
      </c>
      <c r="X26" s="1550"/>
      <c r="Y26" s="3407"/>
      <c r="Z26" s="1558" t="str">
        <f>Q26</f>
        <v>朝向</v>
      </c>
      <c r="AA26" s="1559">
        <f t="shared" si="3"/>
        <v>1</v>
      </c>
      <c r="AB26" s="1559">
        <f t="shared" si="4"/>
        <v>1</v>
      </c>
      <c r="AC26" s="1559">
        <f t="shared" si="5"/>
        <v>1</v>
      </c>
    </row>
    <row r="27" spans="1:29" s="1214"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407"/>
      <c r="Q27" s="1145" t="str">
        <f t="shared" si="11"/>
        <v>道路级别</v>
      </c>
      <c r="R27" s="1551" t="s">
        <v>11</v>
      </c>
      <c r="S27" s="1552">
        <f>F27</f>
        <v>100</v>
      </c>
      <c r="T27" s="1551" t="s">
        <v>11</v>
      </c>
      <c r="U27" s="1552">
        <f>H27</f>
        <v>100</v>
      </c>
      <c r="V27" s="1551" t="s">
        <v>11</v>
      </c>
      <c r="W27" s="1552">
        <f>J27</f>
        <v>100</v>
      </c>
      <c r="X27" s="1553"/>
      <c r="Y27" s="3407"/>
      <c r="Z27" s="1144" t="str">
        <f>Q27</f>
        <v>道路级别</v>
      </c>
      <c r="AA27" s="1559">
        <f>D27/F27</f>
        <v>1</v>
      </c>
      <c r="AB27" s="1559">
        <f>D27/H27</f>
        <v>1</v>
      </c>
      <c r="AC27" s="1559">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407"/>
      <c r="Q28" s="1555">
        <f t="shared" si="11"/>
        <v>111</v>
      </c>
      <c r="R28" s="1556" t="s">
        <v>11</v>
      </c>
      <c r="S28" s="1557">
        <f t="shared" ref="S28:S46" si="12">F28</f>
        <v>100</v>
      </c>
      <c r="T28" s="1556" t="s">
        <v>11</v>
      </c>
      <c r="U28" s="1557">
        <f t="shared" ref="U28:U46" si="13">H28</f>
        <v>100</v>
      </c>
      <c r="V28" s="1556" t="s">
        <v>11</v>
      </c>
      <c r="W28" s="1557">
        <f t="shared" ref="W28:W46" si="14">J28</f>
        <v>100</v>
      </c>
      <c r="X28" s="1550"/>
      <c r="Y28" s="3407"/>
      <c r="Z28" s="1558">
        <f t="shared" ref="Z28:Z46" si="15">Q28</f>
        <v>111</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407"/>
      <c r="Q29" s="1555">
        <f t="shared" si="11"/>
        <v>111</v>
      </c>
      <c r="R29" s="1556" t="s">
        <v>11</v>
      </c>
      <c r="S29" s="1557">
        <f t="shared" si="12"/>
        <v>100</v>
      </c>
      <c r="T29" s="1556" t="s">
        <v>11</v>
      </c>
      <c r="U29" s="1557">
        <f t="shared" si="13"/>
        <v>100</v>
      </c>
      <c r="V29" s="1556" t="s">
        <v>11</v>
      </c>
      <c r="W29" s="1557">
        <f t="shared" si="14"/>
        <v>100</v>
      </c>
      <c r="X29" s="1550"/>
      <c r="Y29" s="3407"/>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407"/>
      <c r="Q30" s="1555">
        <f t="shared" si="11"/>
        <v>111</v>
      </c>
      <c r="R30" s="1556" t="s">
        <v>11</v>
      </c>
      <c r="S30" s="1557">
        <f t="shared" si="12"/>
        <v>100</v>
      </c>
      <c r="T30" s="1556" t="s">
        <v>11</v>
      </c>
      <c r="U30" s="1557">
        <f t="shared" si="13"/>
        <v>100</v>
      </c>
      <c r="V30" s="1556" t="s">
        <v>11</v>
      </c>
      <c r="W30" s="1557">
        <f t="shared" si="14"/>
        <v>100</v>
      </c>
      <c r="X30" s="1550"/>
      <c r="Y30" s="3407"/>
      <c r="Z30" s="1558">
        <f t="shared" si="15"/>
        <v>111</v>
      </c>
      <c r="AA30" s="1559">
        <f t="shared" si="3"/>
        <v>1</v>
      </c>
      <c r="AB30" s="1559">
        <f t="shared" si="4"/>
        <v>1</v>
      </c>
      <c r="AC30" s="1559">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407"/>
      <c r="Q31" s="1555">
        <f t="shared" si="11"/>
        <v>111</v>
      </c>
      <c r="R31" s="1556" t="s">
        <v>11</v>
      </c>
      <c r="S31" s="1557">
        <f t="shared" si="12"/>
        <v>100</v>
      </c>
      <c r="T31" s="1556" t="s">
        <v>11</v>
      </c>
      <c r="U31" s="1557">
        <f t="shared" si="13"/>
        <v>100</v>
      </c>
      <c r="V31" s="1556" t="s">
        <v>11</v>
      </c>
      <c r="W31" s="1557">
        <f t="shared" si="14"/>
        <v>100</v>
      </c>
      <c r="X31" s="1550"/>
      <c r="Y31" s="3407"/>
      <c r="Z31" s="1558">
        <f t="shared" si="15"/>
        <v>111</v>
      </c>
      <c r="AA31" s="1559">
        <f t="shared" si="3"/>
        <v>1</v>
      </c>
      <c r="AB31" s="1559">
        <f t="shared" si="4"/>
        <v>1</v>
      </c>
      <c r="AC31" s="1559">
        <f t="shared" si="5"/>
        <v>1</v>
      </c>
    </row>
    <row r="32" spans="1:29" ht="15">
      <c r="A32" s="2743" t="s">
        <v>2745</v>
      </c>
      <c r="B32" s="171"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4"/>
      <c r="M32" s="2116"/>
      <c r="N32" s="2116"/>
      <c r="O32" s="2123"/>
      <c r="P32" s="3408" t="s">
        <v>550</v>
      </c>
      <c r="Q32" s="1555" t="str">
        <f t="shared" si="11"/>
        <v>建筑类型</v>
      </c>
      <c r="R32" s="1556" t="s">
        <v>11</v>
      </c>
      <c r="S32" s="1557">
        <f t="shared" si="12"/>
        <v>100</v>
      </c>
      <c r="T32" s="1556" t="s">
        <v>11</v>
      </c>
      <c r="U32" s="1557">
        <f t="shared" si="13"/>
        <v>100</v>
      </c>
      <c r="V32" s="1556" t="s">
        <v>11</v>
      </c>
      <c r="W32" s="1557">
        <f t="shared" si="14"/>
        <v>100</v>
      </c>
      <c r="X32" s="1550"/>
      <c r="Y32" s="3409" t="s">
        <v>550</v>
      </c>
      <c r="Z32" s="1558" t="str">
        <f t="shared" si="15"/>
        <v>建筑类型</v>
      </c>
      <c r="AA32" s="1559">
        <f t="shared" si="3"/>
        <v>1</v>
      </c>
      <c r="AB32" s="1559">
        <f t="shared" si="4"/>
        <v>1</v>
      </c>
      <c r="AC32" s="1559">
        <f t="shared" si="5"/>
        <v>1</v>
      </c>
    </row>
    <row r="33" spans="1:29" s="1333" customFormat="1" ht="15">
      <c r="A33" s="602"/>
      <c r="B33" s="526" t="s">
        <v>726</v>
      </c>
      <c r="C33" s="879">
        <f>'数据-基础表'!B3</f>
        <v>472085.52</v>
      </c>
      <c r="D33" s="254">
        <v>100</v>
      </c>
      <c r="E33" s="533">
        <v>280000</v>
      </c>
      <c r="F33" s="862">
        <f>LOOKUP(E33,103:103,104:104)-LOOKUP(C33,103:103,104:104)+100</f>
        <v>99</v>
      </c>
      <c r="G33" s="532">
        <v>480000</v>
      </c>
      <c r="H33" s="254">
        <f>LOOKUP(G33,103:103,104:104)-LOOKUP(C33,103:103,104:104)+100</f>
        <v>100</v>
      </c>
      <c r="I33" s="533">
        <v>392808</v>
      </c>
      <c r="J33" s="254">
        <f>LOOKUP(I33,103:103,104:104)-LOOKUP(C33,103:103,104:104)+100</f>
        <v>99</v>
      </c>
      <c r="K33" s="864"/>
      <c r="L33" s="2122"/>
      <c r="M33" s="2153"/>
      <c r="N33" s="2153"/>
      <c r="O33" s="2125"/>
      <c r="P33" s="3409"/>
      <c r="Q33" s="1587" t="str">
        <f t="shared" si="11"/>
        <v>项目建筑规模</v>
      </c>
      <c r="R33" s="1560" t="s">
        <v>11</v>
      </c>
      <c r="S33" s="1561">
        <f t="shared" si="12"/>
        <v>99</v>
      </c>
      <c r="T33" s="1560" t="s">
        <v>11</v>
      </c>
      <c r="U33" s="1561">
        <f t="shared" si="13"/>
        <v>100</v>
      </c>
      <c r="V33" s="1560" t="s">
        <v>11</v>
      </c>
      <c r="W33" s="1561">
        <f t="shared" si="14"/>
        <v>99</v>
      </c>
      <c r="X33" s="1562"/>
      <c r="Y33" s="3409"/>
      <c r="Z33" s="1563" t="str">
        <f t="shared" si="15"/>
        <v>项目建筑规模</v>
      </c>
      <c r="AA33" s="1559">
        <f t="shared" si="3"/>
        <v>1.0101010101010102</v>
      </c>
      <c r="AB33" s="1559">
        <f t="shared" si="4"/>
        <v>1</v>
      </c>
      <c r="AC33" s="1559">
        <f t="shared" si="5"/>
        <v>1.0101010101010102</v>
      </c>
    </row>
    <row r="34" spans="1:29" ht="15">
      <c r="A34" s="593"/>
      <c r="B34" s="526" t="s">
        <v>727</v>
      </c>
      <c r="C34" s="880" t="s">
        <v>3028</v>
      </c>
      <c r="D34" s="539">
        <v>100</v>
      </c>
      <c r="E34" s="881" t="s">
        <v>3028</v>
      </c>
      <c r="F34" s="574">
        <f>SUMIF(105:105,E34,106:106)-SUMIF(105:105,C34,106:106)+100</f>
        <v>100</v>
      </c>
      <c r="G34" s="880" t="s">
        <v>3028</v>
      </c>
      <c r="H34" s="539">
        <f>SUMIF(105:105,G34,106:106)-SUMIF(105:105,C34,106:106)+100</f>
        <v>100</v>
      </c>
      <c r="I34" s="881" t="s">
        <v>3028</v>
      </c>
      <c r="J34" s="539">
        <f>SUMIF(105:105,I34,106:106)-SUMIF(105:105,C34,106:106)+100</f>
        <v>100</v>
      </c>
      <c r="K34" s="863">
        <v>2</v>
      </c>
      <c r="L34" s="2124"/>
      <c r="M34" s="2116"/>
      <c r="N34" s="2116"/>
      <c r="O34" s="2123"/>
      <c r="P34" s="3409"/>
      <c r="Q34" s="1555" t="str">
        <f t="shared" si="11"/>
        <v>建筑结构</v>
      </c>
      <c r="R34" s="1556" t="s">
        <v>11</v>
      </c>
      <c r="S34" s="1557">
        <f t="shared" si="12"/>
        <v>100</v>
      </c>
      <c r="T34" s="1556" t="s">
        <v>11</v>
      </c>
      <c r="U34" s="1557">
        <f t="shared" si="13"/>
        <v>100</v>
      </c>
      <c r="V34" s="1556" t="s">
        <v>11</v>
      </c>
      <c r="W34" s="1557">
        <f t="shared" si="14"/>
        <v>100</v>
      </c>
      <c r="X34" s="1550"/>
      <c r="Y34" s="3409"/>
      <c r="Z34" s="1558" t="str">
        <f t="shared" si="15"/>
        <v>建筑结构</v>
      </c>
      <c r="AA34" s="1559">
        <f t="shared" si="3"/>
        <v>1</v>
      </c>
      <c r="AB34" s="1559">
        <f t="shared" si="4"/>
        <v>1</v>
      </c>
      <c r="AC34" s="1559">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4"/>
      <c r="M35" s="2116"/>
      <c r="N35" s="2116"/>
      <c r="O35" s="2123"/>
      <c r="P35" s="3409"/>
      <c r="Q35" s="1555" t="str">
        <f t="shared" si="11"/>
        <v>建筑品质</v>
      </c>
      <c r="R35" s="1556" t="s">
        <v>11</v>
      </c>
      <c r="S35" s="1557">
        <f t="shared" si="12"/>
        <v>100</v>
      </c>
      <c r="T35" s="1556" t="s">
        <v>11</v>
      </c>
      <c r="U35" s="1557">
        <f t="shared" si="13"/>
        <v>100</v>
      </c>
      <c r="V35" s="1556" t="s">
        <v>11</v>
      </c>
      <c r="W35" s="1557">
        <f t="shared" si="14"/>
        <v>100</v>
      </c>
      <c r="X35" s="1550"/>
      <c r="Y35" s="3409"/>
      <c r="Z35" s="1558" t="str">
        <f t="shared" si="15"/>
        <v>建筑品质</v>
      </c>
      <c r="AA35" s="1559">
        <f t="shared" si="3"/>
        <v>1</v>
      </c>
      <c r="AB35" s="1559">
        <f t="shared" si="4"/>
        <v>1</v>
      </c>
      <c r="AC35" s="1559">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v>2</v>
      </c>
      <c r="L36" s="2124"/>
      <c r="M36" s="2116"/>
      <c r="N36" s="2116"/>
      <c r="O36" s="2123"/>
      <c r="P36" s="3409"/>
      <c r="Q36" s="1555" t="str">
        <f t="shared" si="11"/>
        <v>公共部分装修</v>
      </c>
      <c r="R36" s="1556" t="s">
        <v>11</v>
      </c>
      <c r="S36" s="1557">
        <f t="shared" si="12"/>
        <v>100</v>
      </c>
      <c r="T36" s="1556" t="s">
        <v>11</v>
      </c>
      <c r="U36" s="1557">
        <f t="shared" si="13"/>
        <v>100</v>
      </c>
      <c r="V36" s="1556" t="s">
        <v>11</v>
      </c>
      <c r="W36" s="1557">
        <f t="shared" si="14"/>
        <v>100</v>
      </c>
      <c r="X36" s="1550"/>
      <c r="Y36" s="3409"/>
      <c r="Z36" s="1558" t="str">
        <f t="shared" si="15"/>
        <v>公共部分装修</v>
      </c>
      <c r="AA36" s="1559">
        <f t="shared" si="3"/>
        <v>1</v>
      </c>
      <c r="AB36" s="1559">
        <f t="shared" si="4"/>
        <v>1</v>
      </c>
      <c r="AC36" s="1559">
        <f t="shared" si="5"/>
        <v>1</v>
      </c>
    </row>
    <row r="37" spans="1:29" s="1214"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17"/>
      <c r="M37" s="2118"/>
      <c r="N37" s="2118"/>
      <c r="O37" s="2119"/>
      <c r="P37" s="3409"/>
      <c r="Q37" s="1145" t="str">
        <f t="shared" si="11"/>
        <v>成新度</v>
      </c>
      <c r="R37" s="1551" t="s">
        <v>11</v>
      </c>
      <c r="S37" s="1552">
        <f t="shared" si="12"/>
        <v>100</v>
      </c>
      <c r="T37" s="1551" t="s">
        <v>11</v>
      </c>
      <c r="U37" s="1552">
        <f t="shared" si="13"/>
        <v>100</v>
      </c>
      <c r="V37" s="1551" t="s">
        <v>11</v>
      </c>
      <c r="W37" s="1552">
        <f t="shared" si="14"/>
        <v>100</v>
      </c>
      <c r="X37" s="1553"/>
      <c r="Y37" s="3409"/>
      <c r="Z37" s="1144" t="str">
        <f t="shared" si="15"/>
        <v>成新度</v>
      </c>
      <c r="AA37" s="1554">
        <f t="shared" si="3"/>
        <v>1</v>
      </c>
      <c r="AB37" s="1554">
        <f t="shared" si="4"/>
        <v>1</v>
      </c>
      <c r="AC37" s="1554">
        <f t="shared" si="5"/>
        <v>1</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4"/>
      <c r="M38" s="2116"/>
      <c r="N38" s="2116"/>
      <c r="O38" s="2123"/>
      <c r="P38" s="3409" t="s">
        <v>550</v>
      </c>
      <c r="Q38" s="1555" t="str">
        <f t="shared" si="11"/>
        <v>物业管理</v>
      </c>
      <c r="R38" s="1556" t="s">
        <v>11</v>
      </c>
      <c r="S38" s="1557">
        <f t="shared" si="12"/>
        <v>100</v>
      </c>
      <c r="T38" s="1556" t="s">
        <v>11</v>
      </c>
      <c r="U38" s="1557">
        <f t="shared" si="13"/>
        <v>100</v>
      </c>
      <c r="V38" s="1556" t="s">
        <v>11</v>
      </c>
      <c r="W38" s="1557">
        <f t="shared" si="14"/>
        <v>100</v>
      </c>
      <c r="X38" s="1550"/>
      <c r="Y38" s="3409" t="s">
        <v>550</v>
      </c>
      <c r="Z38" s="1558" t="str">
        <f t="shared" si="15"/>
        <v>物业管理</v>
      </c>
      <c r="AA38" s="1559">
        <f t="shared" si="3"/>
        <v>1</v>
      </c>
      <c r="AB38" s="1559">
        <f t="shared" si="4"/>
        <v>1</v>
      </c>
      <c r="AC38" s="1559">
        <f t="shared" si="5"/>
        <v>1</v>
      </c>
    </row>
    <row r="39" spans="1:29" ht="15">
      <c r="A39" s="593"/>
      <c r="B39" s="1877" t="s">
        <v>2555</v>
      </c>
      <c r="C39" s="598" t="s">
        <v>3254</v>
      </c>
      <c r="D39" s="539">
        <v>100</v>
      </c>
      <c r="E39" s="598" t="s">
        <v>3254</v>
      </c>
      <c r="F39" s="574">
        <f>SUMIF(116:116,E39,117:117)-SUMIF(116:116,C39,117:117)+100</f>
        <v>100</v>
      </c>
      <c r="G39" s="598" t="s">
        <v>3254</v>
      </c>
      <c r="H39" s="539">
        <f>SUMIF(116:116,G39,117:117)-SUMIF(116:116,C39,117:117)+100</f>
        <v>100</v>
      </c>
      <c r="I39" s="598" t="s">
        <v>3254</v>
      </c>
      <c r="J39" s="539">
        <f>SUMIF(116:116,I39,117:117)-SUMIF(116:116,C39,117:117)+100</f>
        <v>100</v>
      </c>
      <c r="K39" s="863">
        <v>1</v>
      </c>
      <c r="L39" s="2124"/>
      <c r="M39" s="2116"/>
      <c r="N39" s="2116"/>
      <c r="O39" s="2123"/>
      <c r="P39" s="3409"/>
      <c r="Q39" s="1555" t="str">
        <f t="shared" si="11"/>
        <v>市政基础设施</v>
      </c>
      <c r="R39" s="1556" t="s">
        <v>11</v>
      </c>
      <c r="S39" s="1557">
        <f t="shared" si="12"/>
        <v>100</v>
      </c>
      <c r="T39" s="1556" t="s">
        <v>11</v>
      </c>
      <c r="U39" s="1557">
        <f t="shared" si="13"/>
        <v>100</v>
      </c>
      <c r="V39" s="1556" t="s">
        <v>11</v>
      </c>
      <c r="W39" s="1557">
        <f t="shared" si="14"/>
        <v>100</v>
      </c>
      <c r="X39" s="1550"/>
      <c r="Y39" s="3409"/>
      <c r="Z39" s="1558" t="str">
        <f t="shared" si="15"/>
        <v>市政基础设施</v>
      </c>
      <c r="AA39" s="1559">
        <f t="shared" si="3"/>
        <v>1</v>
      </c>
      <c r="AB39" s="1559">
        <f t="shared" si="4"/>
        <v>1</v>
      </c>
      <c r="AC39" s="1559">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4"/>
      <c r="M40" s="2116"/>
      <c r="N40" s="2116"/>
      <c r="O40" s="2123"/>
      <c r="P40" s="3409"/>
      <c r="Q40" s="1555" t="str">
        <f t="shared" si="11"/>
        <v>房型</v>
      </c>
      <c r="R40" s="1556" t="s">
        <v>11</v>
      </c>
      <c r="S40" s="1557">
        <f t="shared" si="12"/>
        <v>100</v>
      </c>
      <c r="T40" s="1556" t="s">
        <v>11</v>
      </c>
      <c r="U40" s="1557">
        <f t="shared" si="13"/>
        <v>100</v>
      </c>
      <c r="V40" s="1556" t="s">
        <v>11</v>
      </c>
      <c r="W40" s="1557">
        <f t="shared" si="14"/>
        <v>100</v>
      </c>
      <c r="X40" s="1550"/>
      <c r="Y40" s="3409"/>
      <c r="Z40" s="1558" t="str">
        <f t="shared" si="15"/>
        <v>房型</v>
      </c>
      <c r="AA40" s="1559">
        <f t="shared" si="3"/>
        <v>1</v>
      </c>
      <c r="AB40" s="1559">
        <f t="shared" si="4"/>
        <v>1</v>
      </c>
      <c r="AC40" s="1559">
        <f t="shared" si="5"/>
        <v>1</v>
      </c>
    </row>
    <row r="41" spans="1:29" s="1333"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2"/>
      <c r="M41" s="2153"/>
      <c r="N41" s="2153"/>
      <c r="O41" s="2125"/>
      <c r="P41" s="3409"/>
      <c r="Q41" s="1587" t="str">
        <f t="shared" si="11"/>
        <v>单套/主力户型建筑面积</v>
      </c>
      <c r="R41" s="1560" t="s">
        <v>11</v>
      </c>
      <c r="S41" s="1561">
        <f t="shared" si="12"/>
        <v>100</v>
      </c>
      <c r="T41" s="1560" t="s">
        <v>11</v>
      </c>
      <c r="U41" s="1561">
        <f t="shared" si="13"/>
        <v>100</v>
      </c>
      <c r="V41" s="1560" t="s">
        <v>11</v>
      </c>
      <c r="W41" s="1561">
        <f t="shared" si="14"/>
        <v>100</v>
      </c>
      <c r="X41" s="1562"/>
      <c r="Y41" s="3409"/>
      <c r="Z41" s="1563" t="str">
        <f t="shared" si="15"/>
        <v>单套/主力户型建筑面积</v>
      </c>
      <c r="AA41" s="1559">
        <f t="shared" si="3"/>
        <v>1</v>
      </c>
      <c r="AB41" s="1559">
        <f t="shared" si="4"/>
        <v>1</v>
      </c>
      <c r="AC41" s="1559">
        <f t="shared" si="5"/>
        <v>1</v>
      </c>
    </row>
    <row r="42" spans="1:29" ht="15">
      <c r="A42" s="593"/>
      <c r="B42" s="526" t="s">
        <v>734</v>
      </c>
      <c r="C42" s="598" t="s">
        <v>3278</v>
      </c>
      <c r="D42" s="539">
        <v>100</v>
      </c>
      <c r="E42" s="873" t="s">
        <v>3278</v>
      </c>
      <c r="F42" s="574">
        <f>SUMIF(122:122,E42,123:123)-SUMIF(122:122,C42,123:123)+100</f>
        <v>100</v>
      </c>
      <c r="G42" s="598" t="s">
        <v>3278</v>
      </c>
      <c r="H42" s="539">
        <f>SUMIF(122:122,G42,123:123)-SUMIF(122:122,C42,123:123)+100</f>
        <v>100</v>
      </c>
      <c r="I42" s="873" t="s">
        <v>3276</v>
      </c>
      <c r="J42" s="539">
        <f>SUMIF(122:122,I42,123:123)-SUMIF(122:122,C42,123:123)+100</f>
        <v>102</v>
      </c>
      <c r="K42" s="863">
        <v>2</v>
      </c>
      <c r="L42" s="2124"/>
      <c r="M42" s="2116"/>
      <c r="N42" s="2116"/>
      <c r="O42" s="2123"/>
      <c r="P42" s="3409"/>
      <c r="Q42" s="1555" t="str">
        <f t="shared" si="11"/>
        <v>内部装修</v>
      </c>
      <c r="R42" s="1556" t="s">
        <v>11</v>
      </c>
      <c r="S42" s="1557">
        <f t="shared" si="12"/>
        <v>100</v>
      </c>
      <c r="T42" s="1556" t="s">
        <v>11</v>
      </c>
      <c r="U42" s="1557">
        <f t="shared" si="13"/>
        <v>100</v>
      </c>
      <c r="V42" s="1556" t="s">
        <v>11</v>
      </c>
      <c r="W42" s="1557">
        <f t="shared" si="14"/>
        <v>102</v>
      </c>
      <c r="X42" s="1550"/>
      <c r="Y42" s="3409"/>
      <c r="Z42" s="1558" t="str">
        <f t="shared" si="15"/>
        <v>内部装修</v>
      </c>
      <c r="AA42" s="1559">
        <f t="shared" si="3"/>
        <v>1</v>
      </c>
      <c r="AB42" s="1559">
        <f t="shared" si="4"/>
        <v>1</v>
      </c>
      <c r="AC42" s="1559">
        <f t="shared" si="5"/>
        <v>0.98039215686274506</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4"/>
      <c r="M43" s="2116"/>
      <c r="N43" s="2116"/>
      <c r="O43" s="2123"/>
      <c r="P43" s="3409"/>
      <c r="Q43" s="1555" t="str">
        <f t="shared" si="11"/>
        <v>内部装修维护情况</v>
      </c>
      <c r="R43" s="1556" t="s">
        <v>11</v>
      </c>
      <c r="S43" s="1557">
        <f t="shared" si="12"/>
        <v>100</v>
      </c>
      <c r="T43" s="1556" t="s">
        <v>11</v>
      </c>
      <c r="U43" s="1557">
        <f t="shared" si="13"/>
        <v>100</v>
      </c>
      <c r="V43" s="1556" t="s">
        <v>11</v>
      </c>
      <c r="W43" s="1557">
        <f t="shared" si="14"/>
        <v>100</v>
      </c>
      <c r="X43" s="1550"/>
      <c r="Y43" s="3409"/>
      <c r="Z43" s="1558" t="str">
        <f t="shared" si="15"/>
        <v>内部装修维护情况</v>
      </c>
      <c r="AA43" s="1559">
        <f t="shared" si="3"/>
        <v>1</v>
      </c>
      <c r="AB43" s="1559">
        <f t="shared" si="4"/>
        <v>1</v>
      </c>
      <c r="AC43" s="1559">
        <f t="shared" si="5"/>
        <v>1</v>
      </c>
    </row>
    <row r="44" spans="1:29" s="1214"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7"/>
      <c r="M44" s="2118"/>
      <c r="N44" s="2118"/>
      <c r="O44" s="2119"/>
      <c r="P44" s="3409"/>
      <c r="Q44" s="1145">
        <f t="shared" si="11"/>
        <v>111</v>
      </c>
      <c r="R44" s="1551" t="s">
        <v>11</v>
      </c>
      <c r="S44" s="1552">
        <f t="shared" si="12"/>
        <v>100</v>
      </c>
      <c r="T44" s="1551" t="s">
        <v>11</v>
      </c>
      <c r="U44" s="1552">
        <f t="shared" si="13"/>
        <v>100</v>
      </c>
      <c r="V44" s="1551" t="s">
        <v>11</v>
      </c>
      <c r="W44" s="1552">
        <f t="shared" si="14"/>
        <v>100</v>
      </c>
      <c r="X44" s="1553"/>
      <c r="Y44" s="3409"/>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409"/>
      <c r="Q45" s="1555">
        <f t="shared" si="11"/>
        <v>111</v>
      </c>
      <c r="R45" s="1556" t="s">
        <v>11</v>
      </c>
      <c r="S45" s="1557">
        <f t="shared" si="12"/>
        <v>100</v>
      </c>
      <c r="T45" s="1556" t="s">
        <v>11</v>
      </c>
      <c r="U45" s="1557">
        <f t="shared" si="13"/>
        <v>100</v>
      </c>
      <c r="V45" s="1556" t="s">
        <v>11</v>
      </c>
      <c r="W45" s="1557">
        <f t="shared" si="14"/>
        <v>100</v>
      </c>
      <c r="X45" s="1550"/>
      <c r="Y45" s="3409"/>
      <c r="Z45" s="1558">
        <f t="shared" si="15"/>
        <v>111</v>
      </c>
      <c r="AA45" s="1559">
        <f t="shared" si="3"/>
        <v>1</v>
      </c>
      <c r="AB45" s="1559">
        <f t="shared" si="4"/>
        <v>1</v>
      </c>
      <c r="AC45" s="1559">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509"/>
      <c r="Q46" s="1555">
        <f t="shared" si="11"/>
        <v>111</v>
      </c>
      <c r="R46" s="1556" t="s">
        <v>10</v>
      </c>
      <c r="S46" s="1557">
        <f t="shared" si="12"/>
        <v>100</v>
      </c>
      <c r="T46" s="1556" t="s">
        <v>10</v>
      </c>
      <c r="U46" s="1557">
        <f t="shared" si="13"/>
        <v>100</v>
      </c>
      <c r="V46" s="1556" t="s">
        <v>10</v>
      </c>
      <c r="W46" s="1557">
        <f t="shared" si="14"/>
        <v>100</v>
      </c>
      <c r="X46" s="1550"/>
      <c r="Y46" s="3509"/>
      <c r="Z46" s="1558">
        <f t="shared" si="15"/>
        <v>111</v>
      </c>
      <c r="AA46" s="1559">
        <f t="shared" si="3"/>
        <v>1</v>
      </c>
      <c r="AB46" s="1559">
        <f t="shared" si="4"/>
        <v>1</v>
      </c>
      <c r="AC46" s="1559">
        <f t="shared" si="5"/>
        <v>1</v>
      </c>
    </row>
    <row r="47" spans="1:29" ht="15">
      <c r="A47" s="606" t="s">
        <v>736</v>
      </c>
      <c r="B47" s="886"/>
      <c r="C47" s="2588" t="s">
        <v>9</v>
      </c>
      <c r="D47" s="2589"/>
      <c r="E47" s="2590">
        <v>15200</v>
      </c>
      <c r="F47" s="2591"/>
      <c r="G47" s="2592">
        <v>14800</v>
      </c>
      <c r="H47" s="2593"/>
      <c r="I47" s="2590">
        <v>14800</v>
      </c>
      <c r="J47" s="2593"/>
      <c r="K47" s="1588"/>
      <c r="L47" s="2126"/>
      <c r="M47" s="2127"/>
      <c r="N47" s="2116"/>
      <c r="O47" s="2127"/>
      <c r="P47" s="3404" t="str">
        <f>A47</f>
        <v>成交单价（元/平方米）</v>
      </c>
      <c r="Q47" s="3404"/>
      <c r="R47" s="3508">
        <f>E47</f>
        <v>15200</v>
      </c>
      <c r="S47" s="3508"/>
      <c r="T47" s="3508">
        <f>G47</f>
        <v>14800</v>
      </c>
      <c r="U47" s="3508"/>
      <c r="V47" s="3508">
        <f>I47</f>
        <v>14800</v>
      </c>
      <c r="W47" s="3508"/>
      <c r="X47" s="1542"/>
      <c r="Y47" s="1564"/>
      <c r="Z47" s="1542"/>
      <c r="AA47" s="1542"/>
      <c r="AB47" s="1542"/>
      <c r="AC47" s="1542"/>
    </row>
    <row r="48" spans="1:29" ht="15.75" thickBot="1">
      <c r="A48" s="614" t="s">
        <v>2750</v>
      </c>
      <c r="B48" s="887"/>
      <c r="C48" s="2594">
        <f>R49</f>
        <v>14939</v>
      </c>
      <c r="D48" s="2595"/>
      <c r="E48" s="2596">
        <f>R48</f>
        <v>15052</v>
      </c>
      <c r="F48" s="2596"/>
      <c r="G48" s="2594">
        <f>T48</f>
        <v>15102</v>
      </c>
      <c r="H48" s="2595"/>
      <c r="I48" s="2596">
        <f>V48</f>
        <v>14662</v>
      </c>
      <c r="J48" s="2595"/>
      <c r="K48" s="1589"/>
      <c r="L48" s="2126"/>
      <c r="M48" s="2127"/>
      <c r="N48" s="2127"/>
      <c r="O48" s="2127"/>
      <c r="P48" s="3404" t="str">
        <f>A48</f>
        <v>比较价格（元/平方米）</v>
      </c>
      <c r="Q48" s="3404"/>
      <c r="R48" s="3508">
        <f>IF(F1="售价",ROUND(PRODUCT(R47,AA7:AA46),0),ROUND(PRODUCT(R47,AA7:AA46),1))</f>
        <v>15052</v>
      </c>
      <c r="S48" s="3508"/>
      <c r="T48" s="3508">
        <f>IF(F1="售价",ROUND(PRODUCT(T47,AB7:AB46),0),ROUND(PRODUCT(T47,AB7:AB46),1))</f>
        <v>15102</v>
      </c>
      <c r="U48" s="3508"/>
      <c r="V48" s="3508">
        <f>IF(F1="售价",ROUND(PRODUCT(V47,AC7:AC46),0),ROUND(PRODUCT(V47,AC7:AC46),1))</f>
        <v>14662</v>
      </c>
      <c r="W48" s="3508"/>
      <c r="X48" s="1542"/>
      <c r="Y48" s="1542"/>
      <c r="Z48" s="1542"/>
      <c r="AA48" s="1542"/>
      <c r="AB48" s="1542"/>
      <c r="AC48" s="1542"/>
    </row>
    <row r="49" spans="1:29" ht="15.75" thickBot="1">
      <c r="A49" s="620" t="s">
        <v>2925</v>
      </c>
      <c r="B49" s="621"/>
      <c r="C49" s="2597">
        <f>R49</f>
        <v>14939</v>
      </c>
      <c r="D49" s="2597"/>
      <c r="E49" s="2597"/>
      <c r="F49" s="2597"/>
      <c r="G49" s="2597"/>
      <c r="H49" s="2597"/>
      <c r="I49" s="2597"/>
      <c r="J49" s="2597"/>
      <c r="K49" s="1590"/>
      <c r="L49" s="2126"/>
      <c r="M49" s="2127"/>
      <c r="N49" s="2127"/>
      <c r="O49" s="2127"/>
      <c r="P49" s="3425" t="str">
        <f>A49</f>
        <v>估价对象XX用房的比较价格（楼面单价，元/平方米）</v>
      </c>
      <c r="Q49" s="3426"/>
      <c r="R49" s="3507">
        <f>IF(F1="售价",ROUND(AVERAGE(R48:V48),0),ROUND(AVERAGE(R48:V48),1))</f>
        <v>14939</v>
      </c>
      <c r="S49" s="3507"/>
      <c r="T49" s="3507"/>
      <c r="U49" s="3507"/>
      <c r="V49" s="3507"/>
      <c r="W49" s="3507"/>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f>IF(E47&lt;E48,E48/E47-1,E47/E48-1)</f>
        <v>9.8325803879883988E-3</v>
      </c>
      <c r="F52" s="626" t="str">
        <f>IF(OR(E52&gt;=0.3,E52&lt;=-0.3),"超过30%","")</f>
        <v/>
      </c>
      <c r="G52" s="625">
        <f>IF(G47&lt;G48,G48/G47-1,G47/G48-1)</f>
        <v>2.0405405405405475E-2</v>
      </c>
      <c r="H52" s="626" t="str">
        <f>IF(OR(G52&gt;=0.3,G52&lt;=-0.3),"超过30%","")</f>
        <v/>
      </c>
      <c r="I52" s="625">
        <f>IF(I47&lt;I48,I48/I47-1,I47/I48-1)</f>
        <v>9.4120856636201733E-3</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f>IF(E48&lt;G48,G48/E48-1,E48/G48-1)</f>
        <v>3.3218176986447023E-3</v>
      </c>
      <c r="F53" s="626" t="str">
        <f>IF(OR(E53&gt;=0.2,E53&lt;=-0.2),"超过20%","")</f>
        <v/>
      </c>
      <c r="G53" s="625">
        <f>IF(G48&lt;I48,I48/G48-1,G48/I48-1)</f>
        <v>3.000954849270232E-2</v>
      </c>
      <c r="H53" s="626" t="str">
        <f>IF(OR(G53&gt;=0.2,G53&lt;=-0.2),"超过20%","")</f>
        <v/>
      </c>
      <c r="I53" s="625">
        <f>IF(I48&lt;E48,E48/I48-1,I48/E48-1)</f>
        <v>2.6599372527622345E-2</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559</v>
      </c>
      <c r="D54" s="627"/>
      <c r="E54" s="625">
        <f>IF(E47&lt;G47,G47/E47-1,E47/G47-1)</f>
        <v>2.7027027027026973E-2</v>
      </c>
      <c r="F54" s="626" t="str">
        <f>IF(OR(E54&gt;=0.3,E54&lt;=-0.3),"超过30%","")</f>
        <v/>
      </c>
      <c r="G54" s="625">
        <f>IF(G47&lt;I47,I47/G47-1,G47/I47-1)</f>
        <v>0</v>
      </c>
      <c r="H54" s="626" t="str">
        <f>IF(OR(G54&gt;=0.3,G54&lt;=-0.3),"超过30%","")</f>
        <v/>
      </c>
      <c r="I54" s="625">
        <f>IF(I47&lt;E47,E47/I47-1,I47/E47-1)</f>
        <v>2.7027027027026973E-2</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4" t="s">
        <v>529</v>
      </c>
      <c r="B58" s="645"/>
      <c r="C58" s="2640" t="str">
        <f>YEAR(C7)&amp;"-"&amp;MONTH(C7)</f>
        <v>2020-8</v>
      </c>
      <c r="D58" s="2640">
        <f>EDATE(C58,-1)</f>
        <v>44013</v>
      </c>
      <c r="E58" s="2640">
        <f t="shared" ref="E58:O58" si="16">EDATE(D58,-1)</f>
        <v>43983</v>
      </c>
      <c r="F58" s="2640">
        <f t="shared" si="16"/>
        <v>43952</v>
      </c>
      <c r="G58" s="2640">
        <f t="shared" si="16"/>
        <v>43922</v>
      </c>
      <c r="H58" s="2640">
        <f t="shared" si="16"/>
        <v>43891</v>
      </c>
      <c r="I58" s="2640">
        <f t="shared" si="16"/>
        <v>43862</v>
      </c>
      <c r="J58" s="2640">
        <f t="shared" si="16"/>
        <v>43831</v>
      </c>
      <c r="K58" s="2640">
        <f t="shared" si="16"/>
        <v>43800</v>
      </c>
      <c r="L58" s="2640">
        <f t="shared" si="16"/>
        <v>43770</v>
      </c>
      <c r="M58" s="2640">
        <f t="shared" si="16"/>
        <v>43739</v>
      </c>
      <c r="N58" s="2640">
        <f t="shared" si="16"/>
        <v>43709</v>
      </c>
      <c r="O58" s="2640">
        <f t="shared" si="16"/>
        <v>43678</v>
      </c>
      <c r="P58" s="2142"/>
      <c r="Q58" s="2143"/>
      <c r="R58" s="2143"/>
      <c r="S58" s="2143"/>
      <c r="T58" s="2143"/>
      <c r="U58" s="2143"/>
      <c r="V58" s="2143"/>
      <c r="W58" s="2143"/>
      <c r="X58" s="2143"/>
      <c r="Y58" s="2143"/>
      <c r="Z58" s="2143"/>
      <c r="AA58" s="2143"/>
      <c r="AB58" s="2143"/>
      <c r="AC58" s="2143"/>
    </row>
    <row r="59" spans="1:29" s="1214" customFormat="1" ht="15">
      <c r="A59" s="646"/>
      <c r="B59" s="647"/>
      <c r="C59" s="648">
        <v>100</v>
      </c>
      <c r="D59" s="649"/>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4"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c r="A63" s="663" t="s">
        <v>577</v>
      </c>
      <c r="B63" s="664" t="s">
        <v>534</v>
      </c>
      <c r="C63" s="703" t="str">
        <f>C9</f>
        <v>住宅</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0（含）-0.5</v>
      </c>
      <c r="D67" s="681" t="str">
        <f t="shared" ref="D67:L67" si="18">D68&amp;"（含）"&amp;"-"&amp;E68</f>
        <v>0.5（含）-1</v>
      </c>
      <c r="E67" s="681" t="str">
        <f t="shared" si="18"/>
        <v>1（含）-1.5</v>
      </c>
      <c r="F67" s="681" t="str">
        <f t="shared" si="18"/>
        <v>1.5（含）-2</v>
      </c>
      <c r="G67" s="681" t="str">
        <f t="shared" si="18"/>
        <v>2（含）-2.5</v>
      </c>
      <c r="H67" s="681" t="str">
        <f t="shared" si="18"/>
        <v>2.5（含）-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v>0</v>
      </c>
      <c r="D68" s="540">
        <v>0.5</v>
      </c>
      <c r="E68" s="540">
        <v>1</v>
      </c>
      <c r="F68" s="540">
        <v>1.5</v>
      </c>
      <c r="G68" s="540">
        <v>2</v>
      </c>
      <c r="H68" s="540">
        <v>2.5</v>
      </c>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98</v>
      </c>
      <c r="E77" s="678">
        <f>D77-$K15</f>
        <v>96</v>
      </c>
      <c r="F77" s="678">
        <f>E77-$K15</f>
        <v>94</v>
      </c>
      <c r="G77" s="678">
        <f>F77-$K15</f>
        <v>92</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98</v>
      </c>
      <c r="E79" s="678">
        <f>D79-$K17</f>
        <v>96</v>
      </c>
      <c r="F79" s="678">
        <f>E79-$K17</f>
        <v>94</v>
      </c>
      <c r="G79" s="678">
        <f>F79-$K17</f>
        <v>92</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2548</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98</v>
      </c>
      <c r="E81" s="678">
        <f>D81-$K19</f>
        <v>96</v>
      </c>
      <c r="F81" s="678">
        <f>E81-$K19</f>
        <v>94</v>
      </c>
      <c r="G81" s="678">
        <f>F81-$K19</f>
        <v>92</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2549</v>
      </c>
      <c r="C82" s="2559" t="s">
        <v>2550</v>
      </c>
      <c r="D82" s="2559" t="s">
        <v>2551</v>
      </c>
      <c r="E82" s="2559" t="s">
        <v>2552</v>
      </c>
      <c r="F82" s="2559" t="s">
        <v>2553</v>
      </c>
      <c r="G82" s="2559" t="s">
        <v>2554</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99</v>
      </c>
      <c r="E83" s="678">
        <f>D83-$K21</f>
        <v>98</v>
      </c>
      <c r="F83" s="678">
        <f>E83-$K21</f>
        <v>97</v>
      </c>
      <c r="G83" s="678">
        <f>F83-$K21</f>
        <v>96</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98</v>
      </c>
      <c r="E85" s="678">
        <f>D85-$K23</f>
        <v>96</v>
      </c>
      <c r="F85" s="678">
        <f>E85-$K23</f>
        <v>94</v>
      </c>
      <c r="G85" s="678">
        <f>F85-$K23</f>
        <v>92</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8"/>
      <c r="B86" s="1878" t="s">
        <v>2249</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8"/>
      <c r="B88" s="672" t="s">
        <v>746</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5.75"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747</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8"/>
      <c r="B102" s="672" t="s">
        <v>748</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v>0</v>
      </c>
      <c r="D103" s="729">
        <v>200000</v>
      </c>
      <c r="E103" s="729">
        <v>400000</v>
      </c>
      <c r="F103" s="729">
        <v>600000</v>
      </c>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6"/>
      <c r="B104" s="677"/>
      <c r="C104" s="691">
        <v>100</v>
      </c>
      <c r="D104" s="670">
        <v>101</v>
      </c>
      <c r="E104" s="670">
        <v>102</v>
      </c>
      <c r="F104" s="670">
        <v>103</v>
      </c>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3194" t="s">
        <v>3284</v>
      </c>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717"/>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687"/>
      <c r="D109" s="687"/>
      <c r="E109" s="687"/>
      <c r="F109" s="717"/>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7"/>
      <c r="B112" s="680"/>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2547</v>
      </c>
      <c r="C116" s="3194" t="s">
        <v>3282</v>
      </c>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3" customFormat="1" ht="28.5" thickTop="1">
      <c r="A120" s="727"/>
      <c r="B120" s="672" t="s">
        <v>733</v>
      </c>
      <c r="C120" s="687"/>
      <c r="D120" s="687"/>
      <c r="E120" s="687"/>
      <c r="F120" s="687"/>
      <c r="G120" s="687"/>
      <c r="H120" s="687"/>
      <c r="I120" s="687"/>
      <c r="J120" s="687"/>
      <c r="K120" s="687"/>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3194" t="s">
        <v>3277</v>
      </c>
      <c r="D122" s="3194" t="s">
        <v>3314</v>
      </c>
      <c r="E122" s="3194"/>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2250</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2251</v>
      </c>
      <c r="C137" s="1901"/>
      <c r="D137" s="1901"/>
      <c r="E137" s="1901"/>
      <c r="F137" s="1901"/>
      <c r="G137" s="1902"/>
      <c r="H137" s="1903"/>
      <c r="I137" s="1904" t="s">
        <v>2252</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2253</v>
      </c>
      <c r="D138" s="1907" t="s">
        <v>2254</v>
      </c>
      <c r="E138" s="1908" t="s">
        <v>2255</v>
      </c>
      <c r="F138" s="1909" t="s">
        <v>2256</v>
      </c>
      <c r="G138" s="1907" t="s">
        <v>2257</v>
      </c>
      <c r="H138" s="1910" t="s">
        <v>2258</v>
      </c>
      <c r="I138" s="1911"/>
      <c r="J138" s="1907" t="s">
        <v>2259</v>
      </c>
      <c r="K138" s="1910" t="s">
        <v>2260</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2261</v>
      </c>
      <c r="E139" s="1881">
        <v>100</v>
      </c>
      <c r="F139" s="1882">
        <v>102.5</v>
      </c>
      <c r="G139" s="1912" t="s">
        <v>2262</v>
      </c>
      <c r="H139" s="1883">
        <v>105</v>
      </c>
      <c r="I139" s="1913" t="s">
        <v>2263</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2264</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2265</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2266</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2267</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2268</v>
      </c>
      <c r="E144" s="1887">
        <v>102</v>
      </c>
      <c r="F144" s="1893">
        <v>100</v>
      </c>
      <c r="G144" s="1916" t="s">
        <v>2268</v>
      </c>
      <c r="H144" s="1889">
        <v>105</v>
      </c>
      <c r="I144" s="1915" t="s">
        <v>2267</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2269</v>
      </c>
      <c r="C145" s="1894">
        <f>ROUND(MAX(C139:C144)/MIN(C139:C144)-1,3)</f>
        <v>7.2999999999999995E-2</v>
      </c>
      <c r="D145" s="1918"/>
      <c r="E145" s="1918"/>
      <c r="F145" s="1919" t="s">
        <v>2270</v>
      </c>
      <c r="G145" s="1920"/>
      <c r="H145" s="1921"/>
      <c r="I145" s="1922" t="s">
        <v>2267</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2278</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2279</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1">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N43:N45"/>
  <sheetViews>
    <sheetView topLeftCell="A127" workbookViewId="0">
      <selection activeCell="W145" sqref="W145"/>
    </sheetView>
  </sheetViews>
  <sheetFormatPr defaultRowHeight="13.5"/>
  <sheetData>
    <row r="43" spans="14:14">
      <c r="N43" s="3207" t="s">
        <v>3305</v>
      </c>
    </row>
    <row r="44" spans="14:14">
      <c r="N44" s="3207" t="s">
        <v>3306</v>
      </c>
    </row>
    <row r="45" spans="14:14">
      <c r="N45" s="3207" t="s">
        <v>3307</v>
      </c>
    </row>
  </sheetData>
  <phoneticPr fontId="22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682"/>
  <sheetViews>
    <sheetView zoomScale="90" zoomScaleNormal="90" workbookViewId="0">
      <pane ySplit="24" topLeftCell="A25" activePane="bottomLeft" state="frozen"/>
      <selection pane="bottomLeft" activeCell="F16" sqref="F16"/>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6"/>
    <col min="36" max="16384" width="9" style="1244"/>
  </cols>
  <sheetData>
    <row r="1" spans="1:45" s="256" customFormat="1" ht="14.25" customHeight="1" thickBot="1">
      <c r="A1" s="364"/>
      <c r="B1" s="2216" t="s">
        <v>2294</v>
      </c>
      <c r="C1" s="3513" t="s">
        <v>2295</v>
      </c>
      <c r="D1" s="3514"/>
      <c r="E1" s="3514"/>
      <c r="F1" s="3514"/>
      <c r="G1" s="3514"/>
      <c r="H1" s="3514"/>
      <c r="I1" s="3514"/>
      <c r="J1" s="3514"/>
      <c r="K1" s="3514"/>
      <c r="L1" s="3514"/>
      <c r="M1" s="3514"/>
      <c r="N1" s="3514"/>
      <c r="O1" s="3514"/>
      <c r="P1" s="3514"/>
      <c r="Q1" s="3514"/>
      <c r="R1" s="3514"/>
      <c r="S1" s="3515"/>
      <c r="T1" s="2216" t="s">
        <v>2296</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3038" t="s">
        <v>2297</v>
      </c>
      <c r="C2" s="948" t="str">
        <f t="shared" ref="C2:L2" si="0">C3&amp;"(含)"&amp;"-"&amp;D3</f>
        <v>0(含)-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v>0</v>
      </c>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203" t="s">
        <v>3293</v>
      </c>
      <c r="C5" s="3204" t="s">
        <v>3294</v>
      </c>
      <c r="D5" s="3205" t="s">
        <v>3295</v>
      </c>
      <c r="E5" s="3205" t="s">
        <v>3296</v>
      </c>
      <c r="F5" s="3205" t="s">
        <v>3297</v>
      </c>
      <c r="G5" s="2235"/>
      <c r="H5" s="2235"/>
      <c r="I5" s="2235"/>
      <c r="J5" s="2235"/>
      <c r="K5" s="2235"/>
      <c r="L5" s="2236"/>
      <c r="M5" s="2237"/>
      <c r="N5" s="2237"/>
      <c r="O5" s="2235"/>
      <c r="P5" s="2235"/>
      <c r="Q5" s="2235"/>
      <c r="R5" s="2235"/>
      <c r="S5" s="2238"/>
      <c r="T5" s="2239">
        <v>2</v>
      </c>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98</v>
      </c>
      <c r="E6" s="1951">
        <f t="shared" ref="E6:S6" si="7">D6-$T5</f>
        <v>96</v>
      </c>
      <c r="F6" s="1951">
        <f t="shared" si="7"/>
        <v>94</v>
      </c>
      <c r="G6" s="1951">
        <f t="shared" si="7"/>
        <v>92</v>
      </c>
      <c r="H6" s="1951">
        <f t="shared" si="7"/>
        <v>90</v>
      </c>
      <c r="I6" s="1951">
        <f t="shared" si="7"/>
        <v>88</v>
      </c>
      <c r="J6" s="1951">
        <f t="shared" si="7"/>
        <v>86</v>
      </c>
      <c r="K6" s="1951">
        <f t="shared" si="7"/>
        <v>84</v>
      </c>
      <c r="L6" s="1951">
        <f t="shared" si="7"/>
        <v>82</v>
      </c>
      <c r="M6" s="1951">
        <f t="shared" si="7"/>
        <v>80</v>
      </c>
      <c r="N6" s="1951">
        <f t="shared" si="7"/>
        <v>78</v>
      </c>
      <c r="O6" s="1951">
        <f t="shared" si="7"/>
        <v>76</v>
      </c>
      <c r="P6" s="1951">
        <f t="shared" si="7"/>
        <v>74</v>
      </c>
      <c r="Q6" s="1951">
        <f t="shared" si="7"/>
        <v>72</v>
      </c>
      <c r="R6" s="1951">
        <f t="shared" si="7"/>
        <v>70</v>
      </c>
      <c r="S6" s="1951">
        <f t="shared" si="7"/>
        <v>68</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2917" t="s">
        <v>2918</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2917" t="s">
        <v>2917</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2916"/>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2915" t="s">
        <v>2929</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ht="36">
      <c r="A13" s="2233"/>
      <c r="B13" s="3203" t="s">
        <v>3289</v>
      </c>
      <c r="C13" s="3204" t="s">
        <v>3290</v>
      </c>
      <c r="D13" s="3205" t="s">
        <v>3291</v>
      </c>
      <c r="E13" s="3205" t="s">
        <v>3292</v>
      </c>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v>100</v>
      </c>
      <c r="D14" s="3528">
        <v>130</v>
      </c>
      <c r="E14" s="3528">
        <v>200</v>
      </c>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2915" t="s">
        <v>2916</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2298</v>
      </c>
      <c r="B17" s="2260" t="s">
        <v>2299</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7"/>
      <c r="C19" s="1972"/>
      <c r="D19" s="1972"/>
      <c r="E19" s="1972"/>
      <c r="F19" s="1972"/>
      <c r="G19" s="1972"/>
      <c r="H19" s="1972"/>
      <c r="I19" s="1972"/>
      <c r="J19" s="1972"/>
      <c r="K19" s="1972"/>
      <c r="L19" s="1972"/>
      <c r="M19" s="1972"/>
      <c r="N19" s="1972"/>
      <c r="O19" s="1972"/>
      <c r="P19" s="1972"/>
      <c r="Q19" s="1972"/>
      <c r="R19" s="2207"/>
      <c r="S19" s="2010"/>
    </row>
    <row r="20" spans="1:45" ht="15.75">
      <c r="A20" s="958" t="s">
        <v>828</v>
      </c>
      <c r="B20" s="774">
        <f>S22</f>
        <v>411656</v>
      </c>
      <c r="C20" s="1972"/>
      <c r="D20" s="1972"/>
      <c r="E20" s="1972"/>
      <c r="F20" s="1972"/>
      <c r="G20" s="1972"/>
      <c r="H20" s="1972"/>
      <c r="I20" s="1972"/>
      <c r="J20" s="1972"/>
      <c r="K20" s="1972"/>
      <c r="L20" s="1972"/>
      <c r="M20" s="1972"/>
      <c r="N20" s="1972"/>
      <c r="O20" s="1972"/>
      <c r="P20" s="1972"/>
      <c r="Q20" s="1972"/>
      <c r="R20" s="2207"/>
      <c r="S20" s="2010"/>
    </row>
    <row r="21" spans="1:45" ht="15.75">
      <c r="A21" s="958" t="str">
        <f>IF(B23="土地面积","地面单价","楼面单价")</f>
        <v>楼面单价</v>
      </c>
      <c r="B21" s="774">
        <f>R22</f>
        <v>16471</v>
      </c>
      <c r="C21" s="1972"/>
      <c r="D21" s="1972"/>
      <c r="E21" s="1972"/>
      <c r="F21" s="1972"/>
      <c r="G21" s="1972"/>
      <c r="H21" s="1972"/>
      <c r="I21" s="1972"/>
      <c r="J21" s="1972"/>
      <c r="K21" s="1972"/>
      <c r="L21" s="1972"/>
      <c r="M21" s="1972"/>
      <c r="N21" s="1972"/>
      <c r="O21" s="1972"/>
      <c r="P21" s="1972"/>
      <c r="Q21" s="1972"/>
      <c r="R21" s="2207"/>
      <c r="S21" s="2010"/>
    </row>
    <row r="22" spans="1:45">
      <c r="A22" s="798" t="s">
        <v>829</v>
      </c>
      <c r="B22" s="53">
        <f>SUM(B24:B10000)</f>
        <v>249927.44</v>
      </c>
      <c r="C22" s="3510" t="s">
        <v>20</v>
      </c>
      <c r="D22" s="3511"/>
      <c r="E22" s="3511"/>
      <c r="F22" s="3511"/>
      <c r="G22" s="3511"/>
      <c r="H22" s="3511"/>
      <c r="I22" s="3511"/>
      <c r="J22" s="3511"/>
      <c r="K22" s="3511"/>
      <c r="L22" s="3511"/>
      <c r="M22" s="3511"/>
      <c r="N22" s="3511"/>
      <c r="O22" s="3511"/>
      <c r="P22" s="3511"/>
      <c r="Q22" s="3512"/>
      <c r="R22" s="489">
        <f>ROUND(S22*10000/B22,0)</f>
        <v>16471</v>
      </c>
      <c r="S22" s="53">
        <f>SUM(S24:S10000)</f>
        <v>411656</v>
      </c>
    </row>
    <row r="23" spans="1:45" s="1596" customFormat="1" ht="24">
      <c r="A23" s="17" t="s">
        <v>830</v>
      </c>
      <c r="B23" s="3039" t="s">
        <v>2937</v>
      </c>
      <c r="C23" s="17" t="s">
        <v>831</v>
      </c>
      <c r="D23" s="17" t="str">
        <f>B5</f>
        <v>装修</v>
      </c>
      <c r="E23" s="17" t="s">
        <v>831</v>
      </c>
      <c r="F23" s="17" t="str">
        <f>B7</f>
        <v>修正项3</v>
      </c>
      <c r="G23" s="17" t="s">
        <v>831</v>
      </c>
      <c r="H23" s="17" t="str">
        <f>B9</f>
        <v>修正项4</v>
      </c>
      <c r="I23" s="17" t="s">
        <v>831</v>
      </c>
      <c r="J23" s="17" t="str">
        <f>B11</f>
        <v>修正项5</v>
      </c>
      <c r="K23" s="17" t="s">
        <v>831</v>
      </c>
      <c r="L23" s="17" t="str">
        <f>B13</f>
        <v>建筑类型</v>
      </c>
      <c r="M23" s="17" t="s">
        <v>831</v>
      </c>
      <c r="N23" s="17" t="str">
        <f>B15</f>
        <v>修正项7</v>
      </c>
      <c r="O23" s="17" t="s">
        <v>831</v>
      </c>
      <c r="P23" s="17" t="str">
        <f>B17</f>
        <v>楼层</v>
      </c>
      <c r="Q23" s="17" t="s">
        <v>831</v>
      </c>
      <c r="R23" s="490" t="s">
        <v>832</v>
      </c>
      <c r="S23" s="17" t="s">
        <v>833</v>
      </c>
      <c r="T23" s="18"/>
      <c r="U23" s="18"/>
      <c r="V23" s="18"/>
      <c r="W23" s="18"/>
      <c r="X23" s="18"/>
      <c r="Y23" s="18"/>
      <c r="Z23" s="18"/>
      <c r="AA23" s="18"/>
      <c r="AB23" s="18"/>
      <c r="AC23" s="18"/>
      <c r="AD23" s="18"/>
      <c r="AE23" s="18"/>
      <c r="AF23" s="18"/>
      <c r="AG23" s="18"/>
      <c r="AH23" s="18"/>
      <c r="AI23" s="18"/>
    </row>
    <row r="24" spans="1:45" s="1597" customFormat="1">
      <c r="A24" s="3201" t="s">
        <v>3286</v>
      </c>
      <c r="B24" s="959">
        <f>'数据-基础表'!I13</f>
        <v>195457.31999999998</v>
      </c>
      <c r="C24" s="960">
        <v>1</v>
      </c>
      <c r="D24" s="961" t="s">
        <v>3278</v>
      </c>
      <c r="E24" s="960">
        <v>1</v>
      </c>
      <c r="F24" s="961"/>
      <c r="G24" s="960">
        <v>1</v>
      </c>
      <c r="H24" s="961"/>
      <c r="I24" s="960">
        <v>1</v>
      </c>
      <c r="J24" s="961"/>
      <c r="K24" s="960">
        <v>1</v>
      </c>
      <c r="L24" s="961" t="s">
        <v>3285</v>
      </c>
      <c r="M24" s="960">
        <v>1</v>
      </c>
      <c r="N24" s="961"/>
      <c r="O24" s="960">
        <v>1</v>
      </c>
      <c r="P24" s="961"/>
      <c r="Q24" s="960">
        <v>1</v>
      </c>
      <c r="R24" s="962">
        <f>'不动产比较法-住宅'!C48</f>
        <v>14939</v>
      </c>
      <c r="S24" s="960">
        <f t="shared" ref="S24:S54" si="11">ROUND(R24*B24/10000,0)</f>
        <v>291994</v>
      </c>
      <c r="T24" s="1955"/>
      <c r="U24" s="1955"/>
      <c r="V24" s="1955"/>
      <c r="W24" s="1955"/>
      <c r="X24" s="1955"/>
      <c r="Y24" s="1955"/>
      <c r="Z24" s="1955"/>
      <c r="AA24" s="1955"/>
      <c r="AB24" s="1955"/>
      <c r="AC24" s="1955"/>
      <c r="AD24" s="1955"/>
      <c r="AE24" s="1955"/>
      <c r="AF24" s="1955"/>
      <c r="AG24" s="1955"/>
      <c r="AH24" s="1955"/>
      <c r="AI24" s="1955"/>
    </row>
    <row r="25" spans="1:45">
      <c r="A25" s="3202" t="s">
        <v>3287</v>
      </c>
      <c r="B25" s="137">
        <f>'数据-基础表'!K13</f>
        <v>41200.360000000008</v>
      </c>
      <c r="C25" s="53">
        <f>IF(B25="",1,(LOOKUP(B25,$3:$3,$4:$4)-LOOKUP($B$24,$3:$3,$4:$4)+100)/100)</f>
        <v>1</v>
      </c>
      <c r="D25" s="961" t="s">
        <v>3278</v>
      </c>
      <c r="E25" s="53">
        <f>(SUMIF($5:$5,D25,$6:$6)-SUMIF($5:$5,$D$24,$6:$6)+100)/100</f>
        <v>1</v>
      </c>
      <c r="F25" s="961"/>
      <c r="G25" s="53">
        <f>(SUMIF($7:$7,F25,$8:$8)-SUMIF($7:$7,$F$24,$8:$8)+100)/100</f>
        <v>1</v>
      </c>
      <c r="H25" s="961"/>
      <c r="I25" s="53">
        <f>(SUMIF($9:$9,H25,$10:$10)-SUMIF($9:$9,$H$24,$10:$10)+100)/100</f>
        <v>1</v>
      </c>
      <c r="J25" s="961"/>
      <c r="K25" s="53">
        <f>(SUMIF($11:$11,J25,$12:$12)-SUMIF($11:$11,$J$24,$12:$12)+100)/100</f>
        <v>1</v>
      </c>
      <c r="L25" s="961" t="s">
        <v>3013</v>
      </c>
      <c r="M25" s="53">
        <f>(SUMIF($13:$13,L25,$14:$14)-SUMIF($13:$13,$L$24,$14:$14)+100)/100</f>
        <v>1.3</v>
      </c>
      <c r="N25" s="961"/>
      <c r="O25" s="53">
        <f>(SUMIF($15:$15,N25,$16:$16)-SUMIF($15:$15,$N$24,$16:$16)+100)/100</f>
        <v>1</v>
      </c>
      <c r="P25" s="961"/>
      <c r="Q25" s="53">
        <f>(SUMIF($17:$17,P25,$18:$18)-SUMIF($17:$17,$P$24,$18:$18)+100)/100</f>
        <v>1</v>
      </c>
      <c r="R25" s="489">
        <f>IF(B25="",0,ROUND($R$24*C25*E25*G25*I25*K25*M25*O25*Q25,0))</f>
        <v>19421</v>
      </c>
      <c r="S25" s="798">
        <f t="shared" si="11"/>
        <v>80015</v>
      </c>
    </row>
    <row r="26" spans="1:45">
      <c r="A26" s="3202" t="s">
        <v>3288</v>
      </c>
      <c r="B26" s="137">
        <f>'数据-基础表'!M13</f>
        <v>13269.76</v>
      </c>
      <c r="C26" s="53">
        <f t="shared" ref="C26:C89" si="12">IF(B26="",1,(LOOKUP(B26,$3:$3,$4:$4)-LOOKUP($B$24,$3:$3,$4:$4)+100)/100)</f>
        <v>1</v>
      </c>
      <c r="D26" s="961" t="s">
        <v>3278</v>
      </c>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t="s">
        <v>3011</v>
      </c>
      <c r="M26" s="53">
        <f t="shared" ref="M26:M89" si="17">(SUMIF($13:$13,L26,$14:$14)-SUMIF($13:$13,$L$24,$14:$14)+100)/100</f>
        <v>2</v>
      </c>
      <c r="N26" s="961"/>
      <c r="O26" s="53">
        <f t="shared" ref="O26:O89" si="18">(SUMIF($15:$15,N26,$16:$16)-SUMIF($15:$15,$N$24,$16:$16)+100)/100</f>
        <v>1</v>
      </c>
      <c r="P26" s="961"/>
      <c r="Q26" s="53">
        <f t="shared" ref="Q26:Q89" si="19">(SUMIF($17:$17,P26,$18:$18)-SUMIF($17:$17,$P$24,$18:$18)+100)/100</f>
        <v>1</v>
      </c>
      <c r="R26" s="489">
        <f t="shared" ref="R26:R89" si="20">IF(B26="",0,ROUND($R$24*C26*E26*G26*I26*K26*M26*O26*Q26,0))</f>
        <v>29878</v>
      </c>
      <c r="S26" s="798">
        <f t="shared" si="11"/>
        <v>39647</v>
      </c>
    </row>
    <row r="27" spans="1:45">
      <c r="A27" s="963"/>
      <c r="B27" s="137"/>
      <c r="C27" s="53">
        <f t="shared" si="12"/>
        <v>1</v>
      </c>
      <c r="D27" s="961"/>
      <c r="E27" s="53">
        <f t="shared" si="13"/>
        <v>0.06</v>
      </c>
      <c r="F27" s="961"/>
      <c r="G27" s="53">
        <f t="shared" si="14"/>
        <v>1</v>
      </c>
      <c r="H27" s="961"/>
      <c r="I27" s="53">
        <f t="shared" si="15"/>
        <v>1</v>
      </c>
      <c r="J27" s="961"/>
      <c r="K27" s="53">
        <f t="shared" si="16"/>
        <v>1</v>
      </c>
      <c r="L27" s="961"/>
      <c r="M27" s="53">
        <f t="shared" si="17"/>
        <v>0</v>
      </c>
      <c r="N27" s="961"/>
      <c r="O27" s="53">
        <f t="shared" si="18"/>
        <v>1</v>
      </c>
      <c r="P27" s="961"/>
      <c r="Q27" s="53">
        <f t="shared" si="19"/>
        <v>1</v>
      </c>
      <c r="R27" s="489">
        <f t="shared" si="20"/>
        <v>0</v>
      </c>
      <c r="S27" s="798">
        <f t="shared" si="11"/>
        <v>0</v>
      </c>
    </row>
    <row r="28" spans="1:45">
      <c r="A28" s="963"/>
      <c r="B28" s="137"/>
      <c r="C28" s="53">
        <f t="shared" si="12"/>
        <v>1</v>
      </c>
      <c r="D28" s="961"/>
      <c r="E28" s="53">
        <f t="shared" si="13"/>
        <v>0.06</v>
      </c>
      <c r="F28" s="961"/>
      <c r="G28" s="53">
        <f t="shared" si="14"/>
        <v>1</v>
      </c>
      <c r="H28" s="961"/>
      <c r="I28" s="53">
        <f t="shared" si="15"/>
        <v>1</v>
      </c>
      <c r="J28" s="961"/>
      <c r="K28" s="53">
        <f t="shared" si="16"/>
        <v>1</v>
      </c>
      <c r="L28" s="961"/>
      <c r="M28" s="53">
        <f t="shared" si="17"/>
        <v>0</v>
      </c>
      <c r="N28" s="961"/>
      <c r="O28" s="53">
        <f t="shared" si="18"/>
        <v>1</v>
      </c>
      <c r="P28" s="961"/>
      <c r="Q28" s="53">
        <f t="shared" si="19"/>
        <v>1</v>
      </c>
      <c r="R28" s="489">
        <f t="shared" si="20"/>
        <v>0</v>
      </c>
      <c r="S28" s="798">
        <f t="shared" si="11"/>
        <v>0</v>
      </c>
    </row>
    <row r="29" spans="1:45">
      <c r="A29" s="963"/>
      <c r="B29" s="137"/>
      <c r="C29" s="53">
        <f t="shared" si="12"/>
        <v>1</v>
      </c>
      <c r="D29" s="961"/>
      <c r="E29" s="53">
        <f t="shared" si="13"/>
        <v>0.06</v>
      </c>
      <c r="F29" s="961"/>
      <c r="G29" s="53">
        <f t="shared" si="14"/>
        <v>1</v>
      </c>
      <c r="H29" s="961"/>
      <c r="I29" s="53">
        <f t="shared" si="15"/>
        <v>1</v>
      </c>
      <c r="J29" s="961"/>
      <c r="K29" s="53">
        <f t="shared" si="16"/>
        <v>1</v>
      </c>
      <c r="L29" s="961"/>
      <c r="M29" s="53">
        <f t="shared" si="17"/>
        <v>0</v>
      </c>
      <c r="N29" s="961"/>
      <c r="O29" s="53">
        <f t="shared" si="18"/>
        <v>1</v>
      </c>
      <c r="P29" s="961"/>
      <c r="Q29" s="53">
        <f t="shared" si="19"/>
        <v>1</v>
      </c>
      <c r="R29" s="489">
        <f t="shared" si="20"/>
        <v>0</v>
      </c>
      <c r="S29" s="798">
        <f t="shared" si="11"/>
        <v>0</v>
      </c>
    </row>
    <row r="30" spans="1:45">
      <c r="A30" s="963"/>
      <c r="B30" s="137"/>
      <c r="C30" s="53">
        <f t="shared" si="12"/>
        <v>1</v>
      </c>
      <c r="D30" s="961"/>
      <c r="E30" s="53">
        <f t="shared" si="13"/>
        <v>0.06</v>
      </c>
      <c r="F30" s="961"/>
      <c r="G30" s="53">
        <f t="shared" si="14"/>
        <v>1</v>
      </c>
      <c r="H30" s="961"/>
      <c r="I30" s="53">
        <f t="shared" si="15"/>
        <v>1</v>
      </c>
      <c r="J30" s="961"/>
      <c r="K30" s="53">
        <f t="shared" si="16"/>
        <v>1</v>
      </c>
      <c r="L30" s="961"/>
      <c r="M30" s="53">
        <f t="shared" si="17"/>
        <v>0</v>
      </c>
      <c r="N30" s="961"/>
      <c r="O30" s="53">
        <f t="shared" si="18"/>
        <v>1</v>
      </c>
      <c r="P30" s="961"/>
      <c r="Q30" s="53">
        <f t="shared" si="19"/>
        <v>1</v>
      </c>
      <c r="R30" s="489">
        <f t="shared" si="20"/>
        <v>0</v>
      </c>
      <c r="S30" s="798">
        <f t="shared" si="11"/>
        <v>0</v>
      </c>
    </row>
    <row r="31" spans="1:45">
      <c r="A31" s="963"/>
      <c r="B31" s="137"/>
      <c r="C31" s="53">
        <f t="shared" si="12"/>
        <v>1</v>
      </c>
      <c r="D31" s="961"/>
      <c r="E31" s="53">
        <f t="shared" si="13"/>
        <v>0.06</v>
      </c>
      <c r="F31" s="961"/>
      <c r="G31" s="53">
        <f t="shared" si="14"/>
        <v>1</v>
      </c>
      <c r="H31" s="961"/>
      <c r="I31" s="53">
        <f t="shared" si="15"/>
        <v>1</v>
      </c>
      <c r="J31" s="961"/>
      <c r="K31" s="53">
        <f t="shared" si="16"/>
        <v>1</v>
      </c>
      <c r="L31" s="961"/>
      <c r="M31" s="53">
        <f t="shared" si="17"/>
        <v>0</v>
      </c>
      <c r="N31" s="961"/>
      <c r="O31" s="53">
        <f t="shared" si="18"/>
        <v>1</v>
      </c>
      <c r="P31" s="961"/>
      <c r="Q31" s="53">
        <f t="shared" si="19"/>
        <v>1</v>
      </c>
      <c r="R31" s="489">
        <f t="shared" si="20"/>
        <v>0</v>
      </c>
      <c r="S31" s="798">
        <f t="shared" si="11"/>
        <v>0</v>
      </c>
    </row>
    <row r="32" spans="1:45">
      <c r="A32" s="963"/>
      <c r="B32" s="137"/>
      <c r="C32" s="53">
        <f t="shared" si="12"/>
        <v>1</v>
      </c>
      <c r="D32" s="961"/>
      <c r="E32" s="53">
        <f t="shared" si="13"/>
        <v>0.06</v>
      </c>
      <c r="F32" s="961"/>
      <c r="G32" s="53">
        <f t="shared" si="14"/>
        <v>1</v>
      </c>
      <c r="H32" s="961"/>
      <c r="I32" s="53">
        <f t="shared" si="15"/>
        <v>1</v>
      </c>
      <c r="J32" s="961"/>
      <c r="K32" s="53">
        <f t="shared" si="16"/>
        <v>1</v>
      </c>
      <c r="L32" s="961"/>
      <c r="M32" s="53">
        <f t="shared" si="17"/>
        <v>0</v>
      </c>
      <c r="N32" s="961"/>
      <c r="O32" s="53">
        <f t="shared" si="18"/>
        <v>1</v>
      </c>
      <c r="P32" s="961"/>
      <c r="Q32" s="53">
        <f t="shared" si="19"/>
        <v>1</v>
      </c>
      <c r="R32" s="489">
        <f t="shared" si="20"/>
        <v>0</v>
      </c>
      <c r="S32" s="798">
        <f t="shared" si="11"/>
        <v>0</v>
      </c>
    </row>
    <row r="33" spans="1:19">
      <c r="A33" s="963"/>
      <c r="B33" s="137"/>
      <c r="C33" s="53">
        <f t="shared" si="12"/>
        <v>1</v>
      </c>
      <c r="D33" s="961"/>
      <c r="E33" s="53">
        <f t="shared" si="13"/>
        <v>0.06</v>
      </c>
      <c r="F33" s="961"/>
      <c r="G33" s="53">
        <f t="shared" si="14"/>
        <v>1</v>
      </c>
      <c r="H33" s="961"/>
      <c r="I33" s="53">
        <f t="shared" si="15"/>
        <v>1</v>
      </c>
      <c r="J33" s="961"/>
      <c r="K33" s="53">
        <f t="shared" si="16"/>
        <v>1</v>
      </c>
      <c r="L33" s="961"/>
      <c r="M33" s="53">
        <f t="shared" si="17"/>
        <v>0</v>
      </c>
      <c r="N33" s="961"/>
      <c r="O33" s="53">
        <f t="shared" si="18"/>
        <v>1</v>
      </c>
      <c r="P33" s="961"/>
      <c r="Q33" s="53">
        <f t="shared" si="19"/>
        <v>1</v>
      </c>
      <c r="R33" s="489">
        <f t="shared" si="20"/>
        <v>0</v>
      </c>
      <c r="S33" s="798">
        <f t="shared" si="11"/>
        <v>0</v>
      </c>
    </row>
    <row r="34" spans="1:19">
      <c r="A34" s="963"/>
      <c r="B34" s="137"/>
      <c r="C34" s="53">
        <f t="shared" si="12"/>
        <v>1</v>
      </c>
      <c r="D34" s="961"/>
      <c r="E34" s="53">
        <f t="shared" si="13"/>
        <v>0.06</v>
      </c>
      <c r="F34" s="961"/>
      <c r="G34" s="53">
        <f t="shared" si="14"/>
        <v>1</v>
      </c>
      <c r="H34" s="961"/>
      <c r="I34" s="53">
        <f t="shared" si="15"/>
        <v>1</v>
      </c>
      <c r="J34" s="961"/>
      <c r="K34" s="53">
        <f t="shared" si="16"/>
        <v>1</v>
      </c>
      <c r="L34" s="961"/>
      <c r="M34" s="53">
        <f t="shared" si="17"/>
        <v>0</v>
      </c>
      <c r="N34" s="961"/>
      <c r="O34" s="53">
        <f t="shared" si="18"/>
        <v>1</v>
      </c>
      <c r="P34" s="961"/>
      <c r="Q34" s="53">
        <f t="shared" si="19"/>
        <v>1</v>
      </c>
      <c r="R34" s="489">
        <f t="shared" si="20"/>
        <v>0</v>
      </c>
      <c r="S34" s="798">
        <f t="shared" si="11"/>
        <v>0</v>
      </c>
    </row>
    <row r="35" spans="1:19">
      <c r="A35" s="963"/>
      <c r="B35" s="137"/>
      <c r="C35" s="53">
        <f t="shared" si="12"/>
        <v>1</v>
      </c>
      <c r="D35" s="961"/>
      <c r="E35" s="53">
        <f t="shared" si="13"/>
        <v>0.06</v>
      </c>
      <c r="F35" s="961"/>
      <c r="G35" s="53">
        <f t="shared" si="14"/>
        <v>1</v>
      </c>
      <c r="H35" s="961"/>
      <c r="I35" s="53">
        <f t="shared" si="15"/>
        <v>1</v>
      </c>
      <c r="J35" s="961"/>
      <c r="K35" s="53">
        <f t="shared" si="16"/>
        <v>1</v>
      </c>
      <c r="L35" s="961"/>
      <c r="M35" s="53">
        <f t="shared" si="17"/>
        <v>0</v>
      </c>
      <c r="N35" s="961"/>
      <c r="O35" s="53">
        <f t="shared" si="18"/>
        <v>1</v>
      </c>
      <c r="P35" s="961"/>
      <c r="Q35" s="53">
        <f t="shared" si="19"/>
        <v>1</v>
      </c>
      <c r="R35" s="489">
        <f t="shared" si="20"/>
        <v>0</v>
      </c>
      <c r="S35" s="798">
        <f t="shared" si="11"/>
        <v>0</v>
      </c>
    </row>
    <row r="36" spans="1:19">
      <c r="A36" s="963"/>
      <c r="B36" s="137"/>
      <c r="C36" s="53">
        <f t="shared" si="12"/>
        <v>1</v>
      </c>
      <c r="D36" s="961"/>
      <c r="E36" s="53">
        <f t="shared" si="13"/>
        <v>0.06</v>
      </c>
      <c r="F36" s="961"/>
      <c r="G36" s="53">
        <f t="shared" si="14"/>
        <v>1</v>
      </c>
      <c r="H36" s="961"/>
      <c r="I36" s="53">
        <f t="shared" si="15"/>
        <v>1</v>
      </c>
      <c r="J36" s="961"/>
      <c r="K36" s="53">
        <f t="shared" si="16"/>
        <v>1</v>
      </c>
      <c r="L36" s="961"/>
      <c r="M36" s="53">
        <f t="shared" si="17"/>
        <v>0</v>
      </c>
      <c r="N36" s="961"/>
      <c r="O36" s="53">
        <f t="shared" si="18"/>
        <v>1</v>
      </c>
      <c r="P36" s="961"/>
      <c r="Q36" s="53">
        <f t="shared" si="19"/>
        <v>1</v>
      </c>
      <c r="R36" s="489">
        <f t="shared" si="20"/>
        <v>0</v>
      </c>
      <c r="S36" s="798">
        <f t="shared" si="11"/>
        <v>0</v>
      </c>
    </row>
    <row r="37" spans="1:19">
      <c r="A37" s="963"/>
      <c r="B37" s="137"/>
      <c r="C37" s="53">
        <f t="shared" si="12"/>
        <v>1</v>
      </c>
      <c r="D37" s="961"/>
      <c r="E37" s="53">
        <f t="shared" si="13"/>
        <v>0.06</v>
      </c>
      <c r="F37" s="961"/>
      <c r="G37" s="53">
        <f t="shared" si="14"/>
        <v>1</v>
      </c>
      <c r="H37" s="961"/>
      <c r="I37" s="53">
        <f t="shared" si="15"/>
        <v>1</v>
      </c>
      <c r="J37" s="961"/>
      <c r="K37" s="53">
        <f t="shared" si="16"/>
        <v>1</v>
      </c>
      <c r="L37" s="961"/>
      <c r="M37" s="53">
        <f t="shared" si="17"/>
        <v>0</v>
      </c>
      <c r="N37" s="961"/>
      <c r="O37" s="53">
        <f t="shared" si="18"/>
        <v>1</v>
      </c>
      <c r="P37" s="961"/>
      <c r="Q37" s="53">
        <f t="shared" si="19"/>
        <v>1</v>
      </c>
      <c r="R37" s="489">
        <f t="shared" si="20"/>
        <v>0</v>
      </c>
      <c r="S37" s="798">
        <f t="shared" si="11"/>
        <v>0</v>
      </c>
    </row>
    <row r="38" spans="1:19">
      <c r="A38" s="963"/>
      <c r="B38" s="137"/>
      <c r="C38" s="53">
        <f t="shared" si="12"/>
        <v>1</v>
      </c>
      <c r="D38" s="961"/>
      <c r="E38" s="53">
        <f t="shared" si="13"/>
        <v>0.06</v>
      </c>
      <c r="F38" s="961"/>
      <c r="G38" s="53">
        <f t="shared" si="14"/>
        <v>1</v>
      </c>
      <c r="H38" s="961"/>
      <c r="I38" s="53">
        <f t="shared" si="15"/>
        <v>1</v>
      </c>
      <c r="J38" s="961"/>
      <c r="K38" s="53">
        <f t="shared" si="16"/>
        <v>1</v>
      </c>
      <c r="L38" s="961"/>
      <c r="M38" s="53">
        <f t="shared" si="17"/>
        <v>0</v>
      </c>
      <c r="N38" s="961"/>
      <c r="O38" s="53">
        <f t="shared" si="18"/>
        <v>1</v>
      </c>
      <c r="P38" s="961"/>
      <c r="Q38" s="53">
        <f t="shared" si="19"/>
        <v>1</v>
      </c>
      <c r="R38" s="489">
        <f t="shared" si="20"/>
        <v>0</v>
      </c>
      <c r="S38" s="798">
        <f t="shared" si="11"/>
        <v>0</v>
      </c>
    </row>
    <row r="39" spans="1:19">
      <c r="A39" s="963"/>
      <c r="B39" s="137"/>
      <c r="C39" s="53">
        <f t="shared" si="12"/>
        <v>1</v>
      </c>
      <c r="D39" s="961"/>
      <c r="E39" s="53">
        <f t="shared" si="13"/>
        <v>0.06</v>
      </c>
      <c r="F39" s="961"/>
      <c r="G39" s="53">
        <f t="shared" si="14"/>
        <v>1</v>
      </c>
      <c r="H39" s="961"/>
      <c r="I39" s="53">
        <f t="shared" si="15"/>
        <v>1</v>
      </c>
      <c r="J39" s="961"/>
      <c r="K39" s="53">
        <f t="shared" si="16"/>
        <v>1</v>
      </c>
      <c r="L39" s="961"/>
      <c r="M39" s="53">
        <f t="shared" si="17"/>
        <v>0</v>
      </c>
      <c r="N39" s="961"/>
      <c r="O39" s="53">
        <f t="shared" si="18"/>
        <v>1</v>
      </c>
      <c r="P39" s="961"/>
      <c r="Q39" s="53">
        <f t="shared" si="19"/>
        <v>1</v>
      </c>
      <c r="R39" s="489">
        <f t="shared" si="20"/>
        <v>0</v>
      </c>
      <c r="S39" s="798">
        <f t="shared" si="11"/>
        <v>0</v>
      </c>
    </row>
    <row r="40" spans="1:19">
      <c r="A40" s="963"/>
      <c r="B40" s="137"/>
      <c r="C40" s="53">
        <f t="shared" si="12"/>
        <v>1</v>
      </c>
      <c r="D40" s="961"/>
      <c r="E40" s="53">
        <f t="shared" si="13"/>
        <v>0.06</v>
      </c>
      <c r="F40" s="961"/>
      <c r="G40" s="53">
        <f t="shared" si="14"/>
        <v>1</v>
      </c>
      <c r="H40" s="961"/>
      <c r="I40" s="53">
        <f t="shared" si="15"/>
        <v>1</v>
      </c>
      <c r="J40" s="961"/>
      <c r="K40" s="53">
        <f t="shared" si="16"/>
        <v>1</v>
      </c>
      <c r="L40" s="961"/>
      <c r="M40" s="53">
        <f t="shared" si="17"/>
        <v>0</v>
      </c>
      <c r="N40" s="961"/>
      <c r="O40" s="53">
        <f t="shared" si="18"/>
        <v>1</v>
      </c>
      <c r="P40" s="961"/>
      <c r="Q40" s="53">
        <f t="shared" si="19"/>
        <v>1</v>
      </c>
      <c r="R40" s="489">
        <f t="shared" si="20"/>
        <v>0</v>
      </c>
      <c r="S40" s="798">
        <f t="shared" si="11"/>
        <v>0</v>
      </c>
    </row>
    <row r="41" spans="1:19">
      <c r="A41" s="963"/>
      <c r="B41" s="137"/>
      <c r="C41" s="53">
        <f t="shared" si="12"/>
        <v>1</v>
      </c>
      <c r="D41" s="961"/>
      <c r="E41" s="53">
        <f t="shared" si="13"/>
        <v>0.06</v>
      </c>
      <c r="F41" s="961"/>
      <c r="G41" s="53">
        <f t="shared" si="14"/>
        <v>1</v>
      </c>
      <c r="H41" s="961"/>
      <c r="I41" s="53">
        <f t="shared" si="15"/>
        <v>1</v>
      </c>
      <c r="J41" s="961"/>
      <c r="K41" s="53">
        <f t="shared" si="16"/>
        <v>1</v>
      </c>
      <c r="L41" s="961"/>
      <c r="M41" s="53">
        <f t="shared" si="17"/>
        <v>0</v>
      </c>
      <c r="N41" s="961"/>
      <c r="O41" s="53">
        <f t="shared" si="18"/>
        <v>1</v>
      </c>
      <c r="P41" s="961"/>
      <c r="Q41" s="53">
        <f t="shared" si="19"/>
        <v>1</v>
      </c>
      <c r="R41" s="489">
        <f t="shared" si="20"/>
        <v>0</v>
      </c>
      <c r="S41" s="798">
        <f t="shared" si="11"/>
        <v>0</v>
      </c>
    </row>
    <row r="42" spans="1:19">
      <c r="A42" s="963"/>
      <c r="B42" s="137"/>
      <c r="C42" s="53">
        <f t="shared" si="12"/>
        <v>1</v>
      </c>
      <c r="D42" s="961"/>
      <c r="E42" s="53">
        <f t="shared" si="13"/>
        <v>0.06</v>
      </c>
      <c r="F42" s="961"/>
      <c r="G42" s="53">
        <f t="shared" si="14"/>
        <v>1</v>
      </c>
      <c r="H42" s="961"/>
      <c r="I42" s="53">
        <f t="shared" si="15"/>
        <v>1</v>
      </c>
      <c r="J42" s="961"/>
      <c r="K42" s="53">
        <f t="shared" si="16"/>
        <v>1</v>
      </c>
      <c r="L42" s="961"/>
      <c r="M42" s="53">
        <f t="shared" si="17"/>
        <v>0</v>
      </c>
      <c r="N42" s="961"/>
      <c r="O42" s="53">
        <f t="shared" si="18"/>
        <v>1</v>
      </c>
      <c r="P42" s="961"/>
      <c r="Q42" s="53">
        <f t="shared" si="19"/>
        <v>1</v>
      </c>
      <c r="R42" s="489">
        <f t="shared" si="20"/>
        <v>0</v>
      </c>
      <c r="S42" s="798">
        <f t="shared" si="11"/>
        <v>0</v>
      </c>
    </row>
    <row r="43" spans="1:19">
      <c r="A43" s="963"/>
      <c r="B43" s="137"/>
      <c r="C43" s="53">
        <f t="shared" si="12"/>
        <v>1</v>
      </c>
      <c r="D43" s="961"/>
      <c r="E43" s="53">
        <f t="shared" si="13"/>
        <v>0.06</v>
      </c>
      <c r="F43" s="961"/>
      <c r="G43" s="53">
        <f t="shared" si="14"/>
        <v>1</v>
      </c>
      <c r="H43" s="961"/>
      <c r="I43" s="53">
        <f t="shared" si="15"/>
        <v>1</v>
      </c>
      <c r="J43" s="961"/>
      <c r="K43" s="53">
        <f t="shared" si="16"/>
        <v>1</v>
      </c>
      <c r="L43" s="961"/>
      <c r="M43" s="53">
        <f t="shared" si="17"/>
        <v>0</v>
      </c>
      <c r="N43" s="961"/>
      <c r="O43" s="53">
        <f t="shared" si="18"/>
        <v>1</v>
      </c>
      <c r="P43" s="961"/>
      <c r="Q43" s="53">
        <f t="shared" si="19"/>
        <v>1</v>
      </c>
      <c r="R43" s="489">
        <f t="shared" si="20"/>
        <v>0</v>
      </c>
      <c r="S43" s="798">
        <f t="shared" si="11"/>
        <v>0</v>
      </c>
    </row>
    <row r="44" spans="1:19">
      <c r="A44" s="963"/>
      <c r="B44" s="137"/>
      <c r="C44" s="53">
        <f t="shared" si="12"/>
        <v>1</v>
      </c>
      <c r="D44" s="961"/>
      <c r="E44" s="53">
        <f t="shared" si="13"/>
        <v>0.06</v>
      </c>
      <c r="F44" s="961"/>
      <c r="G44" s="53">
        <f t="shared" si="14"/>
        <v>1</v>
      </c>
      <c r="H44" s="961"/>
      <c r="I44" s="53">
        <f t="shared" si="15"/>
        <v>1</v>
      </c>
      <c r="J44" s="961"/>
      <c r="K44" s="53">
        <f t="shared" si="16"/>
        <v>1</v>
      </c>
      <c r="L44" s="961"/>
      <c r="M44" s="53">
        <f t="shared" si="17"/>
        <v>0</v>
      </c>
      <c r="N44" s="961"/>
      <c r="O44" s="53">
        <f t="shared" si="18"/>
        <v>1</v>
      </c>
      <c r="P44" s="961"/>
      <c r="Q44" s="53">
        <f t="shared" si="19"/>
        <v>1</v>
      </c>
      <c r="R44" s="489">
        <f t="shared" si="20"/>
        <v>0</v>
      </c>
      <c r="S44" s="798">
        <f t="shared" si="11"/>
        <v>0</v>
      </c>
    </row>
    <row r="45" spans="1:19">
      <c r="A45" s="963"/>
      <c r="B45" s="137"/>
      <c r="C45" s="53">
        <f t="shared" si="12"/>
        <v>1</v>
      </c>
      <c r="D45" s="961"/>
      <c r="E45" s="53">
        <f t="shared" si="13"/>
        <v>0.06</v>
      </c>
      <c r="F45" s="961"/>
      <c r="G45" s="53">
        <f t="shared" si="14"/>
        <v>1</v>
      </c>
      <c r="H45" s="961"/>
      <c r="I45" s="53">
        <f t="shared" si="15"/>
        <v>1</v>
      </c>
      <c r="J45" s="961"/>
      <c r="K45" s="53">
        <f t="shared" si="16"/>
        <v>1</v>
      </c>
      <c r="L45" s="961"/>
      <c r="M45" s="53">
        <f t="shared" si="17"/>
        <v>0</v>
      </c>
      <c r="N45" s="961"/>
      <c r="O45" s="53">
        <f t="shared" si="18"/>
        <v>1</v>
      </c>
      <c r="P45" s="961"/>
      <c r="Q45" s="53">
        <f t="shared" si="19"/>
        <v>1</v>
      </c>
      <c r="R45" s="489">
        <f t="shared" si="20"/>
        <v>0</v>
      </c>
      <c r="S45" s="798">
        <f t="shared" si="11"/>
        <v>0</v>
      </c>
    </row>
    <row r="46" spans="1:19">
      <c r="A46" s="963"/>
      <c r="B46" s="137"/>
      <c r="C46" s="53">
        <f t="shared" si="12"/>
        <v>1</v>
      </c>
      <c r="D46" s="961"/>
      <c r="E46" s="53">
        <f t="shared" si="13"/>
        <v>0.06</v>
      </c>
      <c r="F46" s="961"/>
      <c r="G46" s="53">
        <f t="shared" si="14"/>
        <v>1</v>
      </c>
      <c r="H46" s="961"/>
      <c r="I46" s="53">
        <f t="shared" si="15"/>
        <v>1</v>
      </c>
      <c r="J46" s="961"/>
      <c r="K46" s="53">
        <f t="shared" si="16"/>
        <v>1</v>
      </c>
      <c r="L46" s="961"/>
      <c r="M46" s="53">
        <f t="shared" si="17"/>
        <v>0</v>
      </c>
      <c r="N46" s="961"/>
      <c r="O46" s="53">
        <f t="shared" si="18"/>
        <v>1</v>
      </c>
      <c r="P46" s="961"/>
      <c r="Q46" s="53">
        <f t="shared" si="19"/>
        <v>1</v>
      </c>
      <c r="R46" s="489">
        <f t="shared" si="20"/>
        <v>0</v>
      </c>
      <c r="S46" s="798">
        <f t="shared" si="11"/>
        <v>0</v>
      </c>
    </row>
    <row r="47" spans="1:19">
      <c r="A47" s="963"/>
      <c r="B47" s="137"/>
      <c r="C47" s="53">
        <f t="shared" si="12"/>
        <v>1</v>
      </c>
      <c r="D47" s="961"/>
      <c r="E47" s="53">
        <f t="shared" si="13"/>
        <v>0.06</v>
      </c>
      <c r="F47" s="961"/>
      <c r="G47" s="53">
        <f t="shared" si="14"/>
        <v>1</v>
      </c>
      <c r="H47" s="961"/>
      <c r="I47" s="53">
        <f t="shared" si="15"/>
        <v>1</v>
      </c>
      <c r="J47" s="961"/>
      <c r="K47" s="53">
        <f t="shared" si="16"/>
        <v>1</v>
      </c>
      <c r="L47" s="961"/>
      <c r="M47" s="53">
        <f t="shared" si="17"/>
        <v>0</v>
      </c>
      <c r="N47" s="961"/>
      <c r="O47" s="53">
        <f t="shared" si="18"/>
        <v>1</v>
      </c>
      <c r="P47" s="961"/>
      <c r="Q47" s="53">
        <f t="shared" si="19"/>
        <v>1</v>
      </c>
      <c r="R47" s="489">
        <f t="shared" si="20"/>
        <v>0</v>
      </c>
      <c r="S47" s="798">
        <f t="shared" si="11"/>
        <v>0</v>
      </c>
    </row>
    <row r="48" spans="1:19">
      <c r="A48" s="963"/>
      <c r="B48" s="137"/>
      <c r="C48" s="53">
        <f t="shared" si="12"/>
        <v>1</v>
      </c>
      <c r="D48" s="961"/>
      <c r="E48" s="53">
        <f t="shared" si="13"/>
        <v>0.06</v>
      </c>
      <c r="F48" s="961"/>
      <c r="G48" s="53">
        <f t="shared" si="14"/>
        <v>1</v>
      </c>
      <c r="H48" s="961"/>
      <c r="I48" s="53">
        <f t="shared" si="15"/>
        <v>1</v>
      </c>
      <c r="J48" s="961"/>
      <c r="K48" s="53">
        <f t="shared" si="16"/>
        <v>1</v>
      </c>
      <c r="L48" s="961"/>
      <c r="M48" s="53">
        <f t="shared" si="17"/>
        <v>0</v>
      </c>
      <c r="N48" s="961"/>
      <c r="O48" s="53">
        <f t="shared" si="18"/>
        <v>1</v>
      </c>
      <c r="P48" s="961"/>
      <c r="Q48" s="53">
        <f t="shared" si="19"/>
        <v>1</v>
      </c>
      <c r="R48" s="489">
        <f t="shared" si="20"/>
        <v>0</v>
      </c>
      <c r="S48" s="798">
        <f t="shared" si="11"/>
        <v>0</v>
      </c>
    </row>
    <row r="49" spans="1:19">
      <c r="A49" s="963"/>
      <c r="B49" s="137"/>
      <c r="C49" s="53">
        <f t="shared" si="12"/>
        <v>1</v>
      </c>
      <c r="D49" s="961"/>
      <c r="E49" s="53">
        <f t="shared" si="13"/>
        <v>0.06</v>
      </c>
      <c r="F49" s="961"/>
      <c r="G49" s="53">
        <f t="shared" si="14"/>
        <v>1</v>
      </c>
      <c r="H49" s="961"/>
      <c r="I49" s="53">
        <f t="shared" si="15"/>
        <v>1</v>
      </c>
      <c r="J49" s="961"/>
      <c r="K49" s="53">
        <f t="shared" si="16"/>
        <v>1</v>
      </c>
      <c r="L49" s="961"/>
      <c r="M49" s="53">
        <f t="shared" si="17"/>
        <v>0</v>
      </c>
      <c r="N49" s="961"/>
      <c r="O49" s="53">
        <f t="shared" si="18"/>
        <v>1</v>
      </c>
      <c r="P49" s="961"/>
      <c r="Q49" s="53">
        <f t="shared" si="19"/>
        <v>1</v>
      </c>
      <c r="R49" s="489">
        <f t="shared" si="20"/>
        <v>0</v>
      </c>
      <c r="S49" s="798">
        <f t="shared" si="11"/>
        <v>0</v>
      </c>
    </row>
    <row r="50" spans="1:19">
      <c r="A50" s="963"/>
      <c r="B50" s="137"/>
      <c r="C50" s="53">
        <f t="shared" si="12"/>
        <v>1</v>
      </c>
      <c r="D50" s="961"/>
      <c r="E50" s="53">
        <f t="shared" si="13"/>
        <v>0.06</v>
      </c>
      <c r="F50" s="961"/>
      <c r="G50" s="53">
        <f t="shared" si="14"/>
        <v>1</v>
      </c>
      <c r="H50" s="961"/>
      <c r="I50" s="53">
        <f t="shared" si="15"/>
        <v>1</v>
      </c>
      <c r="J50" s="961"/>
      <c r="K50" s="53">
        <f t="shared" si="16"/>
        <v>1</v>
      </c>
      <c r="L50" s="961"/>
      <c r="M50" s="53">
        <f t="shared" si="17"/>
        <v>0</v>
      </c>
      <c r="N50" s="961"/>
      <c r="O50" s="53">
        <f t="shared" si="18"/>
        <v>1</v>
      </c>
      <c r="P50" s="961"/>
      <c r="Q50" s="53">
        <f t="shared" si="19"/>
        <v>1</v>
      </c>
      <c r="R50" s="489">
        <f t="shared" si="20"/>
        <v>0</v>
      </c>
      <c r="S50" s="798">
        <f t="shared" si="11"/>
        <v>0</v>
      </c>
    </row>
    <row r="51" spans="1:19">
      <c r="A51" s="963"/>
      <c r="B51" s="137"/>
      <c r="C51" s="53">
        <f t="shared" si="12"/>
        <v>1</v>
      </c>
      <c r="D51" s="961"/>
      <c r="E51" s="53">
        <f t="shared" si="13"/>
        <v>0.06</v>
      </c>
      <c r="F51" s="961"/>
      <c r="G51" s="53">
        <f t="shared" si="14"/>
        <v>1</v>
      </c>
      <c r="H51" s="961"/>
      <c r="I51" s="53">
        <f t="shared" si="15"/>
        <v>1</v>
      </c>
      <c r="J51" s="961"/>
      <c r="K51" s="53">
        <f t="shared" si="16"/>
        <v>1</v>
      </c>
      <c r="L51" s="961"/>
      <c r="M51" s="53">
        <f t="shared" si="17"/>
        <v>0</v>
      </c>
      <c r="N51" s="961"/>
      <c r="O51" s="53">
        <f t="shared" si="18"/>
        <v>1</v>
      </c>
      <c r="P51" s="961"/>
      <c r="Q51" s="53">
        <f t="shared" si="19"/>
        <v>1</v>
      </c>
      <c r="R51" s="489">
        <f t="shared" si="20"/>
        <v>0</v>
      </c>
      <c r="S51" s="798">
        <f t="shared" si="11"/>
        <v>0</v>
      </c>
    </row>
    <row r="52" spans="1:19">
      <c r="A52" s="963"/>
      <c r="B52" s="137"/>
      <c r="C52" s="53">
        <f t="shared" si="12"/>
        <v>1</v>
      </c>
      <c r="D52" s="961"/>
      <c r="E52" s="53">
        <f t="shared" si="13"/>
        <v>0.06</v>
      </c>
      <c r="F52" s="961"/>
      <c r="G52" s="53">
        <f t="shared" si="14"/>
        <v>1</v>
      </c>
      <c r="H52" s="961"/>
      <c r="I52" s="53">
        <f t="shared" si="15"/>
        <v>1</v>
      </c>
      <c r="J52" s="961"/>
      <c r="K52" s="53">
        <f t="shared" si="16"/>
        <v>1</v>
      </c>
      <c r="L52" s="961"/>
      <c r="M52" s="53">
        <f t="shared" si="17"/>
        <v>0</v>
      </c>
      <c r="N52" s="961"/>
      <c r="O52" s="53">
        <f t="shared" si="18"/>
        <v>1</v>
      </c>
      <c r="P52" s="961"/>
      <c r="Q52" s="53">
        <f t="shared" si="19"/>
        <v>1</v>
      </c>
      <c r="R52" s="489">
        <f t="shared" si="20"/>
        <v>0</v>
      </c>
      <c r="S52" s="798">
        <f t="shared" si="11"/>
        <v>0</v>
      </c>
    </row>
    <row r="53" spans="1:19">
      <c r="A53" s="963"/>
      <c r="B53" s="137"/>
      <c r="C53" s="53">
        <f t="shared" si="12"/>
        <v>1</v>
      </c>
      <c r="D53" s="961"/>
      <c r="E53" s="53">
        <f t="shared" si="13"/>
        <v>0.06</v>
      </c>
      <c r="F53" s="961"/>
      <c r="G53" s="53">
        <f t="shared" si="14"/>
        <v>1</v>
      </c>
      <c r="H53" s="961"/>
      <c r="I53" s="53">
        <f t="shared" si="15"/>
        <v>1</v>
      </c>
      <c r="J53" s="961"/>
      <c r="K53" s="53">
        <f t="shared" si="16"/>
        <v>1</v>
      </c>
      <c r="L53" s="961"/>
      <c r="M53" s="53">
        <f t="shared" si="17"/>
        <v>0</v>
      </c>
      <c r="N53" s="961"/>
      <c r="O53" s="53">
        <f t="shared" si="18"/>
        <v>1</v>
      </c>
      <c r="P53" s="961"/>
      <c r="Q53" s="53">
        <f t="shared" si="19"/>
        <v>1</v>
      </c>
      <c r="R53" s="489">
        <f t="shared" si="20"/>
        <v>0</v>
      </c>
      <c r="S53" s="798">
        <f t="shared" si="11"/>
        <v>0</v>
      </c>
    </row>
    <row r="54" spans="1:19">
      <c r="A54" s="963"/>
      <c r="B54" s="137"/>
      <c r="C54" s="53">
        <f t="shared" si="12"/>
        <v>1</v>
      </c>
      <c r="D54" s="961"/>
      <c r="E54" s="53">
        <f t="shared" si="13"/>
        <v>0.06</v>
      </c>
      <c r="F54" s="961"/>
      <c r="G54" s="53">
        <f t="shared" si="14"/>
        <v>1</v>
      </c>
      <c r="H54" s="961"/>
      <c r="I54" s="53">
        <f t="shared" si="15"/>
        <v>1</v>
      </c>
      <c r="J54" s="961"/>
      <c r="K54" s="53">
        <f t="shared" si="16"/>
        <v>1</v>
      </c>
      <c r="L54" s="961"/>
      <c r="M54" s="53">
        <f t="shared" si="17"/>
        <v>0</v>
      </c>
      <c r="N54" s="961"/>
      <c r="O54" s="53">
        <f t="shared" si="18"/>
        <v>1</v>
      </c>
      <c r="P54" s="961"/>
      <c r="Q54" s="53">
        <f t="shared" si="19"/>
        <v>1</v>
      </c>
      <c r="R54" s="489">
        <f t="shared" si="20"/>
        <v>0</v>
      </c>
      <c r="S54" s="798">
        <f t="shared" si="11"/>
        <v>0</v>
      </c>
    </row>
    <row r="55" spans="1:19">
      <c r="A55" s="963"/>
      <c r="B55" s="137"/>
      <c r="C55" s="53">
        <f t="shared" si="12"/>
        <v>1</v>
      </c>
      <c r="D55" s="961"/>
      <c r="E55" s="53">
        <f t="shared" si="13"/>
        <v>0.06</v>
      </c>
      <c r="F55" s="961"/>
      <c r="G55" s="53">
        <f t="shared" si="14"/>
        <v>1</v>
      </c>
      <c r="H55" s="961"/>
      <c r="I55" s="53">
        <f t="shared" si="15"/>
        <v>1</v>
      </c>
      <c r="J55" s="961"/>
      <c r="K55" s="53">
        <f t="shared" si="16"/>
        <v>1</v>
      </c>
      <c r="L55" s="961"/>
      <c r="M55" s="53">
        <f t="shared" si="17"/>
        <v>0</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0.06</v>
      </c>
      <c r="F56" s="961"/>
      <c r="G56" s="53">
        <f t="shared" si="14"/>
        <v>1</v>
      </c>
      <c r="H56" s="961"/>
      <c r="I56" s="53">
        <f t="shared" si="15"/>
        <v>1</v>
      </c>
      <c r="J56" s="961"/>
      <c r="K56" s="53">
        <f t="shared" si="16"/>
        <v>1</v>
      </c>
      <c r="L56" s="961"/>
      <c r="M56" s="53">
        <f t="shared" si="17"/>
        <v>0</v>
      </c>
      <c r="N56" s="961"/>
      <c r="O56" s="53">
        <f t="shared" si="18"/>
        <v>1</v>
      </c>
      <c r="P56" s="961"/>
      <c r="Q56" s="53">
        <f t="shared" si="19"/>
        <v>1</v>
      </c>
      <c r="R56" s="489">
        <f t="shared" si="20"/>
        <v>0</v>
      </c>
      <c r="S56" s="798">
        <f t="shared" si="21"/>
        <v>0</v>
      </c>
    </row>
    <row r="57" spans="1:19">
      <c r="A57" s="963"/>
      <c r="B57" s="137"/>
      <c r="C57" s="53">
        <f t="shared" si="12"/>
        <v>1</v>
      </c>
      <c r="D57" s="961"/>
      <c r="E57" s="53">
        <f t="shared" si="13"/>
        <v>0.06</v>
      </c>
      <c r="F57" s="961"/>
      <c r="G57" s="53">
        <f t="shared" si="14"/>
        <v>1</v>
      </c>
      <c r="H57" s="961"/>
      <c r="I57" s="53">
        <f t="shared" si="15"/>
        <v>1</v>
      </c>
      <c r="J57" s="961"/>
      <c r="K57" s="53">
        <f t="shared" si="16"/>
        <v>1</v>
      </c>
      <c r="L57" s="961"/>
      <c r="M57" s="53">
        <f t="shared" si="17"/>
        <v>0</v>
      </c>
      <c r="N57" s="961"/>
      <c r="O57" s="53">
        <f t="shared" si="18"/>
        <v>1</v>
      </c>
      <c r="P57" s="961"/>
      <c r="Q57" s="53">
        <f t="shared" si="19"/>
        <v>1</v>
      </c>
      <c r="R57" s="489">
        <f t="shared" si="20"/>
        <v>0</v>
      </c>
      <c r="S57" s="798">
        <f t="shared" si="21"/>
        <v>0</v>
      </c>
    </row>
    <row r="58" spans="1:19">
      <c r="A58" s="963"/>
      <c r="B58" s="137"/>
      <c r="C58" s="53">
        <f t="shared" si="12"/>
        <v>1</v>
      </c>
      <c r="D58" s="961"/>
      <c r="E58" s="53">
        <f t="shared" si="13"/>
        <v>0.06</v>
      </c>
      <c r="F58" s="961"/>
      <c r="G58" s="53">
        <f t="shared" si="14"/>
        <v>1</v>
      </c>
      <c r="H58" s="961"/>
      <c r="I58" s="53">
        <f t="shared" si="15"/>
        <v>1</v>
      </c>
      <c r="J58" s="961"/>
      <c r="K58" s="53">
        <f t="shared" si="16"/>
        <v>1</v>
      </c>
      <c r="L58" s="961"/>
      <c r="M58" s="53">
        <f t="shared" si="17"/>
        <v>0</v>
      </c>
      <c r="N58" s="961"/>
      <c r="O58" s="53">
        <f t="shared" si="18"/>
        <v>1</v>
      </c>
      <c r="P58" s="961"/>
      <c r="Q58" s="53">
        <f t="shared" si="19"/>
        <v>1</v>
      </c>
      <c r="R58" s="489">
        <f t="shared" si="20"/>
        <v>0</v>
      </c>
      <c r="S58" s="798">
        <f t="shared" si="21"/>
        <v>0</v>
      </c>
    </row>
    <row r="59" spans="1:19">
      <c r="A59" s="963"/>
      <c r="B59" s="137"/>
      <c r="C59" s="53">
        <f t="shared" si="12"/>
        <v>1</v>
      </c>
      <c r="D59" s="961"/>
      <c r="E59" s="53">
        <f t="shared" si="13"/>
        <v>0.06</v>
      </c>
      <c r="F59" s="961"/>
      <c r="G59" s="53">
        <f t="shared" si="14"/>
        <v>1</v>
      </c>
      <c r="H59" s="961"/>
      <c r="I59" s="53">
        <f t="shared" si="15"/>
        <v>1</v>
      </c>
      <c r="J59" s="961"/>
      <c r="K59" s="53">
        <f t="shared" si="16"/>
        <v>1</v>
      </c>
      <c r="L59" s="961"/>
      <c r="M59" s="53">
        <f t="shared" si="17"/>
        <v>0</v>
      </c>
      <c r="N59" s="961"/>
      <c r="O59" s="53">
        <f t="shared" si="18"/>
        <v>1</v>
      </c>
      <c r="P59" s="961"/>
      <c r="Q59" s="53">
        <f t="shared" si="19"/>
        <v>1</v>
      </c>
      <c r="R59" s="489">
        <f t="shared" si="20"/>
        <v>0</v>
      </c>
      <c r="S59" s="798">
        <f t="shared" si="21"/>
        <v>0</v>
      </c>
    </row>
    <row r="60" spans="1:19">
      <c r="A60" s="963"/>
      <c r="B60" s="137"/>
      <c r="C60" s="53">
        <f t="shared" si="12"/>
        <v>1</v>
      </c>
      <c r="D60" s="961"/>
      <c r="E60" s="53">
        <f t="shared" si="13"/>
        <v>0.06</v>
      </c>
      <c r="F60" s="961"/>
      <c r="G60" s="53">
        <f t="shared" si="14"/>
        <v>1</v>
      </c>
      <c r="H60" s="961"/>
      <c r="I60" s="53">
        <f t="shared" si="15"/>
        <v>1</v>
      </c>
      <c r="J60" s="961"/>
      <c r="K60" s="53">
        <f t="shared" si="16"/>
        <v>1</v>
      </c>
      <c r="L60" s="961"/>
      <c r="M60" s="53">
        <f t="shared" si="17"/>
        <v>0</v>
      </c>
      <c r="N60" s="961"/>
      <c r="O60" s="53">
        <f t="shared" si="18"/>
        <v>1</v>
      </c>
      <c r="P60" s="961"/>
      <c r="Q60" s="53">
        <f t="shared" si="19"/>
        <v>1</v>
      </c>
      <c r="R60" s="489">
        <f t="shared" si="20"/>
        <v>0</v>
      </c>
      <c r="S60" s="798">
        <f t="shared" si="21"/>
        <v>0</v>
      </c>
    </row>
    <row r="61" spans="1:19">
      <c r="A61" s="963"/>
      <c r="B61" s="137"/>
      <c r="C61" s="53">
        <f t="shared" si="12"/>
        <v>1</v>
      </c>
      <c r="D61" s="961"/>
      <c r="E61" s="53">
        <f t="shared" si="13"/>
        <v>0.06</v>
      </c>
      <c r="F61" s="961"/>
      <c r="G61" s="53">
        <f t="shared" si="14"/>
        <v>1</v>
      </c>
      <c r="H61" s="961"/>
      <c r="I61" s="53">
        <f t="shared" si="15"/>
        <v>1</v>
      </c>
      <c r="J61" s="961"/>
      <c r="K61" s="53">
        <f t="shared" si="16"/>
        <v>1</v>
      </c>
      <c r="L61" s="961"/>
      <c r="M61" s="53">
        <f t="shared" si="17"/>
        <v>0</v>
      </c>
      <c r="N61" s="961"/>
      <c r="O61" s="53">
        <f t="shared" si="18"/>
        <v>1</v>
      </c>
      <c r="P61" s="961"/>
      <c r="Q61" s="53">
        <f t="shared" si="19"/>
        <v>1</v>
      </c>
      <c r="R61" s="489">
        <f t="shared" si="20"/>
        <v>0</v>
      </c>
      <c r="S61" s="798">
        <f t="shared" si="21"/>
        <v>0</v>
      </c>
    </row>
    <row r="62" spans="1:19">
      <c r="A62" s="963"/>
      <c r="B62" s="137"/>
      <c r="C62" s="53">
        <f t="shared" si="12"/>
        <v>1</v>
      </c>
      <c r="D62" s="961"/>
      <c r="E62" s="53">
        <f t="shared" si="13"/>
        <v>0.06</v>
      </c>
      <c r="F62" s="961"/>
      <c r="G62" s="53">
        <f t="shared" si="14"/>
        <v>1</v>
      </c>
      <c r="H62" s="961"/>
      <c r="I62" s="53">
        <f t="shared" si="15"/>
        <v>1</v>
      </c>
      <c r="J62" s="961"/>
      <c r="K62" s="53">
        <f t="shared" si="16"/>
        <v>1</v>
      </c>
      <c r="L62" s="961"/>
      <c r="M62" s="53">
        <f t="shared" si="17"/>
        <v>0</v>
      </c>
      <c r="N62" s="961"/>
      <c r="O62" s="53">
        <f t="shared" si="18"/>
        <v>1</v>
      </c>
      <c r="P62" s="961"/>
      <c r="Q62" s="53">
        <f t="shared" si="19"/>
        <v>1</v>
      </c>
      <c r="R62" s="489">
        <f t="shared" si="20"/>
        <v>0</v>
      </c>
      <c r="S62" s="798">
        <f t="shared" si="21"/>
        <v>0</v>
      </c>
    </row>
    <row r="63" spans="1:19">
      <c r="A63" s="963"/>
      <c r="B63" s="137"/>
      <c r="C63" s="53">
        <f t="shared" si="12"/>
        <v>1</v>
      </c>
      <c r="D63" s="961"/>
      <c r="E63" s="53">
        <f t="shared" si="13"/>
        <v>0.06</v>
      </c>
      <c r="F63" s="961"/>
      <c r="G63" s="53">
        <f t="shared" si="14"/>
        <v>1</v>
      </c>
      <c r="H63" s="961"/>
      <c r="I63" s="53">
        <f t="shared" si="15"/>
        <v>1</v>
      </c>
      <c r="J63" s="961"/>
      <c r="K63" s="53">
        <f t="shared" si="16"/>
        <v>1</v>
      </c>
      <c r="L63" s="961"/>
      <c r="M63" s="53">
        <f t="shared" si="17"/>
        <v>0</v>
      </c>
      <c r="N63" s="961"/>
      <c r="O63" s="53">
        <f t="shared" si="18"/>
        <v>1</v>
      </c>
      <c r="P63" s="961"/>
      <c r="Q63" s="53">
        <f t="shared" si="19"/>
        <v>1</v>
      </c>
      <c r="R63" s="489">
        <f t="shared" si="20"/>
        <v>0</v>
      </c>
      <c r="S63" s="798">
        <f t="shared" si="21"/>
        <v>0</v>
      </c>
    </row>
    <row r="64" spans="1:19">
      <c r="A64" s="963"/>
      <c r="B64" s="137"/>
      <c r="C64" s="53">
        <f t="shared" si="12"/>
        <v>1</v>
      </c>
      <c r="D64" s="961"/>
      <c r="E64" s="53">
        <f t="shared" si="13"/>
        <v>0.06</v>
      </c>
      <c r="F64" s="961"/>
      <c r="G64" s="53">
        <f t="shared" si="14"/>
        <v>1</v>
      </c>
      <c r="H64" s="961"/>
      <c r="I64" s="53">
        <f t="shared" si="15"/>
        <v>1</v>
      </c>
      <c r="J64" s="961"/>
      <c r="K64" s="53">
        <f t="shared" si="16"/>
        <v>1</v>
      </c>
      <c r="L64" s="961"/>
      <c r="M64" s="53">
        <f t="shared" si="17"/>
        <v>0</v>
      </c>
      <c r="N64" s="961"/>
      <c r="O64" s="53">
        <f t="shared" si="18"/>
        <v>1</v>
      </c>
      <c r="P64" s="961"/>
      <c r="Q64" s="53">
        <f t="shared" si="19"/>
        <v>1</v>
      </c>
      <c r="R64" s="489">
        <f t="shared" si="20"/>
        <v>0</v>
      </c>
      <c r="S64" s="798">
        <f t="shared" si="21"/>
        <v>0</v>
      </c>
    </row>
    <row r="65" spans="1:19">
      <c r="A65" s="963"/>
      <c r="B65" s="137"/>
      <c r="C65" s="53">
        <f t="shared" si="12"/>
        <v>1</v>
      </c>
      <c r="D65" s="961"/>
      <c r="E65" s="53">
        <f t="shared" si="13"/>
        <v>0.06</v>
      </c>
      <c r="F65" s="961"/>
      <c r="G65" s="53">
        <f t="shared" si="14"/>
        <v>1</v>
      </c>
      <c r="H65" s="961"/>
      <c r="I65" s="53">
        <f t="shared" si="15"/>
        <v>1</v>
      </c>
      <c r="J65" s="961"/>
      <c r="K65" s="53">
        <f t="shared" si="16"/>
        <v>1</v>
      </c>
      <c r="L65" s="961"/>
      <c r="M65" s="53">
        <f t="shared" si="17"/>
        <v>0</v>
      </c>
      <c r="N65" s="961"/>
      <c r="O65" s="53">
        <f t="shared" si="18"/>
        <v>1</v>
      </c>
      <c r="P65" s="961"/>
      <c r="Q65" s="53">
        <f t="shared" si="19"/>
        <v>1</v>
      </c>
      <c r="R65" s="489">
        <f t="shared" si="20"/>
        <v>0</v>
      </c>
      <c r="S65" s="798">
        <f t="shared" si="21"/>
        <v>0</v>
      </c>
    </row>
    <row r="66" spans="1:19">
      <c r="A66" s="963"/>
      <c r="B66" s="137"/>
      <c r="C66" s="53">
        <f t="shared" si="12"/>
        <v>1</v>
      </c>
      <c r="D66" s="961"/>
      <c r="E66" s="53">
        <f t="shared" si="13"/>
        <v>0.06</v>
      </c>
      <c r="F66" s="961"/>
      <c r="G66" s="53">
        <f t="shared" si="14"/>
        <v>1</v>
      </c>
      <c r="H66" s="961"/>
      <c r="I66" s="53">
        <f t="shared" si="15"/>
        <v>1</v>
      </c>
      <c r="J66" s="961"/>
      <c r="K66" s="53">
        <f t="shared" si="16"/>
        <v>1</v>
      </c>
      <c r="L66" s="961"/>
      <c r="M66" s="53">
        <f t="shared" si="17"/>
        <v>0</v>
      </c>
      <c r="N66" s="961"/>
      <c r="O66" s="53">
        <f t="shared" si="18"/>
        <v>1</v>
      </c>
      <c r="P66" s="961"/>
      <c r="Q66" s="53">
        <f t="shared" si="19"/>
        <v>1</v>
      </c>
      <c r="R66" s="489">
        <f t="shared" si="20"/>
        <v>0</v>
      </c>
      <c r="S66" s="798">
        <f t="shared" si="21"/>
        <v>0</v>
      </c>
    </row>
    <row r="67" spans="1:19">
      <c r="A67" s="963"/>
      <c r="B67" s="137"/>
      <c r="C67" s="53">
        <f t="shared" si="12"/>
        <v>1</v>
      </c>
      <c r="D67" s="961"/>
      <c r="E67" s="53">
        <f t="shared" si="13"/>
        <v>0.06</v>
      </c>
      <c r="F67" s="961"/>
      <c r="G67" s="53">
        <f t="shared" si="14"/>
        <v>1</v>
      </c>
      <c r="H67" s="961"/>
      <c r="I67" s="53">
        <f t="shared" si="15"/>
        <v>1</v>
      </c>
      <c r="J67" s="961"/>
      <c r="K67" s="53">
        <f t="shared" si="16"/>
        <v>1</v>
      </c>
      <c r="L67" s="961"/>
      <c r="M67" s="53">
        <f t="shared" si="17"/>
        <v>0</v>
      </c>
      <c r="N67" s="961"/>
      <c r="O67" s="53">
        <f t="shared" si="18"/>
        <v>1</v>
      </c>
      <c r="P67" s="961"/>
      <c r="Q67" s="53">
        <f t="shared" si="19"/>
        <v>1</v>
      </c>
      <c r="R67" s="489">
        <f t="shared" si="20"/>
        <v>0</v>
      </c>
      <c r="S67" s="798">
        <f t="shared" si="21"/>
        <v>0</v>
      </c>
    </row>
    <row r="68" spans="1:19">
      <c r="A68" s="963"/>
      <c r="B68" s="137"/>
      <c r="C68" s="53">
        <f t="shared" si="12"/>
        <v>1</v>
      </c>
      <c r="D68" s="961"/>
      <c r="E68" s="53">
        <f t="shared" si="13"/>
        <v>0.06</v>
      </c>
      <c r="F68" s="961"/>
      <c r="G68" s="53">
        <f t="shared" si="14"/>
        <v>1</v>
      </c>
      <c r="H68" s="961"/>
      <c r="I68" s="53">
        <f t="shared" si="15"/>
        <v>1</v>
      </c>
      <c r="J68" s="961"/>
      <c r="K68" s="53">
        <f t="shared" si="16"/>
        <v>1</v>
      </c>
      <c r="L68" s="961"/>
      <c r="M68" s="53">
        <f t="shared" si="17"/>
        <v>0</v>
      </c>
      <c r="N68" s="961"/>
      <c r="O68" s="53">
        <f t="shared" si="18"/>
        <v>1</v>
      </c>
      <c r="P68" s="961"/>
      <c r="Q68" s="53">
        <f t="shared" si="19"/>
        <v>1</v>
      </c>
      <c r="R68" s="489">
        <f t="shared" si="20"/>
        <v>0</v>
      </c>
      <c r="S68" s="798">
        <f t="shared" si="21"/>
        <v>0</v>
      </c>
    </row>
    <row r="69" spans="1:19">
      <c r="A69" s="963"/>
      <c r="B69" s="137"/>
      <c r="C69" s="53">
        <f t="shared" si="12"/>
        <v>1</v>
      </c>
      <c r="D69" s="961"/>
      <c r="E69" s="53">
        <f t="shared" si="13"/>
        <v>0.06</v>
      </c>
      <c r="F69" s="961"/>
      <c r="G69" s="53">
        <f t="shared" si="14"/>
        <v>1</v>
      </c>
      <c r="H69" s="961"/>
      <c r="I69" s="53">
        <f t="shared" si="15"/>
        <v>1</v>
      </c>
      <c r="J69" s="961"/>
      <c r="K69" s="53">
        <f t="shared" si="16"/>
        <v>1</v>
      </c>
      <c r="L69" s="961"/>
      <c r="M69" s="53">
        <f t="shared" si="17"/>
        <v>0</v>
      </c>
      <c r="N69" s="961"/>
      <c r="O69" s="53">
        <f t="shared" si="18"/>
        <v>1</v>
      </c>
      <c r="P69" s="961"/>
      <c r="Q69" s="53">
        <f t="shared" si="19"/>
        <v>1</v>
      </c>
      <c r="R69" s="489">
        <f t="shared" si="20"/>
        <v>0</v>
      </c>
      <c r="S69" s="798">
        <f t="shared" si="21"/>
        <v>0</v>
      </c>
    </row>
    <row r="70" spans="1:19">
      <c r="A70" s="963"/>
      <c r="B70" s="137"/>
      <c r="C70" s="53">
        <f t="shared" si="12"/>
        <v>1</v>
      </c>
      <c r="D70" s="961"/>
      <c r="E70" s="53">
        <f t="shared" si="13"/>
        <v>0.06</v>
      </c>
      <c r="F70" s="961"/>
      <c r="G70" s="53">
        <f t="shared" si="14"/>
        <v>1</v>
      </c>
      <c r="H70" s="961"/>
      <c r="I70" s="53">
        <f t="shared" si="15"/>
        <v>1</v>
      </c>
      <c r="J70" s="961"/>
      <c r="K70" s="53">
        <f t="shared" si="16"/>
        <v>1</v>
      </c>
      <c r="L70" s="961"/>
      <c r="M70" s="53">
        <f t="shared" si="17"/>
        <v>0</v>
      </c>
      <c r="N70" s="961"/>
      <c r="O70" s="53">
        <f t="shared" si="18"/>
        <v>1</v>
      </c>
      <c r="P70" s="961"/>
      <c r="Q70" s="53">
        <f t="shared" si="19"/>
        <v>1</v>
      </c>
      <c r="R70" s="489">
        <f t="shared" si="20"/>
        <v>0</v>
      </c>
      <c r="S70" s="798">
        <f t="shared" si="21"/>
        <v>0</v>
      </c>
    </row>
    <row r="71" spans="1:19">
      <c r="A71" s="963"/>
      <c r="B71" s="137"/>
      <c r="C71" s="53">
        <f t="shared" si="12"/>
        <v>1</v>
      </c>
      <c r="D71" s="961"/>
      <c r="E71" s="53">
        <f t="shared" si="13"/>
        <v>0.06</v>
      </c>
      <c r="F71" s="961"/>
      <c r="G71" s="53">
        <f t="shared" si="14"/>
        <v>1</v>
      </c>
      <c r="H71" s="961"/>
      <c r="I71" s="53">
        <f t="shared" si="15"/>
        <v>1</v>
      </c>
      <c r="J71" s="961"/>
      <c r="K71" s="53">
        <f t="shared" si="16"/>
        <v>1</v>
      </c>
      <c r="L71" s="961"/>
      <c r="M71" s="53">
        <f t="shared" si="17"/>
        <v>0</v>
      </c>
      <c r="N71" s="961"/>
      <c r="O71" s="53">
        <f t="shared" si="18"/>
        <v>1</v>
      </c>
      <c r="P71" s="961"/>
      <c r="Q71" s="53">
        <f t="shared" si="19"/>
        <v>1</v>
      </c>
      <c r="R71" s="489">
        <f t="shared" si="20"/>
        <v>0</v>
      </c>
      <c r="S71" s="798">
        <f t="shared" si="21"/>
        <v>0</v>
      </c>
    </row>
    <row r="72" spans="1:19">
      <c r="A72" s="963"/>
      <c r="B72" s="137"/>
      <c r="C72" s="53">
        <f t="shared" si="12"/>
        <v>1</v>
      </c>
      <c r="D72" s="961"/>
      <c r="E72" s="53">
        <f t="shared" si="13"/>
        <v>0.06</v>
      </c>
      <c r="F72" s="961"/>
      <c r="G72" s="53">
        <f t="shared" si="14"/>
        <v>1</v>
      </c>
      <c r="H72" s="961"/>
      <c r="I72" s="53">
        <f t="shared" si="15"/>
        <v>1</v>
      </c>
      <c r="J72" s="961"/>
      <c r="K72" s="53">
        <f t="shared" si="16"/>
        <v>1</v>
      </c>
      <c r="L72" s="961"/>
      <c r="M72" s="53">
        <f t="shared" si="17"/>
        <v>0</v>
      </c>
      <c r="N72" s="961"/>
      <c r="O72" s="53">
        <f t="shared" si="18"/>
        <v>1</v>
      </c>
      <c r="P72" s="961"/>
      <c r="Q72" s="53">
        <f t="shared" si="19"/>
        <v>1</v>
      </c>
      <c r="R72" s="489">
        <f t="shared" si="20"/>
        <v>0</v>
      </c>
      <c r="S72" s="798">
        <f t="shared" si="21"/>
        <v>0</v>
      </c>
    </row>
    <row r="73" spans="1:19">
      <c r="A73" s="963"/>
      <c r="B73" s="137"/>
      <c r="C73" s="53">
        <f t="shared" si="12"/>
        <v>1</v>
      </c>
      <c r="D73" s="961"/>
      <c r="E73" s="53">
        <f t="shared" si="13"/>
        <v>0.06</v>
      </c>
      <c r="F73" s="961"/>
      <c r="G73" s="53">
        <f t="shared" si="14"/>
        <v>1</v>
      </c>
      <c r="H73" s="961"/>
      <c r="I73" s="53">
        <f t="shared" si="15"/>
        <v>1</v>
      </c>
      <c r="J73" s="961"/>
      <c r="K73" s="53">
        <f t="shared" si="16"/>
        <v>1</v>
      </c>
      <c r="L73" s="961"/>
      <c r="M73" s="53">
        <f t="shared" si="17"/>
        <v>0</v>
      </c>
      <c r="N73" s="961"/>
      <c r="O73" s="53">
        <f t="shared" si="18"/>
        <v>1</v>
      </c>
      <c r="P73" s="961"/>
      <c r="Q73" s="53">
        <f t="shared" si="19"/>
        <v>1</v>
      </c>
      <c r="R73" s="489">
        <f t="shared" si="20"/>
        <v>0</v>
      </c>
      <c r="S73" s="798">
        <f t="shared" si="21"/>
        <v>0</v>
      </c>
    </row>
    <row r="74" spans="1:19">
      <c r="A74" s="963"/>
      <c r="B74" s="137"/>
      <c r="C74" s="53">
        <f t="shared" si="12"/>
        <v>1</v>
      </c>
      <c r="D74" s="961"/>
      <c r="E74" s="53">
        <f t="shared" si="13"/>
        <v>0.06</v>
      </c>
      <c r="F74" s="961"/>
      <c r="G74" s="53">
        <f t="shared" si="14"/>
        <v>1</v>
      </c>
      <c r="H74" s="961"/>
      <c r="I74" s="53">
        <f t="shared" si="15"/>
        <v>1</v>
      </c>
      <c r="J74" s="961"/>
      <c r="K74" s="53">
        <f t="shared" si="16"/>
        <v>1</v>
      </c>
      <c r="L74" s="961"/>
      <c r="M74" s="53">
        <f t="shared" si="17"/>
        <v>0</v>
      </c>
      <c r="N74" s="961"/>
      <c r="O74" s="53">
        <f t="shared" si="18"/>
        <v>1</v>
      </c>
      <c r="P74" s="961"/>
      <c r="Q74" s="53">
        <f t="shared" si="19"/>
        <v>1</v>
      </c>
      <c r="R74" s="489">
        <f t="shared" si="20"/>
        <v>0</v>
      </c>
      <c r="S74" s="798">
        <f t="shared" si="21"/>
        <v>0</v>
      </c>
    </row>
    <row r="75" spans="1:19">
      <c r="A75" s="963"/>
      <c r="B75" s="137"/>
      <c r="C75" s="53">
        <f t="shared" si="12"/>
        <v>1</v>
      </c>
      <c r="D75" s="961"/>
      <c r="E75" s="53">
        <f t="shared" si="13"/>
        <v>0.06</v>
      </c>
      <c r="F75" s="961"/>
      <c r="G75" s="53">
        <f t="shared" si="14"/>
        <v>1</v>
      </c>
      <c r="H75" s="961"/>
      <c r="I75" s="53">
        <f t="shared" si="15"/>
        <v>1</v>
      </c>
      <c r="J75" s="961"/>
      <c r="K75" s="53">
        <f t="shared" si="16"/>
        <v>1</v>
      </c>
      <c r="L75" s="961"/>
      <c r="M75" s="53">
        <f t="shared" si="17"/>
        <v>0</v>
      </c>
      <c r="N75" s="961"/>
      <c r="O75" s="53">
        <f t="shared" si="18"/>
        <v>1</v>
      </c>
      <c r="P75" s="961"/>
      <c r="Q75" s="53">
        <f t="shared" si="19"/>
        <v>1</v>
      </c>
      <c r="R75" s="489">
        <f t="shared" si="20"/>
        <v>0</v>
      </c>
      <c r="S75" s="798">
        <f t="shared" si="21"/>
        <v>0</v>
      </c>
    </row>
    <row r="76" spans="1:19">
      <c r="A76" s="963"/>
      <c r="B76" s="137"/>
      <c r="C76" s="53">
        <f t="shared" si="12"/>
        <v>1</v>
      </c>
      <c r="D76" s="961"/>
      <c r="E76" s="53">
        <f t="shared" si="13"/>
        <v>0.06</v>
      </c>
      <c r="F76" s="961"/>
      <c r="G76" s="53">
        <f t="shared" si="14"/>
        <v>1</v>
      </c>
      <c r="H76" s="961"/>
      <c r="I76" s="53">
        <f t="shared" si="15"/>
        <v>1</v>
      </c>
      <c r="J76" s="961"/>
      <c r="K76" s="53">
        <f t="shared" si="16"/>
        <v>1</v>
      </c>
      <c r="L76" s="961"/>
      <c r="M76" s="53">
        <f t="shared" si="17"/>
        <v>0</v>
      </c>
      <c r="N76" s="961"/>
      <c r="O76" s="53">
        <f t="shared" si="18"/>
        <v>1</v>
      </c>
      <c r="P76" s="961"/>
      <c r="Q76" s="53">
        <f t="shared" si="19"/>
        <v>1</v>
      </c>
      <c r="R76" s="489">
        <f t="shared" si="20"/>
        <v>0</v>
      </c>
      <c r="S76" s="798">
        <f t="shared" si="21"/>
        <v>0</v>
      </c>
    </row>
    <row r="77" spans="1:19">
      <c r="A77" s="963"/>
      <c r="B77" s="137"/>
      <c r="C77" s="53">
        <f t="shared" si="12"/>
        <v>1</v>
      </c>
      <c r="D77" s="961"/>
      <c r="E77" s="53">
        <f t="shared" si="13"/>
        <v>0.06</v>
      </c>
      <c r="F77" s="961"/>
      <c r="G77" s="53">
        <f t="shared" si="14"/>
        <v>1</v>
      </c>
      <c r="H77" s="961"/>
      <c r="I77" s="53">
        <f t="shared" si="15"/>
        <v>1</v>
      </c>
      <c r="J77" s="961"/>
      <c r="K77" s="53">
        <f t="shared" si="16"/>
        <v>1</v>
      </c>
      <c r="L77" s="961"/>
      <c r="M77" s="53">
        <f t="shared" si="17"/>
        <v>0</v>
      </c>
      <c r="N77" s="961"/>
      <c r="O77" s="53">
        <f t="shared" si="18"/>
        <v>1</v>
      </c>
      <c r="P77" s="961"/>
      <c r="Q77" s="53">
        <f t="shared" si="19"/>
        <v>1</v>
      </c>
      <c r="R77" s="489">
        <f t="shared" si="20"/>
        <v>0</v>
      </c>
      <c r="S77" s="798">
        <f t="shared" si="21"/>
        <v>0</v>
      </c>
    </row>
    <row r="78" spans="1:19">
      <c r="A78" s="963"/>
      <c r="B78" s="137"/>
      <c r="C78" s="53">
        <f t="shared" si="12"/>
        <v>1</v>
      </c>
      <c r="D78" s="961"/>
      <c r="E78" s="53">
        <f t="shared" si="13"/>
        <v>0.06</v>
      </c>
      <c r="F78" s="961"/>
      <c r="G78" s="53">
        <f t="shared" si="14"/>
        <v>1</v>
      </c>
      <c r="H78" s="961"/>
      <c r="I78" s="53">
        <f t="shared" si="15"/>
        <v>1</v>
      </c>
      <c r="J78" s="961"/>
      <c r="K78" s="53">
        <f t="shared" si="16"/>
        <v>1</v>
      </c>
      <c r="L78" s="961"/>
      <c r="M78" s="53">
        <f t="shared" si="17"/>
        <v>0</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0.06</v>
      </c>
      <c r="F79" s="961"/>
      <c r="G79" s="53">
        <f t="shared" si="14"/>
        <v>1</v>
      </c>
      <c r="H79" s="961"/>
      <c r="I79" s="53">
        <f t="shared" si="15"/>
        <v>1</v>
      </c>
      <c r="J79" s="961"/>
      <c r="K79" s="53">
        <f t="shared" si="16"/>
        <v>1</v>
      </c>
      <c r="L79" s="961"/>
      <c r="M79" s="53">
        <f t="shared" si="17"/>
        <v>0</v>
      </c>
      <c r="N79" s="961"/>
      <c r="O79" s="53">
        <f t="shared" si="18"/>
        <v>1</v>
      </c>
      <c r="P79" s="961"/>
      <c r="Q79" s="53">
        <f t="shared" si="19"/>
        <v>1</v>
      </c>
      <c r="R79" s="489">
        <f t="shared" si="20"/>
        <v>0</v>
      </c>
      <c r="S79" s="798">
        <f t="shared" si="22"/>
        <v>0</v>
      </c>
    </row>
    <row r="80" spans="1:19">
      <c r="A80" s="963"/>
      <c r="B80" s="137"/>
      <c r="C80" s="53">
        <f t="shared" si="12"/>
        <v>1</v>
      </c>
      <c r="D80" s="961"/>
      <c r="E80" s="53">
        <f t="shared" si="13"/>
        <v>0.06</v>
      </c>
      <c r="F80" s="961"/>
      <c r="G80" s="53">
        <f t="shared" si="14"/>
        <v>1</v>
      </c>
      <c r="H80" s="961"/>
      <c r="I80" s="53">
        <f t="shared" si="15"/>
        <v>1</v>
      </c>
      <c r="J80" s="961"/>
      <c r="K80" s="53">
        <f t="shared" si="16"/>
        <v>1</v>
      </c>
      <c r="L80" s="961"/>
      <c r="M80" s="53">
        <f t="shared" si="17"/>
        <v>0</v>
      </c>
      <c r="N80" s="961"/>
      <c r="O80" s="53">
        <f t="shared" si="18"/>
        <v>1</v>
      </c>
      <c r="P80" s="961"/>
      <c r="Q80" s="53">
        <f t="shared" si="19"/>
        <v>1</v>
      </c>
      <c r="R80" s="489">
        <f t="shared" si="20"/>
        <v>0</v>
      </c>
      <c r="S80" s="798">
        <f t="shared" si="22"/>
        <v>0</v>
      </c>
    </row>
    <row r="81" spans="1:19">
      <c r="A81" s="963"/>
      <c r="B81" s="137"/>
      <c r="C81" s="53">
        <f t="shared" si="12"/>
        <v>1</v>
      </c>
      <c r="D81" s="961"/>
      <c r="E81" s="53">
        <f t="shared" si="13"/>
        <v>0.06</v>
      </c>
      <c r="F81" s="961"/>
      <c r="G81" s="53">
        <f t="shared" si="14"/>
        <v>1</v>
      </c>
      <c r="H81" s="961"/>
      <c r="I81" s="53">
        <f t="shared" si="15"/>
        <v>1</v>
      </c>
      <c r="J81" s="961"/>
      <c r="K81" s="53">
        <f t="shared" si="16"/>
        <v>1</v>
      </c>
      <c r="L81" s="961"/>
      <c r="M81" s="53">
        <f t="shared" si="17"/>
        <v>0</v>
      </c>
      <c r="N81" s="961"/>
      <c r="O81" s="53">
        <f t="shared" si="18"/>
        <v>1</v>
      </c>
      <c r="P81" s="961"/>
      <c r="Q81" s="53">
        <f t="shared" si="19"/>
        <v>1</v>
      </c>
      <c r="R81" s="489">
        <f t="shared" si="20"/>
        <v>0</v>
      </c>
      <c r="S81" s="798">
        <f t="shared" si="22"/>
        <v>0</v>
      </c>
    </row>
    <row r="82" spans="1:19">
      <c r="A82" s="963"/>
      <c r="B82" s="137"/>
      <c r="C82" s="53">
        <f t="shared" si="12"/>
        <v>1</v>
      </c>
      <c r="D82" s="961"/>
      <c r="E82" s="53">
        <f t="shared" si="13"/>
        <v>0.06</v>
      </c>
      <c r="F82" s="961"/>
      <c r="G82" s="53">
        <f t="shared" si="14"/>
        <v>1</v>
      </c>
      <c r="H82" s="961"/>
      <c r="I82" s="53">
        <f t="shared" si="15"/>
        <v>1</v>
      </c>
      <c r="J82" s="961"/>
      <c r="K82" s="53">
        <f t="shared" si="16"/>
        <v>1</v>
      </c>
      <c r="L82" s="961"/>
      <c r="M82" s="53">
        <f t="shared" si="17"/>
        <v>0</v>
      </c>
      <c r="N82" s="961"/>
      <c r="O82" s="53">
        <f t="shared" si="18"/>
        <v>1</v>
      </c>
      <c r="P82" s="961"/>
      <c r="Q82" s="53">
        <f t="shared" si="19"/>
        <v>1</v>
      </c>
      <c r="R82" s="489">
        <f t="shared" si="20"/>
        <v>0</v>
      </c>
      <c r="S82" s="798">
        <f t="shared" si="22"/>
        <v>0</v>
      </c>
    </row>
    <row r="83" spans="1:19">
      <c r="A83" s="963"/>
      <c r="B83" s="137"/>
      <c r="C83" s="53">
        <f t="shared" si="12"/>
        <v>1</v>
      </c>
      <c r="D83" s="961"/>
      <c r="E83" s="53">
        <f t="shared" si="13"/>
        <v>0.06</v>
      </c>
      <c r="F83" s="961"/>
      <c r="G83" s="53">
        <f t="shared" si="14"/>
        <v>1</v>
      </c>
      <c r="H83" s="961"/>
      <c r="I83" s="53">
        <f t="shared" si="15"/>
        <v>1</v>
      </c>
      <c r="J83" s="961"/>
      <c r="K83" s="53">
        <f t="shared" si="16"/>
        <v>1</v>
      </c>
      <c r="L83" s="961"/>
      <c r="M83" s="53">
        <f t="shared" si="17"/>
        <v>0</v>
      </c>
      <c r="N83" s="961"/>
      <c r="O83" s="53">
        <f t="shared" si="18"/>
        <v>1</v>
      </c>
      <c r="P83" s="961"/>
      <c r="Q83" s="53">
        <f t="shared" si="19"/>
        <v>1</v>
      </c>
      <c r="R83" s="489">
        <f t="shared" si="20"/>
        <v>0</v>
      </c>
      <c r="S83" s="798">
        <f t="shared" si="22"/>
        <v>0</v>
      </c>
    </row>
    <row r="84" spans="1:19">
      <c r="A84" s="963"/>
      <c r="B84" s="137"/>
      <c r="C84" s="53">
        <f t="shared" si="12"/>
        <v>1</v>
      </c>
      <c r="D84" s="961"/>
      <c r="E84" s="53">
        <f t="shared" si="13"/>
        <v>0.06</v>
      </c>
      <c r="F84" s="961"/>
      <c r="G84" s="53">
        <f t="shared" si="14"/>
        <v>1</v>
      </c>
      <c r="H84" s="961"/>
      <c r="I84" s="53">
        <f t="shared" si="15"/>
        <v>1</v>
      </c>
      <c r="J84" s="961"/>
      <c r="K84" s="53">
        <f t="shared" si="16"/>
        <v>1</v>
      </c>
      <c r="L84" s="961"/>
      <c r="M84" s="53">
        <f t="shared" si="17"/>
        <v>0</v>
      </c>
      <c r="N84" s="961"/>
      <c r="O84" s="53">
        <f t="shared" si="18"/>
        <v>1</v>
      </c>
      <c r="P84" s="961"/>
      <c r="Q84" s="53">
        <f t="shared" si="19"/>
        <v>1</v>
      </c>
      <c r="R84" s="489">
        <f t="shared" si="20"/>
        <v>0</v>
      </c>
      <c r="S84" s="798">
        <f t="shared" si="22"/>
        <v>0</v>
      </c>
    </row>
    <row r="85" spans="1:19">
      <c r="A85" s="963"/>
      <c r="B85" s="137"/>
      <c r="C85" s="53">
        <f t="shared" si="12"/>
        <v>1</v>
      </c>
      <c r="D85" s="961"/>
      <c r="E85" s="53">
        <f t="shared" si="13"/>
        <v>0.06</v>
      </c>
      <c r="F85" s="961"/>
      <c r="G85" s="53">
        <f t="shared" si="14"/>
        <v>1</v>
      </c>
      <c r="H85" s="961"/>
      <c r="I85" s="53">
        <f t="shared" si="15"/>
        <v>1</v>
      </c>
      <c r="J85" s="961"/>
      <c r="K85" s="53">
        <f t="shared" si="16"/>
        <v>1</v>
      </c>
      <c r="L85" s="961"/>
      <c r="M85" s="53">
        <f t="shared" si="17"/>
        <v>0</v>
      </c>
      <c r="N85" s="961"/>
      <c r="O85" s="53">
        <f t="shared" si="18"/>
        <v>1</v>
      </c>
      <c r="P85" s="961"/>
      <c r="Q85" s="53">
        <f t="shared" si="19"/>
        <v>1</v>
      </c>
      <c r="R85" s="489">
        <f t="shared" si="20"/>
        <v>0</v>
      </c>
      <c r="S85" s="798">
        <f t="shared" si="22"/>
        <v>0</v>
      </c>
    </row>
    <row r="86" spans="1:19">
      <c r="A86" s="963"/>
      <c r="B86" s="137"/>
      <c r="C86" s="53">
        <f t="shared" si="12"/>
        <v>1</v>
      </c>
      <c r="D86" s="961"/>
      <c r="E86" s="53">
        <f t="shared" si="13"/>
        <v>0.06</v>
      </c>
      <c r="F86" s="961"/>
      <c r="G86" s="53">
        <f t="shared" si="14"/>
        <v>1</v>
      </c>
      <c r="H86" s="961"/>
      <c r="I86" s="53">
        <f t="shared" si="15"/>
        <v>1</v>
      </c>
      <c r="J86" s="961"/>
      <c r="K86" s="53">
        <f t="shared" si="16"/>
        <v>1</v>
      </c>
      <c r="L86" s="961"/>
      <c r="M86" s="53">
        <f t="shared" si="17"/>
        <v>0</v>
      </c>
      <c r="N86" s="961"/>
      <c r="O86" s="53">
        <f t="shared" si="18"/>
        <v>1</v>
      </c>
      <c r="P86" s="961"/>
      <c r="Q86" s="53">
        <f t="shared" si="19"/>
        <v>1</v>
      </c>
      <c r="R86" s="489">
        <f t="shared" si="20"/>
        <v>0</v>
      </c>
      <c r="S86" s="798">
        <f t="shared" si="22"/>
        <v>0</v>
      </c>
    </row>
    <row r="87" spans="1:19">
      <c r="A87" s="963"/>
      <c r="B87" s="137"/>
      <c r="C87" s="53">
        <f t="shared" si="12"/>
        <v>1</v>
      </c>
      <c r="D87" s="961"/>
      <c r="E87" s="53">
        <f t="shared" si="13"/>
        <v>0.06</v>
      </c>
      <c r="F87" s="961"/>
      <c r="G87" s="53">
        <f t="shared" si="14"/>
        <v>1</v>
      </c>
      <c r="H87" s="961"/>
      <c r="I87" s="53">
        <f t="shared" si="15"/>
        <v>1</v>
      </c>
      <c r="J87" s="961"/>
      <c r="K87" s="53">
        <f t="shared" si="16"/>
        <v>1</v>
      </c>
      <c r="L87" s="961"/>
      <c r="M87" s="53">
        <f t="shared" si="17"/>
        <v>0</v>
      </c>
      <c r="N87" s="961"/>
      <c r="O87" s="53">
        <f t="shared" si="18"/>
        <v>1</v>
      </c>
      <c r="P87" s="961"/>
      <c r="Q87" s="53">
        <f t="shared" si="19"/>
        <v>1</v>
      </c>
      <c r="R87" s="489">
        <f t="shared" si="20"/>
        <v>0</v>
      </c>
      <c r="S87" s="798">
        <f t="shared" si="22"/>
        <v>0</v>
      </c>
    </row>
    <row r="88" spans="1:19">
      <c r="A88" s="963"/>
      <c r="B88" s="137"/>
      <c r="C88" s="53">
        <f t="shared" si="12"/>
        <v>1</v>
      </c>
      <c r="D88" s="961"/>
      <c r="E88" s="53">
        <f t="shared" si="13"/>
        <v>0.06</v>
      </c>
      <c r="F88" s="961"/>
      <c r="G88" s="53">
        <f t="shared" si="14"/>
        <v>1</v>
      </c>
      <c r="H88" s="961"/>
      <c r="I88" s="53">
        <f t="shared" si="15"/>
        <v>1</v>
      </c>
      <c r="J88" s="961"/>
      <c r="K88" s="53">
        <f t="shared" si="16"/>
        <v>1</v>
      </c>
      <c r="L88" s="961"/>
      <c r="M88" s="53">
        <f t="shared" si="17"/>
        <v>0</v>
      </c>
      <c r="N88" s="961"/>
      <c r="O88" s="53">
        <f t="shared" si="18"/>
        <v>1</v>
      </c>
      <c r="P88" s="961"/>
      <c r="Q88" s="53">
        <f t="shared" si="19"/>
        <v>1</v>
      </c>
      <c r="R88" s="489">
        <f t="shared" si="20"/>
        <v>0</v>
      </c>
      <c r="S88" s="798">
        <f t="shared" si="22"/>
        <v>0</v>
      </c>
    </row>
    <row r="89" spans="1:19">
      <c r="A89" s="963"/>
      <c r="B89" s="137"/>
      <c r="C89" s="53">
        <f t="shared" si="12"/>
        <v>1</v>
      </c>
      <c r="D89" s="961"/>
      <c r="E89" s="53">
        <f t="shared" si="13"/>
        <v>0.06</v>
      </c>
      <c r="F89" s="961"/>
      <c r="G89" s="53">
        <f t="shared" si="14"/>
        <v>1</v>
      </c>
      <c r="H89" s="961"/>
      <c r="I89" s="53">
        <f t="shared" si="15"/>
        <v>1</v>
      </c>
      <c r="J89" s="961"/>
      <c r="K89" s="53">
        <f t="shared" si="16"/>
        <v>1</v>
      </c>
      <c r="L89" s="961"/>
      <c r="M89" s="53">
        <f t="shared" si="17"/>
        <v>0</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0.06</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0</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0.06</v>
      </c>
      <c r="F91" s="961"/>
      <c r="G91" s="53">
        <f t="shared" si="25"/>
        <v>1</v>
      </c>
      <c r="H91" s="961"/>
      <c r="I91" s="53">
        <f t="shared" si="26"/>
        <v>1</v>
      </c>
      <c r="J91" s="961"/>
      <c r="K91" s="53">
        <f t="shared" si="27"/>
        <v>1</v>
      </c>
      <c r="L91" s="961"/>
      <c r="M91" s="53">
        <f t="shared" si="28"/>
        <v>0</v>
      </c>
      <c r="N91" s="961"/>
      <c r="O91" s="53">
        <f t="shared" si="29"/>
        <v>1</v>
      </c>
      <c r="P91" s="961"/>
      <c r="Q91" s="53">
        <f t="shared" si="30"/>
        <v>1</v>
      </c>
      <c r="R91" s="489">
        <f t="shared" si="31"/>
        <v>0</v>
      </c>
      <c r="S91" s="798">
        <f t="shared" si="22"/>
        <v>0</v>
      </c>
    </row>
    <row r="92" spans="1:19">
      <c r="A92" s="963"/>
      <c r="B92" s="137"/>
      <c r="C92" s="53">
        <f t="shared" si="23"/>
        <v>1</v>
      </c>
      <c r="D92" s="961"/>
      <c r="E92" s="53">
        <f t="shared" si="24"/>
        <v>0.06</v>
      </c>
      <c r="F92" s="961"/>
      <c r="G92" s="53">
        <f t="shared" si="25"/>
        <v>1</v>
      </c>
      <c r="H92" s="961"/>
      <c r="I92" s="53">
        <f t="shared" si="26"/>
        <v>1</v>
      </c>
      <c r="J92" s="961"/>
      <c r="K92" s="53">
        <f t="shared" si="27"/>
        <v>1</v>
      </c>
      <c r="L92" s="961"/>
      <c r="M92" s="53">
        <f t="shared" si="28"/>
        <v>0</v>
      </c>
      <c r="N92" s="961"/>
      <c r="O92" s="53">
        <f t="shared" si="29"/>
        <v>1</v>
      </c>
      <c r="P92" s="961"/>
      <c r="Q92" s="53">
        <f t="shared" si="30"/>
        <v>1</v>
      </c>
      <c r="R92" s="489">
        <f t="shared" si="31"/>
        <v>0</v>
      </c>
      <c r="S92" s="798">
        <f t="shared" si="22"/>
        <v>0</v>
      </c>
    </row>
    <row r="93" spans="1:19">
      <c r="A93" s="963"/>
      <c r="B93" s="137"/>
      <c r="C93" s="53">
        <f t="shared" si="23"/>
        <v>1</v>
      </c>
      <c r="D93" s="961"/>
      <c r="E93" s="53">
        <f t="shared" si="24"/>
        <v>0.06</v>
      </c>
      <c r="F93" s="961"/>
      <c r="G93" s="53">
        <f t="shared" si="25"/>
        <v>1</v>
      </c>
      <c r="H93" s="961"/>
      <c r="I93" s="53">
        <f t="shared" si="26"/>
        <v>1</v>
      </c>
      <c r="J93" s="961"/>
      <c r="K93" s="53">
        <f t="shared" si="27"/>
        <v>1</v>
      </c>
      <c r="L93" s="961"/>
      <c r="M93" s="53">
        <f t="shared" si="28"/>
        <v>0</v>
      </c>
      <c r="N93" s="961"/>
      <c r="O93" s="53">
        <f t="shared" si="29"/>
        <v>1</v>
      </c>
      <c r="P93" s="961"/>
      <c r="Q93" s="53">
        <f t="shared" si="30"/>
        <v>1</v>
      </c>
      <c r="R93" s="489">
        <f t="shared" si="31"/>
        <v>0</v>
      </c>
      <c r="S93" s="798">
        <f t="shared" si="22"/>
        <v>0</v>
      </c>
    </row>
    <row r="94" spans="1:19">
      <c r="A94" s="963"/>
      <c r="B94" s="137"/>
      <c r="C94" s="53">
        <f t="shared" si="23"/>
        <v>1</v>
      </c>
      <c r="D94" s="961"/>
      <c r="E94" s="53">
        <f t="shared" si="24"/>
        <v>0.06</v>
      </c>
      <c r="F94" s="961"/>
      <c r="G94" s="53">
        <f t="shared" si="25"/>
        <v>1</v>
      </c>
      <c r="H94" s="961"/>
      <c r="I94" s="53">
        <f t="shared" si="26"/>
        <v>1</v>
      </c>
      <c r="J94" s="961"/>
      <c r="K94" s="53">
        <f t="shared" si="27"/>
        <v>1</v>
      </c>
      <c r="L94" s="961"/>
      <c r="M94" s="53">
        <f t="shared" si="28"/>
        <v>0</v>
      </c>
      <c r="N94" s="961"/>
      <c r="O94" s="53">
        <f t="shared" si="29"/>
        <v>1</v>
      </c>
      <c r="P94" s="961"/>
      <c r="Q94" s="53">
        <f t="shared" si="30"/>
        <v>1</v>
      </c>
      <c r="R94" s="489">
        <f t="shared" si="31"/>
        <v>0</v>
      </c>
      <c r="S94" s="798">
        <f t="shared" si="22"/>
        <v>0</v>
      </c>
    </row>
    <row r="95" spans="1:19">
      <c r="A95" s="963"/>
      <c r="B95" s="137"/>
      <c r="C95" s="53">
        <f t="shared" si="23"/>
        <v>1</v>
      </c>
      <c r="D95" s="961"/>
      <c r="E95" s="53">
        <f t="shared" si="24"/>
        <v>0.06</v>
      </c>
      <c r="F95" s="961"/>
      <c r="G95" s="53">
        <f t="shared" si="25"/>
        <v>1</v>
      </c>
      <c r="H95" s="961"/>
      <c r="I95" s="53">
        <f t="shared" si="26"/>
        <v>1</v>
      </c>
      <c r="J95" s="961"/>
      <c r="K95" s="53">
        <f t="shared" si="27"/>
        <v>1</v>
      </c>
      <c r="L95" s="961"/>
      <c r="M95" s="53">
        <f t="shared" si="28"/>
        <v>0</v>
      </c>
      <c r="N95" s="961"/>
      <c r="O95" s="53">
        <f t="shared" si="29"/>
        <v>1</v>
      </c>
      <c r="P95" s="961"/>
      <c r="Q95" s="53">
        <f t="shared" si="30"/>
        <v>1</v>
      </c>
      <c r="R95" s="489">
        <f t="shared" si="31"/>
        <v>0</v>
      </c>
      <c r="S95" s="798">
        <f t="shared" si="22"/>
        <v>0</v>
      </c>
    </row>
    <row r="96" spans="1:19">
      <c r="A96" s="963"/>
      <c r="B96" s="137"/>
      <c r="C96" s="53">
        <f t="shared" si="23"/>
        <v>1</v>
      </c>
      <c r="D96" s="961"/>
      <c r="E96" s="53">
        <f t="shared" si="24"/>
        <v>0.06</v>
      </c>
      <c r="F96" s="961"/>
      <c r="G96" s="53">
        <f t="shared" si="25"/>
        <v>1</v>
      </c>
      <c r="H96" s="961"/>
      <c r="I96" s="53">
        <f t="shared" si="26"/>
        <v>1</v>
      </c>
      <c r="J96" s="961"/>
      <c r="K96" s="53">
        <f t="shared" si="27"/>
        <v>1</v>
      </c>
      <c r="L96" s="961"/>
      <c r="M96" s="53">
        <f t="shared" si="28"/>
        <v>0</v>
      </c>
      <c r="N96" s="961"/>
      <c r="O96" s="53">
        <f t="shared" si="29"/>
        <v>1</v>
      </c>
      <c r="P96" s="961"/>
      <c r="Q96" s="53">
        <f t="shared" si="30"/>
        <v>1</v>
      </c>
      <c r="R96" s="489">
        <f t="shared" si="31"/>
        <v>0</v>
      </c>
      <c r="S96" s="798">
        <f t="shared" si="22"/>
        <v>0</v>
      </c>
    </row>
    <row r="97" spans="1:19">
      <c r="A97" s="963"/>
      <c r="B97" s="137"/>
      <c r="C97" s="53">
        <f t="shared" si="23"/>
        <v>1</v>
      </c>
      <c r="D97" s="961"/>
      <c r="E97" s="53">
        <f t="shared" si="24"/>
        <v>0.06</v>
      </c>
      <c r="F97" s="961"/>
      <c r="G97" s="53">
        <f t="shared" si="25"/>
        <v>1</v>
      </c>
      <c r="H97" s="961"/>
      <c r="I97" s="53">
        <f t="shared" si="26"/>
        <v>1</v>
      </c>
      <c r="J97" s="961"/>
      <c r="K97" s="53">
        <f t="shared" si="27"/>
        <v>1</v>
      </c>
      <c r="L97" s="961"/>
      <c r="M97" s="53">
        <f t="shared" si="28"/>
        <v>0</v>
      </c>
      <c r="N97" s="961"/>
      <c r="O97" s="53">
        <f t="shared" si="29"/>
        <v>1</v>
      </c>
      <c r="P97" s="961"/>
      <c r="Q97" s="53">
        <f t="shared" si="30"/>
        <v>1</v>
      </c>
      <c r="R97" s="489">
        <f t="shared" si="31"/>
        <v>0</v>
      </c>
      <c r="S97" s="798">
        <f t="shared" si="22"/>
        <v>0</v>
      </c>
    </row>
    <row r="98" spans="1:19">
      <c r="A98" s="963"/>
      <c r="B98" s="137"/>
      <c r="C98" s="53">
        <f t="shared" si="23"/>
        <v>1</v>
      </c>
      <c r="D98" s="961"/>
      <c r="E98" s="53">
        <f t="shared" si="24"/>
        <v>0.06</v>
      </c>
      <c r="F98" s="961"/>
      <c r="G98" s="53">
        <f t="shared" si="25"/>
        <v>1</v>
      </c>
      <c r="H98" s="961"/>
      <c r="I98" s="53">
        <f t="shared" si="26"/>
        <v>1</v>
      </c>
      <c r="J98" s="961"/>
      <c r="K98" s="53">
        <f t="shared" si="27"/>
        <v>1</v>
      </c>
      <c r="L98" s="961"/>
      <c r="M98" s="53">
        <f t="shared" si="28"/>
        <v>0</v>
      </c>
      <c r="N98" s="961"/>
      <c r="O98" s="53">
        <f t="shared" si="29"/>
        <v>1</v>
      </c>
      <c r="P98" s="961"/>
      <c r="Q98" s="53">
        <f t="shared" si="30"/>
        <v>1</v>
      </c>
      <c r="R98" s="489">
        <f t="shared" si="31"/>
        <v>0</v>
      </c>
      <c r="S98" s="798">
        <f t="shared" si="22"/>
        <v>0</v>
      </c>
    </row>
    <row r="99" spans="1:19">
      <c r="A99" s="963"/>
      <c r="B99" s="137"/>
      <c r="C99" s="53">
        <f t="shared" si="23"/>
        <v>1</v>
      </c>
      <c r="D99" s="961"/>
      <c r="E99" s="53">
        <f t="shared" si="24"/>
        <v>0.06</v>
      </c>
      <c r="F99" s="961"/>
      <c r="G99" s="53">
        <f t="shared" si="25"/>
        <v>1</v>
      </c>
      <c r="H99" s="961"/>
      <c r="I99" s="53">
        <f t="shared" si="26"/>
        <v>1</v>
      </c>
      <c r="J99" s="961"/>
      <c r="K99" s="53">
        <f t="shared" si="27"/>
        <v>1</v>
      </c>
      <c r="L99" s="961"/>
      <c r="M99" s="53">
        <f t="shared" si="28"/>
        <v>0</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0.06</v>
      </c>
      <c r="F100" s="961"/>
      <c r="G100" s="53">
        <f t="shared" si="25"/>
        <v>1</v>
      </c>
      <c r="H100" s="961"/>
      <c r="I100" s="53">
        <f t="shared" si="26"/>
        <v>1</v>
      </c>
      <c r="J100" s="961"/>
      <c r="K100" s="53">
        <f t="shared" si="27"/>
        <v>1</v>
      </c>
      <c r="L100" s="961"/>
      <c r="M100" s="53">
        <f t="shared" si="28"/>
        <v>0</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0.06</v>
      </c>
      <c r="F101" s="961"/>
      <c r="G101" s="53">
        <f t="shared" si="25"/>
        <v>1</v>
      </c>
      <c r="H101" s="961"/>
      <c r="I101" s="53">
        <f t="shared" si="26"/>
        <v>1</v>
      </c>
      <c r="J101" s="961"/>
      <c r="K101" s="53">
        <f t="shared" si="27"/>
        <v>1</v>
      </c>
      <c r="L101" s="961"/>
      <c r="M101" s="53">
        <f t="shared" si="28"/>
        <v>0</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0.06</v>
      </c>
      <c r="F102" s="961"/>
      <c r="G102" s="53">
        <f t="shared" si="25"/>
        <v>1</v>
      </c>
      <c r="H102" s="961"/>
      <c r="I102" s="53">
        <f t="shared" si="26"/>
        <v>1</v>
      </c>
      <c r="J102" s="961"/>
      <c r="K102" s="53">
        <f t="shared" si="27"/>
        <v>1</v>
      </c>
      <c r="L102" s="961"/>
      <c r="M102" s="53">
        <f t="shared" si="28"/>
        <v>0</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0.06</v>
      </c>
      <c r="F103" s="961"/>
      <c r="G103" s="53">
        <f t="shared" si="25"/>
        <v>1</v>
      </c>
      <c r="H103" s="961"/>
      <c r="I103" s="53">
        <f t="shared" si="26"/>
        <v>1</v>
      </c>
      <c r="J103" s="961"/>
      <c r="K103" s="53">
        <f t="shared" si="27"/>
        <v>1</v>
      </c>
      <c r="L103" s="961"/>
      <c r="M103" s="53">
        <f t="shared" si="28"/>
        <v>0</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0.06</v>
      </c>
      <c r="F104" s="961"/>
      <c r="G104" s="53">
        <f t="shared" si="25"/>
        <v>1</v>
      </c>
      <c r="H104" s="961"/>
      <c r="I104" s="53">
        <f t="shared" si="26"/>
        <v>1</v>
      </c>
      <c r="J104" s="961"/>
      <c r="K104" s="53">
        <f t="shared" si="27"/>
        <v>1</v>
      </c>
      <c r="L104" s="961"/>
      <c r="M104" s="53">
        <f t="shared" si="28"/>
        <v>0</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0.06</v>
      </c>
      <c r="F105" s="961"/>
      <c r="G105" s="53">
        <f t="shared" si="25"/>
        <v>1</v>
      </c>
      <c r="H105" s="961"/>
      <c r="I105" s="53">
        <f t="shared" si="26"/>
        <v>1</v>
      </c>
      <c r="J105" s="961"/>
      <c r="K105" s="53">
        <f t="shared" si="27"/>
        <v>1</v>
      </c>
      <c r="L105" s="961"/>
      <c r="M105" s="53">
        <f t="shared" si="28"/>
        <v>0</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0.06</v>
      </c>
      <c r="F106" s="961"/>
      <c r="G106" s="53">
        <f t="shared" si="25"/>
        <v>1</v>
      </c>
      <c r="H106" s="961"/>
      <c r="I106" s="53">
        <f t="shared" si="26"/>
        <v>1</v>
      </c>
      <c r="J106" s="961"/>
      <c r="K106" s="53">
        <f t="shared" si="27"/>
        <v>1</v>
      </c>
      <c r="L106" s="961"/>
      <c r="M106" s="53">
        <f t="shared" si="28"/>
        <v>0</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0.06</v>
      </c>
      <c r="F107" s="961"/>
      <c r="G107" s="53">
        <f t="shared" si="25"/>
        <v>1</v>
      </c>
      <c r="H107" s="961"/>
      <c r="I107" s="53">
        <f t="shared" si="26"/>
        <v>1</v>
      </c>
      <c r="J107" s="961"/>
      <c r="K107" s="53">
        <f t="shared" si="27"/>
        <v>1</v>
      </c>
      <c r="L107" s="961"/>
      <c r="M107" s="53">
        <f t="shared" si="28"/>
        <v>0</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0.06</v>
      </c>
      <c r="F108" s="961"/>
      <c r="G108" s="53">
        <f t="shared" si="25"/>
        <v>1</v>
      </c>
      <c r="H108" s="961"/>
      <c r="I108" s="53">
        <f t="shared" si="26"/>
        <v>1</v>
      </c>
      <c r="J108" s="961"/>
      <c r="K108" s="53">
        <f t="shared" si="27"/>
        <v>1</v>
      </c>
      <c r="L108" s="961"/>
      <c r="M108" s="53">
        <f t="shared" si="28"/>
        <v>0</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0.06</v>
      </c>
      <c r="F109" s="961"/>
      <c r="G109" s="53">
        <f t="shared" si="25"/>
        <v>1</v>
      </c>
      <c r="H109" s="961"/>
      <c r="I109" s="53">
        <f t="shared" si="26"/>
        <v>1</v>
      </c>
      <c r="J109" s="961"/>
      <c r="K109" s="53">
        <f t="shared" si="27"/>
        <v>1</v>
      </c>
      <c r="L109" s="961"/>
      <c r="M109" s="53">
        <f t="shared" si="28"/>
        <v>0</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0.06</v>
      </c>
      <c r="F110" s="961"/>
      <c r="G110" s="53">
        <f t="shared" si="25"/>
        <v>1</v>
      </c>
      <c r="H110" s="961"/>
      <c r="I110" s="53">
        <f t="shared" si="26"/>
        <v>1</v>
      </c>
      <c r="J110" s="961"/>
      <c r="K110" s="53">
        <f t="shared" si="27"/>
        <v>1</v>
      </c>
      <c r="L110" s="961"/>
      <c r="M110" s="53">
        <f t="shared" si="28"/>
        <v>0</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0.06</v>
      </c>
      <c r="F111" s="961"/>
      <c r="G111" s="53">
        <f t="shared" si="25"/>
        <v>1</v>
      </c>
      <c r="H111" s="961"/>
      <c r="I111" s="53">
        <f t="shared" si="26"/>
        <v>1</v>
      </c>
      <c r="J111" s="961"/>
      <c r="K111" s="53">
        <f t="shared" si="27"/>
        <v>1</v>
      </c>
      <c r="L111" s="961"/>
      <c r="M111" s="53">
        <f t="shared" si="28"/>
        <v>0</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0.06</v>
      </c>
      <c r="F112" s="961"/>
      <c r="G112" s="53">
        <f t="shared" si="25"/>
        <v>1</v>
      </c>
      <c r="H112" s="961"/>
      <c r="I112" s="53">
        <f t="shared" si="26"/>
        <v>1</v>
      </c>
      <c r="J112" s="961"/>
      <c r="K112" s="53">
        <f t="shared" si="27"/>
        <v>1</v>
      </c>
      <c r="L112" s="961"/>
      <c r="M112" s="53">
        <f t="shared" si="28"/>
        <v>0</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0.06</v>
      </c>
      <c r="F113" s="961"/>
      <c r="G113" s="53">
        <f t="shared" si="25"/>
        <v>1</v>
      </c>
      <c r="H113" s="961"/>
      <c r="I113" s="53">
        <f t="shared" si="26"/>
        <v>1</v>
      </c>
      <c r="J113" s="961"/>
      <c r="K113" s="53">
        <f t="shared" si="27"/>
        <v>1</v>
      </c>
      <c r="L113" s="961"/>
      <c r="M113" s="53">
        <f t="shared" si="28"/>
        <v>0</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0.06</v>
      </c>
      <c r="F114" s="961"/>
      <c r="G114" s="53">
        <f t="shared" si="25"/>
        <v>1</v>
      </c>
      <c r="H114" s="961"/>
      <c r="I114" s="53">
        <f t="shared" si="26"/>
        <v>1</v>
      </c>
      <c r="J114" s="961"/>
      <c r="K114" s="53">
        <f t="shared" si="27"/>
        <v>1</v>
      </c>
      <c r="L114" s="961"/>
      <c r="M114" s="53">
        <f t="shared" si="28"/>
        <v>0</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0.06</v>
      </c>
      <c r="F115" s="961"/>
      <c r="G115" s="53">
        <f t="shared" si="25"/>
        <v>1</v>
      </c>
      <c r="H115" s="961"/>
      <c r="I115" s="53">
        <f t="shared" si="26"/>
        <v>1</v>
      </c>
      <c r="J115" s="961"/>
      <c r="K115" s="53">
        <f t="shared" si="27"/>
        <v>1</v>
      </c>
      <c r="L115" s="961"/>
      <c r="M115" s="53">
        <f t="shared" si="28"/>
        <v>0</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0.06</v>
      </c>
      <c r="F116" s="961"/>
      <c r="G116" s="53">
        <f t="shared" si="25"/>
        <v>1</v>
      </c>
      <c r="H116" s="961"/>
      <c r="I116" s="53">
        <f t="shared" si="26"/>
        <v>1</v>
      </c>
      <c r="J116" s="961"/>
      <c r="K116" s="53">
        <f t="shared" si="27"/>
        <v>1</v>
      </c>
      <c r="L116" s="961"/>
      <c r="M116" s="53">
        <f t="shared" si="28"/>
        <v>0</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0.06</v>
      </c>
      <c r="F117" s="961"/>
      <c r="G117" s="53">
        <f t="shared" si="25"/>
        <v>1</v>
      </c>
      <c r="H117" s="961"/>
      <c r="I117" s="53">
        <f t="shared" si="26"/>
        <v>1</v>
      </c>
      <c r="J117" s="961"/>
      <c r="K117" s="53">
        <f t="shared" si="27"/>
        <v>1</v>
      </c>
      <c r="L117" s="961"/>
      <c r="M117" s="53">
        <f t="shared" si="28"/>
        <v>0</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0.06</v>
      </c>
      <c r="F118" s="961"/>
      <c r="G118" s="53">
        <f t="shared" si="25"/>
        <v>1</v>
      </c>
      <c r="H118" s="961"/>
      <c r="I118" s="53">
        <f t="shared" si="26"/>
        <v>1</v>
      </c>
      <c r="J118" s="961"/>
      <c r="K118" s="53">
        <f t="shared" si="27"/>
        <v>1</v>
      </c>
      <c r="L118" s="961"/>
      <c r="M118" s="53">
        <f t="shared" si="28"/>
        <v>0</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0.06</v>
      </c>
      <c r="F119" s="961"/>
      <c r="G119" s="53">
        <f t="shared" si="25"/>
        <v>1</v>
      </c>
      <c r="H119" s="961"/>
      <c r="I119" s="53">
        <f t="shared" si="26"/>
        <v>1</v>
      </c>
      <c r="J119" s="961"/>
      <c r="K119" s="53">
        <f t="shared" si="27"/>
        <v>1</v>
      </c>
      <c r="L119" s="961"/>
      <c r="M119" s="53">
        <f t="shared" si="28"/>
        <v>0</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0.06</v>
      </c>
      <c r="F120" s="961"/>
      <c r="G120" s="53">
        <f t="shared" si="25"/>
        <v>1</v>
      </c>
      <c r="H120" s="961"/>
      <c r="I120" s="53">
        <f t="shared" si="26"/>
        <v>1</v>
      </c>
      <c r="J120" s="961"/>
      <c r="K120" s="53">
        <f t="shared" si="27"/>
        <v>1</v>
      </c>
      <c r="L120" s="961"/>
      <c r="M120" s="53">
        <f t="shared" si="28"/>
        <v>0</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0.06</v>
      </c>
      <c r="F121" s="961"/>
      <c r="G121" s="53">
        <f t="shared" si="25"/>
        <v>1</v>
      </c>
      <c r="H121" s="961"/>
      <c r="I121" s="53">
        <f t="shared" si="26"/>
        <v>1</v>
      </c>
      <c r="J121" s="961"/>
      <c r="K121" s="53">
        <f t="shared" si="27"/>
        <v>1</v>
      </c>
      <c r="L121" s="961"/>
      <c r="M121" s="53">
        <f t="shared" si="28"/>
        <v>0</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0.06</v>
      </c>
      <c r="F122" s="961"/>
      <c r="G122" s="53">
        <f t="shared" si="25"/>
        <v>1</v>
      </c>
      <c r="H122" s="961"/>
      <c r="I122" s="53">
        <f t="shared" si="26"/>
        <v>1</v>
      </c>
      <c r="J122" s="961"/>
      <c r="K122" s="53">
        <f t="shared" si="27"/>
        <v>1</v>
      </c>
      <c r="L122" s="961"/>
      <c r="M122" s="53">
        <f t="shared" si="28"/>
        <v>0</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0.06</v>
      </c>
      <c r="F123" s="961"/>
      <c r="G123" s="53">
        <f t="shared" si="25"/>
        <v>1</v>
      </c>
      <c r="H123" s="961"/>
      <c r="I123" s="53">
        <f t="shared" si="26"/>
        <v>1</v>
      </c>
      <c r="J123" s="961"/>
      <c r="K123" s="53">
        <f t="shared" si="27"/>
        <v>1</v>
      </c>
      <c r="L123" s="961"/>
      <c r="M123" s="53">
        <f t="shared" si="28"/>
        <v>0</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0.06</v>
      </c>
      <c r="F124" s="961"/>
      <c r="G124" s="53">
        <f t="shared" si="25"/>
        <v>1</v>
      </c>
      <c r="H124" s="961"/>
      <c r="I124" s="53">
        <f t="shared" si="26"/>
        <v>1</v>
      </c>
      <c r="J124" s="961"/>
      <c r="K124" s="53">
        <f t="shared" si="27"/>
        <v>1</v>
      </c>
      <c r="L124" s="961"/>
      <c r="M124" s="53">
        <f t="shared" si="28"/>
        <v>0</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0.06</v>
      </c>
      <c r="F125" s="961"/>
      <c r="G125" s="53">
        <f t="shared" si="25"/>
        <v>1</v>
      </c>
      <c r="H125" s="961"/>
      <c r="I125" s="53">
        <f t="shared" si="26"/>
        <v>1</v>
      </c>
      <c r="J125" s="961"/>
      <c r="K125" s="53">
        <f t="shared" si="27"/>
        <v>1</v>
      </c>
      <c r="L125" s="961"/>
      <c r="M125" s="53">
        <f t="shared" si="28"/>
        <v>0</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0.06</v>
      </c>
      <c r="F126" s="961"/>
      <c r="G126" s="53">
        <f t="shared" si="25"/>
        <v>1</v>
      </c>
      <c r="H126" s="961"/>
      <c r="I126" s="53">
        <f t="shared" si="26"/>
        <v>1</v>
      </c>
      <c r="J126" s="961"/>
      <c r="K126" s="53">
        <f t="shared" si="27"/>
        <v>1</v>
      </c>
      <c r="L126" s="961"/>
      <c r="M126" s="53">
        <f t="shared" si="28"/>
        <v>0</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0.06</v>
      </c>
      <c r="F127" s="961"/>
      <c r="G127" s="53">
        <f t="shared" si="25"/>
        <v>1</v>
      </c>
      <c r="H127" s="961"/>
      <c r="I127" s="53">
        <f t="shared" si="26"/>
        <v>1</v>
      </c>
      <c r="J127" s="961"/>
      <c r="K127" s="53">
        <f t="shared" si="27"/>
        <v>1</v>
      </c>
      <c r="L127" s="961"/>
      <c r="M127" s="53">
        <f t="shared" si="28"/>
        <v>0</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0.06</v>
      </c>
      <c r="F128" s="961"/>
      <c r="G128" s="53">
        <f t="shared" si="25"/>
        <v>1</v>
      </c>
      <c r="H128" s="961"/>
      <c r="I128" s="53">
        <f t="shared" si="26"/>
        <v>1</v>
      </c>
      <c r="J128" s="961"/>
      <c r="K128" s="53">
        <f t="shared" si="27"/>
        <v>1</v>
      </c>
      <c r="L128" s="961"/>
      <c r="M128" s="53">
        <f t="shared" si="28"/>
        <v>0</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0.06</v>
      </c>
      <c r="F129" s="961"/>
      <c r="G129" s="53">
        <f t="shared" si="25"/>
        <v>1</v>
      </c>
      <c r="H129" s="961"/>
      <c r="I129" s="53">
        <f t="shared" si="26"/>
        <v>1</v>
      </c>
      <c r="J129" s="961"/>
      <c r="K129" s="53">
        <f t="shared" si="27"/>
        <v>1</v>
      </c>
      <c r="L129" s="961"/>
      <c r="M129" s="53">
        <f t="shared" si="28"/>
        <v>0</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0.06</v>
      </c>
      <c r="F130" s="961"/>
      <c r="G130" s="53">
        <f t="shared" si="25"/>
        <v>1</v>
      </c>
      <c r="H130" s="961"/>
      <c r="I130" s="53">
        <f t="shared" si="26"/>
        <v>1</v>
      </c>
      <c r="J130" s="961"/>
      <c r="K130" s="53">
        <f t="shared" si="27"/>
        <v>1</v>
      </c>
      <c r="L130" s="961"/>
      <c r="M130" s="53">
        <f t="shared" si="28"/>
        <v>0</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0.06</v>
      </c>
      <c r="F131" s="961"/>
      <c r="G131" s="53">
        <f t="shared" si="25"/>
        <v>1</v>
      </c>
      <c r="H131" s="961"/>
      <c r="I131" s="53">
        <f t="shared" si="26"/>
        <v>1</v>
      </c>
      <c r="J131" s="961"/>
      <c r="K131" s="53">
        <f t="shared" si="27"/>
        <v>1</v>
      </c>
      <c r="L131" s="961"/>
      <c r="M131" s="53">
        <f t="shared" si="28"/>
        <v>0</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0.06</v>
      </c>
      <c r="F132" s="961"/>
      <c r="G132" s="53">
        <f t="shared" si="25"/>
        <v>1</v>
      </c>
      <c r="H132" s="961"/>
      <c r="I132" s="53">
        <f t="shared" si="26"/>
        <v>1</v>
      </c>
      <c r="J132" s="961"/>
      <c r="K132" s="53">
        <f t="shared" si="27"/>
        <v>1</v>
      </c>
      <c r="L132" s="961"/>
      <c r="M132" s="53">
        <f t="shared" si="28"/>
        <v>0</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0.06</v>
      </c>
      <c r="F133" s="961"/>
      <c r="G133" s="53">
        <f t="shared" si="25"/>
        <v>1</v>
      </c>
      <c r="H133" s="961"/>
      <c r="I133" s="53">
        <f t="shared" si="26"/>
        <v>1</v>
      </c>
      <c r="J133" s="961"/>
      <c r="K133" s="53">
        <f t="shared" si="27"/>
        <v>1</v>
      </c>
      <c r="L133" s="961"/>
      <c r="M133" s="53">
        <f t="shared" si="28"/>
        <v>0</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0.06</v>
      </c>
      <c r="F134" s="961"/>
      <c r="G134" s="53">
        <f t="shared" si="25"/>
        <v>1</v>
      </c>
      <c r="H134" s="961"/>
      <c r="I134" s="53">
        <f t="shared" si="26"/>
        <v>1</v>
      </c>
      <c r="J134" s="961"/>
      <c r="K134" s="53">
        <f t="shared" si="27"/>
        <v>1</v>
      </c>
      <c r="L134" s="961"/>
      <c r="M134" s="53">
        <f t="shared" si="28"/>
        <v>0</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0.06</v>
      </c>
      <c r="F135" s="961"/>
      <c r="G135" s="53">
        <f t="shared" si="25"/>
        <v>1</v>
      </c>
      <c r="H135" s="961"/>
      <c r="I135" s="53">
        <f t="shared" si="26"/>
        <v>1</v>
      </c>
      <c r="J135" s="961"/>
      <c r="K135" s="53">
        <f t="shared" si="27"/>
        <v>1</v>
      </c>
      <c r="L135" s="961"/>
      <c r="M135" s="53">
        <f t="shared" si="28"/>
        <v>0</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0.06</v>
      </c>
      <c r="F136" s="961"/>
      <c r="G136" s="53">
        <f t="shared" si="25"/>
        <v>1</v>
      </c>
      <c r="H136" s="961"/>
      <c r="I136" s="53">
        <f t="shared" si="26"/>
        <v>1</v>
      </c>
      <c r="J136" s="961"/>
      <c r="K136" s="53">
        <f t="shared" si="27"/>
        <v>1</v>
      </c>
      <c r="L136" s="961"/>
      <c r="M136" s="53">
        <f t="shared" si="28"/>
        <v>0</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0.06</v>
      </c>
      <c r="F137" s="961"/>
      <c r="G137" s="53">
        <f t="shared" si="25"/>
        <v>1</v>
      </c>
      <c r="H137" s="961"/>
      <c r="I137" s="53">
        <f t="shared" si="26"/>
        <v>1</v>
      </c>
      <c r="J137" s="961"/>
      <c r="K137" s="53">
        <f t="shared" si="27"/>
        <v>1</v>
      </c>
      <c r="L137" s="961"/>
      <c r="M137" s="53">
        <f t="shared" si="28"/>
        <v>0</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0.06</v>
      </c>
      <c r="F138" s="961"/>
      <c r="G138" s="53">
        <f t="shared" si="25"/>
        <v>1</v>
      </c>
      <c r="H138" s="961"/>
      <c r="I138" s="53">
        <f t="shared" si="26"/>
        <v>1</v>
      </c>
      <c r="J138" s="961"/>
      <c r="K138" s="53">
        <f t="shared" si="27"/>
        <v>1</v>
      </c>
      <c r="L138" s="961"/>
      <c r="M138" s="53">
        <f t="shared" si="28"/>
        <v>0</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0.06</v>
      </c>
      <c r="F139" s="961"/>
      <c r="G139" s="53">
        <f t="shared" si="25"/>
        <v>1</v>
      </c>
      <c r="H139" s="961"/>
      <c r="I139" s="53">
        <f t="shared" si="26"/>
        <v>1</v>
      </c>
      <c r="J139" s="961"/>
      <c r="K139" s="53">
        <f t="shared" si="27"/>
        <v>1</v>
      </c>
      <c r="L139" s="961"/>
      <c r="M139" s="53">
        <f t="shared" si="28"/>
        <v>0</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0.06</v>
      </c>
      <c r="F140" s="961"/>
      <c r="G140" s="53">
        <f t="shared" si="25"/>
        <v>1</v>
      </c>
      <c r="H140" s="961"/>
      <c r="I140" s="53">
        <f t="shared" si="26"/>
        <v>1</v>
      </c>
      <c r="J140" s="961"/>
      <c r="K140" s="53">
        <f t="shared" si="27"/>
        <v>1</v>
      </c>
      <c r="L140" s="961"/>
      <c r="M140" s="53">
        <f t="shared" si="28"/>
        <v>0</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0.06</v>
      </c>
      <c r="F141" s="961"/>
      <c r="G141" s="53">
        <f t="shared" si="25"/>
        <v>1</v>
      </c>
      <c r="H141" s="961"/>
      <c r="I141" s="53">
        <f t="shared" si="26"/>
        <v>1</v>
      </c>
      <c r="J141" s="961"/>
      <c r="K141" s="53">
        <f t="shared" si="27"/>
        <v>1</v>
      </c>
      <c r="L141" s="961"/>
      <c r="M141" s="53">
        <f t="shared" si="28"/>
        <v>0</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0.06</v>
      </c>
      <c r="F142" s="961"/>
      <c r="G142" s="53">
        <f t="shared" si="25"/>
        <v>1</v>
      </c>
      <c r="H142" s="961"/>
      <c r="I142" s="53">
        <f t="shared" si="26"/>
        <v>1</v>
      </c>
      <c r="J142" s="961"/>
      <c r="K142" s="53">
        <f t="shared" si="27"/>
        <v>1</v>
      </c>
      <c r="L142" s="961"/>
      <c r="M142" s="53">
        <f t="shared" si="28"/>
        <v>0</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0.06</v>
      </c>
      <c r="F143" s="961"/>
      <c r="G143" s="53">
        <f t="shared" si="25"/>
        <v>1</v>
      </c>
      <c r="H143" s="961"/>
      <c r="I143" s="53">
        <f t="shared" si="26"/>
        <v>1</v>
      </c>
      <c r="J143" s="961"/>
      <c r="K143" s="53">
        <f t="shared" si="27"/>
        <v>1</v>
      </c>
      <c r="L143" s="961"/>
      <c r="M143" s="53">
        <f t="shared" si="28"/>
        <v>0</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0.06</v>
      </c>
      <c r="F144" s="961"/>
      <c r="G144" s="53">
        <f t="shared" si="25"/>
        <v>1</v>
      </c>
      <c r="H144" s="961"/>
      <c r="I144" s="53">
        <f t="shared" si="26"/>
        <v>1</v>
      </c>
      <c r="J144" s="961"/>
      <c r="K144" s="53">
        <f t="shared" si="27"/>
        <v>1</v>
      </c>
      <c r="L144" s="961"/>
      <c r="M144" s="53">
        <f t="shared" si="28"/>
        <v>0</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0.06</v>
      </c>
      <c r="F145" s="961"/>
      <c r="G145" s="53">
        <f t="shared" si="25"/>
        <v>1</v>
      </c>
      <c r="H145" s="961"/>
      <c r="I145" s="53">
        <f t="shared" si="26"/>
        <v>1</v>
      </c>
      <c r="J145" s="961"/>
      <c r="K145" s="53">
        <f t="shared" si="27"/>
        <v>1</v>
      </c>
      <c r="L145" s="961"/>
      <c r="M145" s="53">
        <f t="shared" si="28"/>
        <v>0</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0.06</v>
      </c>
      <c r="F146" s="961"/>
      <c r="G146" s="53">
        <f t="shared" si="25"/>
        <v>1</v>
      </c>
      <c r="H146" s="961"/>
      <c r="I146" s="53">
        <f t="shared" si="26"/>
        <v>1</v>
      </c>
      <c r="J146" s="961"/>
      <c r="K146" s="53">
        <f t="shared" si="27"/>
        <v>1</v>
      </c>
      <c r="L146" s="961"/>
      <c r="M146" s="53">
        <f t="shared" si="28"/>
        <v>0</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0.06</v>
      </c>
      <c r="F147" s="961"/>
      <c r="G147" s="53">
        <f t="shared" si="25"/>
        <v>1</v>
      </c>
      <c r="H147" s="961"/>
      <c r="I147" s="53">
        <f t="shared" si="26"/>
        <v>1</v>
      </c>
      <c r="J147" s="961"/>
      <c r="K147" s="53">
        <f t="shared" si="27"/>
        <v>1</v>
      </c>
      <c r="L147" s="961"/>
      <c r="M147" s="53">
        <f t="shared" si="28"/>
        <v>0</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0.06</v>
      </c>
      <c r="F148" s="961"/>
      <c r="G148" s="53">
        <f t="shared" si="25"/>
        <v>1</v>
      </c>
      <c r="H148" s="961"/>
      <c r="I148" s="53">
        <f t="shared" si="26"/>
        <v>1</v>
      </c>
      <c r="J148" s="961"/>
      <c r="K148" s="53">
        <f t="shared" si="27"/>
        <v>1</v>
      </c>
      <c r="L148" s="961"/>
      <c r="M148" s="53">
        <f t="shared" si="28"/>
        <v>0</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0.06</v>
      </c>
      <c r="F149" s="961"/>
      <c r="G149" s="53">
        <f t="shared" si="25"/>
        <v>1</v>
      </c>
      <c r="H149" s="961"/>
      <c r="I149" s="53">
        <f t="shared" si="26"/>
        <v>1</v>
      </c>
      <c r="J149" s="961"/>
      <c r="K149" s="53">
        <f t="shared" si="27"/>
        <v>1</v>
      </c>
      <c r="L149" s="961"/>
      <c r="M149" s="53">
        <f t="shared" si="28"/>
        <v>0</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0.06</v>
      </c>
      <c r="F150" s="961"/>
      <c r="G150" s="53">
        <f t="shared" si="25"/>
        <v>1</v>
      </c>
      <c r="H150" s="961"/>
      <c r="I150" s="53">
        <f t="shared" si="26"/>
        <v>1</v>
      </c>
      <c r="J150" s="961"/>
      <c r="K150" s="53">
        <f t="shared" si="27"/>
        <v>1</v>
      </c>
      <c r="L150" s="961"/>
      <c r="M150" s="53">
        <f t="shared" si="28"/>
        <v>0</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0.06</v>
      </c>
      <c r="F151" s="961"/>
      <c r="G151" s="53">
        <f t="shared" si="25"/>
        <v>1</v>
      </c>
      <c r="H151" s="961"/>
      <c r="I151" s="53">
        <f t="shared" si="26"/>
        <v>1</v>
      </c>
      <c r="J151" s="961"/>
      <c r="K151" s="53">
        <f t="shared" si="27"/>
        <v>1</v>
      </c>
      <c r="L151" s="961"/>
      <c r="M151" s="53">
        <f t="shared" si="28"/>
        <v>0</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0.06</v>
      </c>
      <c r="F152" s="961"/>
      <c r="G152" s="53">
        <f t="shared" si="25"/>
        <v>1</v>
      </c>
      <c r="H152" s="961"/>
      <c r="I152" s="53">
        <f t="shared" si="26"/>
        <v>1</v>
      </c>
      <c r="J152" s="961"/>
      <c r="K152" s="53">
        <f t="shared" si="27"/>
        <v>1</v>
      </c>
      <c r="L152" s="961"/>
      <c r="M152" s="53">
        <f t="shared" si="28"/>
        <v>0</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0.06</v>
      </c>
      <c r="F153" s="961"/>
      <c r="G153" s="53">
        <f t="shared" si="25"/>
        <v>1</v>
      </c>
      <c r="H153" s="961"/>
      <c r="I153" s="53">
        <f t="shared" si="26"/>
        <v>1</v>
      </c>
      <c r="J153" s="961"/>
      <c r="K153" s="53">
        <f t="shared" si="27"/>
        <v>1</v>
      </c>
      <c r="L153" s="961"/>
      <c r="M153" s="53">
        <f t="shared" si="28"/>
        <v>0</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0.06</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0</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0.06</v>
      </c>
      <c r="F155" s="961"/>
      <c r="G155" s="53">
        <f t="shared" si="35"/>
        <v>1</v>
      </c>
      <c r="H155" s="961"/>
      <c r="I155" s="53">
        <f t="shared" si="36"/>
        <v>1</v>
      </c>
      <c r="J155" s="961"/>
      <c r="K155" s="53">
        <f t="shared" si="37"/>
        <v>1</v>
      </c>
      <c r="L155" s="961"/>
      <c r="M155" s="53">
        <f t="shared" si="38"/>
        <v>0</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0.06</v>
      </c>
      <c r="F156" s="961"/>
      <c r="G156" s="53">
        <f t="shared" si="35"/>
        <v>1</v>
      </c>
      <c r="H156" s="961"/>
      <c r="I156" s="53">
        <f t="shared" si="36"/>
        <v>1</v>
      </c>
      <c r="J156" s="961"/>
      <c r="K156" s="53">
        <f t="shared" si="37"/>
        <v>1</v>
      </c>
      <c r="L156" s="961"/>
      <c r="M156" s="53">
        <f t="shared" si="38"/>
        <v>0</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0.06</v>
      </c>
      <c r="F157" s="961"/>
      <c r="G157" s="53">
        <f t="shared" si="35"/>
        <v>1</v>
      </c>
      <c r="H157" s="961"/>
      <c r="I157" s="53">
        <f t="shared" si="36"/>
        <v>1</v>
      </c>
      <c r="J157" s="961"/>
      <c r="K157" s="53">
        <f t="shared" si="37"/>
        <v>1</v>
      </c>
      <c r="L157" s="961"/>
      <c r="M157" s="53">
        <f t="shared" si="38"/>
        <v>0</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0.06</v>
      </c>
      <c r="F158" s="961"/>
      <c r="G158" s="53">
        <f t="shared" si="35"/>
        <v>1</v>
      </c>
      <c r="H158" s="961"/>
      <c r="I158" s="53">
        <f t="shared" si="36"/>
        <v>1</v>
      </c>
      <c r="J158" s="961"/>
      <c r="K158" s="53">
        <f t="shared" si="37"/>
        <v>1</v>
      </c>
      <c r="L158" s="961"/>
      <c r="M158" s="53">
        <f t="shared" si="38"/>
        <v>0</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0.06</v>
      </c>
      <c r="F159" s="961"/>
      <c r="G159" s="53">
        <f t="shared" si="35"/>
        <v>1</v>
      </c>
      <c r="H159" s="961"/>
      <c r="I159" s="53">
        <f t="shared" si="36"/>
        <v>1</v>
      </c>
      <c r="J159" s="961"/>
      <c r="K159" s="53">
        <f t="shared" si="37"/>
        <v>1</v>
      </c>
      <c r="L159" s="961"/>
      <c r="M159" s="53">
        <f t="shared" si="38"/>
        <v>0</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0.06</v>
      </c>
      <c r="F160" s="961"/>
      <c r="G160" s="53">
        <f t="shared" si="35"/>
        <v>1</v>
      </c>
      <c r="H160" s="961"/>
      <c r="I160" s="53">
        <f t="shared" si="36"/>
        <v>1</v>
      </c>
      <c r="J160" s="961"/>
      <c r="K160" s="53">
        <f t="shared" si="37"/>
        <v>1</v>
      </c>
      <c r="L160" s="961"/>
      <c r="M160" s="53">
        <f t="shared" si="38"/>
        <v>0</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0.06</v>
      </c>
      <c r="F161" s="961"/>
      <c r="G161" s="53">
        <f t="shared" si="35"/>
        <v>1</v>
      </c>
      <c r="H161" s="961"/>
      <c r="I161" s="53">
        <f t="shared" si="36"/>
        <v>1</v>
      </c>
      <c r="J161" s="961"/>
      <c r="K161" s="53">
        <f t="shared" si="37"/>
        <v>1</v>
      </c>
      <c r="L161" s="961"/>
      <c r="M161" s="53">
        <f t="shared" si="38"/>
        <v>0</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0.06</v>
      </c>
      <c r="F162" s="961"/>
      <c r="G162" s="53">
        <f t="shared" si="35"/>
        <v>1</v>
      </c>
      <c r="H162" s="961"/>
      <c r="I162" s="53">
        <f t="shared" si="36"/>
        <v>1</v>
      </c>
      <c r="J162" s="961"/>
      <c r="K162" s="53">
        <f t="shared" si="37"/>
        <v>1</v>
      </c>
      <c r="L162" s="961"/>
      <c r="M162" s="53">
        <f t="shared" si="38"/>
        <v>0</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0.06</v>
      </c>
      <c r="F163" s="961"/>
      <c r="G163" s="53">
        <f t="shared" si="35"/>
        <v>1</v>
      </c>
      <c r="H163" s="961"/>
      <c r="I163" s="53">
        <f t="shared" si="36"/>
        <v>1</v>
      </c>
      <c r="J163" s="961"/>
      <c r="K163" s="53">
        <f t="shared" si="37"/>
        <v>1</v>
      </c>
      <c r="L163" s="961"/>
      <c r="M163" s="53">
        <f t="shared" si="38"/>
        <v>0</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0.06</v>
      </c>
      <c r="F164" s="961"/>
      <c r="G164" s="53">
        <f t="shared" si="35"/>
        <v>1</v>
      </c>
      <c r="H164" s="961"/>
      <c r="I164" s="53">
        <f t="shared" si="36"/>
        <v>1</v>
      </c>
      <c r="J164" s="961"/>
      <c r="K164" s="53">
        <f t="shared" si="37"/>
        <v>1</v>
      </c>
      <c r="L164" s="961"/>
      <c r="M164" s="53">
        <f t="shared" si="38"/>
        <v>0</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0.06</v>
      </c>
      <c r="F165" s="961"/>
      <c r="G165" s="53">
        <f t="shared" si="35"/>
        <v>1</v>
      </c>
      <c r="H165" s="961"/>
      <c r="I165" s="53">
        <f t="shared" si="36"/>
        <v>1</v>
      </c>
      <c r="J165" s="961"/>
      <c r="K165" s="53">
        <f t="shared" si="37"/>
        <v>1</v>
      </c>
      <c r="L165" s="961"/>
      <c r="M165" s="53">
        <f t="shared" si="38"/>
        <v>0</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0.06</v>
      </c>
      <c r="F166" s="961"/>
      <c r="G166" s="53">
        <f t="shared" si="35"/>
        <v>1</v>
      </c>
      <c r="H166" s="961"/>
      <c r="I166" s="53">
        <f t="shared" si="36"/>
        <v>1</v>
      </c>
      <c r="J166" s="961"/>
      <c r="K166" s="53">
        <f t="shared" si="37"/>
        <v>1</v>
      </c>
      <c r="L166" s="961"/>
      <c r="M166" s="53">
        <f t="shared" si="38"/>
        <v>0</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0.06</v>
      </c>
      <c r="F167" s="961"/>
      <c r="G167" s="53">
        <f t="shared" si="35"/>
        <v>1</v>
      </c>
      <c r="H167" s="961"/>
      <c r="I167" s="53">
        <f t="shared" si="36"/>
        <v>1</v>
      </c>
      <c r="J167" s="961"/>
      <c r="K167" s="53">
        <f t="shared" si="37"/>
        <v>1</v>
      </c>
      <c r="L167" s="961"/>
      <c r="M167" s="53">
        <f t="shared" si="38"/>
        <v>0</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0.06</v>
      </c>
      <c r="F168" s="961"/>
      <c r="G168" s="53">
        <f t="shared" si="35"/>
        <v>1</v>
      </c>
      <c r="H168" s="961"/>
      <c r="I168" s="53">
        <f t="shared" si="36"/>
        <v>1</v>
      </c>
      <c r="J168" s="961"/>
      <c r="K168" s="53">
        <f t="shared" si="37"/>
        <v>1</v>
      </c>
      <c r="L168" s="961"/>
      <c r="M168" s="53">
        <f t="shared" si="38"/>
        <v>0</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0.06</v>
      </c>
      <c r="F169" s="961"/>
      <c r="G169" s="53">
        <f t="shared" si="35"/>
        <v>1</v>
      </c>
      <c r="H169" s="961"/>
      <c r="I169" s="53">
        <f t="shared" si="36"/>
        <v>1</v>
      </c>
      <c r="J169" s="961"/>
      <c r="K169" s="53">
        <f t="shared" si="37"/>
        <v>1</v>
      </c>
      <c r="L169" s="961"/>
      <c r="M169" s="53">
        <f t="shared" si="38"/>
        <v>0</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0.06</v>
      </c>
      <c r="F170" s="961"/>
      <c r="G170" s="53">
        <f t="shared" si="35"/>
        <v>1</v>
      </c>
      <c r="H170" s="961"/>
      <c r="I170" s="53">
        <f t="shared" si="36"/>
        <v>1</v>
      </c>
      <c r="J170" s="961"/>
      <c r="K170" s="53">
        <f t="shared" si="37"/>
        <v>1</v>
      </c>
      <c r="L170" s="961"/>
      <c r="M170" s="53">
        <f t="shared" si="38"/>
        <v>0</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0.06</v>
      </c>
      <c r="F171" s="961"/>
      <c r="G171" s="53">
        <f t="shared" si="35"/>
        <v>1</v>
      </c>
      <c r="H171" s="961"/>
      <c r="I171" s="53">
        <f t="shared" si="36"/>
        <v>1</v>
      </c>
      <c r="J171" s="961"/>
      <c r="K171" s="53">
        <f t="shared" si="37"/>
        <v>1</v>
      </c>
      <c r="L171" s="961"/>
      <c r="M171" s="53">
        <f t="shared" si="38"/>
        <v>0</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0.06</v>
      </c>
      <c r="F172" s="961"/>
      <c r="G172" s="53">
        <f t="shared" si="35"/>
        <v>1</v>
      </c>
      <c r="H172" s="961"/>
      <c r="I172" s="53">
        <f t="shared" si="36"/>
        <v>1</v>
      </c>
      <c r="J172" s="961"/>
      <c r="K172" s="53">
        <f t="shared" si="37"/>
        <v>1</v>
      </c>
      <c r="L172" s="961"/>
      <c r="M172" s="53">
        <f t="shared" si="38"/>
        <v>0</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0.06</v>
      </c>
      <c r="F173" s="961"/>
      <c r="G173" s="53">
        <f t="shared" si="35"/>
        <v>1</v>
      </c>
      <c r="H173" s="961"/>
      <c r="I173" s="53">
        <f t="shared" si="36"/>
        <v>1</v>
      </c>
      <c r="J173" s="961"/>
      <c r="K173" s="53">
        <f t="shared" si="37"/>
        <v>1</v>
      </c>
      <c r="L173" s="961"/>
      <c r="M173" s="53">
        <f t="shared" si="38"/>
        <v>0</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0.06</v>
      </c>
      <c r="F174" s="961"/>
      <c r="G174" s="53">
        <f t="shared" si="35"/>
        <v>1</v>
      </c>
      <c r="H174" s="961"/>
      <c r="I174" s="53">
        <f t="shared" si="36"/>
        <v>1</v>
      </c>
      <c r="J174" s="961"/>
      <c r="K174" s="53">
        <f t="shared" si="37"/>
        <v>1</v>
      </c>
      <c r="L174" s="961"/>
      <c r="M174" s="53">
        <f t="shared" si="38"/>
        <v>0</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0.06</v>
      </c>
      <c r="F175" s="961"/>
      <c r="G175" s="53">
        <f t="shared" si="35"/>
        <v>1</v>
      </c>
      <c r="H175" s="961"/>
      <c r="I175" s="53">
        <f t="shared" si="36"/>
        <v>1</v>
      </c>
      <c r="J175" s="961"/>
      <c r="K175" s="53">
        <f t="shared" si="37"/>
        <v>1</v>
      </c>
      <c r="L175" s="961"/>
      <c r="M175" s="53">
        <f t="shared" si="38"/>
        <v>0</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0.06</v>
      </c>
      <c r="F176" s="961"/>
      <c r="G176" s="53">
        <f t="shared" si="35"/>
        <v>1</v>
      </c>
      <c r="H176" s="961"/>
      <c r="I176" s="53">
        <f t="shared" si="36"/>
        <v>1</v>
      </c>
      <c r="J176" s="961"/>
      <c r="K176" s="53">
        <f t="shared" si="37"/>
        <v>1</v>
      </c>
      <c r="L176" s="961"/>
      <c r="M176" s="53">
        <f t="shared" si="38"/>
        <v>0</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0.06</v>
      </c>
      <c r="F177" s="961"/>
      <c r="G177" s="53">
        <f t="shared" si="35"/>
        <v>1</v>
      </c>
      <c r="H177" s="961"/>
      <c r="I177" s="53">
        <f t="shared" si="36"/>
        <v>1</v>
      </c>
      <c r="J177" s="961"/>
      <c r="K177" s="53">
        <f t="shared" si="37"/>
        <v>1</v>
      </c>
      <c r="L177" s="961"/>
      <c r="M177" s="53">
        <f t="shared" si="38"/>
        <v>0</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0.06</v>
      </c>
      <c r="F178" s="961"/>
      <c r="G178" s="53">
        <f t="shared" si="35"/>
        <v>1</v>
      </c>
      <c r="H178" s="961"/>
      <c r="I178" s="53">
        <f t="shared" si="36"/>
        <v>1</v>
      </c>
      <c r="J178" s="961"/>
      <c r="K178" s="53">
        <f t="shared" si="37"/>
        <v>1</v>
      </c>
      <c r="L178" s="961"/>
      <c r="M178" s="53">
        <f t="shared" si="38"/>
        <v>0</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0.06</v>
      </c>
      <c r="F179" s="961"/>
      <c r="G179" s="53">
        <f t="shared" si="35"/>
        <v>1</v>
      </c>
      <c r="H179" s="961"/>
      <c r="I179" s="53">
        <f t="shared" si="36"/>
        <v>1</v>
      </c>
      <c r="J179" s="961"/>
      <c r="K179" s="53">
        <f t="shared" si="37"/>
        <v>1</v>
      </c>
      <c r="L179" s="961"/>
      <c r="M179" s="53">
        <f t="shared" si="38"/>
        <v>0</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0.06</v>
      </c>
      <c r="F180" s="961"/>
      <c r="G180" s="53">
        <f t="shared" si="35"/>
        <v>1</v>
      </c>
      <c r="H180" s="961"/>
      <c r="I180" s="53">
        <f t="shared" si="36"/>
        <v>1</v>
      </c>
      <c r="J180" s="961"/>
      <c r="K180" s="53">
        <f t="shared" si="37"/>
        <v>1</v>
      </c>
      <c r="L180" s="961"/>
      <c r="M180" s="53">
        <f t="shared" si="38"/>
        <v>0</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0.06</v>
      </c>
      <c r="F181" s="961"/>
      <c r="G181" s="53">
        <f t="shared" si="35"/>
        <v>1</v>
      </c>
      <c r="H181" s="961"/>
      <c r="I181" s="53">
        <f t="shared" si="36"/>
        <v>1</v>
      </c>
      <c r="J181" s="961"/>
      <c r="K181" s="53">
        <f t="shared" si="37"/>
        <v>1</v>
      </c>
      <c r="L181" s="961"/>
      <c r="M181" s="53">
        <f t="shared" si="38"/>
        <v>0</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0.06</v>
      </c>
      <c r="F182" s="961"/>
      <c r="G182" s="53">
        <f t="shared" si="35"/>
        <v>1</v>
      </c>
      <c r="H182" s="961"/>
      <c r="I182" s="53">
        <f t="shared" si="36"/>
        <v>1</v>
      </c>
      <c r="J182" s="961"/>
      <c r="K182" s="53">
        <f t="shared" si="37"/>
        <v>1</v>
      </c>
      <c r="L182" s="961"/>
      <c r="M182" s="53">
        <f t="shared" si="38"/>
        <v>0</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0.06</v>
      </c>
      <c r="F183" s="961"/>
      <c r="G183" s="53">
        <f t="shared" si="35"/>
        <v>1</v>
      </c>
      <c r="H183" s="961"/>
      <c r="I183" s="53">
        <f t="shared" si="36"/>
        <v>1</v>
      </c>
      <c r="J183" s="961"/>
      <c r="K183" s="53">
        <f t="shared" si="37"/>
        <v>1</v>
      </c>
      <c r="L183" s="961"/>
      <c r="M183" s="53">
        <f t="shared" si="38"/>
        <v>0</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0.06</v>
      </c>
      <c r="F184" s="961"/>
      <c r="G184" s="53">
        <f t="shared" si="35"/>
        <v>1</v>
      </c>
      <c r="H184" s="961"/>
      <c r="I184" s="53">
        <f t="shared" si="36"/>
        <v>1</v>
      </c>
      <c r="J184" s="961"/>
      <c r="K184" s="53">
        <f t="shared" si="37"/>
        <v>1</v>
      </c>
      <c r="L184" s="961"/>
      <c r="M184" s="53">
        <f t="shared" si="38"/>
        <v>0</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0.06</v>
      </c>
      <c r="F185" s="961"/>
      <c r="G185" s="53">
        <f t="shared" si="35"/>
        <v>1</v>
      </c>
      <c r="H185" s="961"/>
      <c r="I185" s="53">
        <f t="shared" si="36"/>
        <v>1</v>
      </c>
      <c r="J185" s="961"/>
      <c r="K185" s="53">
        <f t="shared" si="37"/>
        <v>1</v>
      </c>
      <c r="L185" s="961"/>
      <c r="M185" s="53">
        <f t="shared" si="38"/>
        <v>0</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0.06</v>
      </c>
      <c r="F186" s="961"/>
      <c r="G186" s="53">
        <f t="shared" si="35"/>
        <v>1</v>
      </c>
      <c r="H186" s="961"/>
      <c r="I186" s="53">
        <f t="shared" si="36"/>
        <v>1</v>
      </c>
      <c r="J186" s="961"/>
      <c r="K186" s="53">
        <f t="shared" si="37"/>
        <v>1</v>
      </c>
      <c r="L186" s="961"/>
      <c r="M186" s="53">
        <f t="shared" si="38"/>
        <v>0</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0.06</v>
      </c>
      <c r="F187" s="961"/>
      <c r="G187" s="53">
        <f t="shared" si="35"/>
        <v>1</v>
      </c>
      <c r="H187" s="961"/>
      <c r="I187" s="53">
        <f t="shared" si="36"/>
        <v>1</v>
      </c>
      <c r="J187" s="961"/>
      <c r="K187" s="53">
        <f t="shared" si="37"/>
        <v>1</v>
      </c>
      <c r="L187" s="961"/>
      <c r="M187" s="53">
        <f t="shared" si="38"/>
        <v>0</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0.06</v>
      </c>
      <c r="F188" s="961"/>
      <c r="G188" s="53">
        <f t="shared" si="35"/>
        <v>1</v>
      </c>
      <c r="H188" s="961"/>
      <c r="I188" s="53">
        <f t="shared" si="36"/>
        <v>1</v>
      </c>
      <c r="J188" s="961"/>
      <c r="K188" s="53">
        <f t="shared" si="37"/>
        <v>1</v>
      </c>
      <c r="L188" s="961"/>
      <c r="M188" s="53">
        <f t="shared" si="38"/>
        <v>0</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0.06</v>
      </c>
      <c r="F189" s="961"/>
      <c r="G189" s="53">
        <f t="shared" si="35"/>
        <v>1</v>
      </c>
      <c r="H189" s="961"/>
      <c r="I189" s="53">
        <f t="shared" si="36"/>
        <v>1</v>
      </c>
      <c r="J189" s="961"/>
      <c r="K189" s="53">
        <f t="shared" si="37"/>
        <v>1</v>
      </c>
      <c r="L189" s="961"/>
      <c r="M189" s="53">
        <f t="shared" si="38"/>
        <v>0</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0.06</v>
      </c>
      <c r="F190" s="961"/>
      <c r="G190" s="53">
        <f t="shared" si="35"/>
        <v>1</v>
      </c>
      <c r="H190" s="961"/>
      <c r="I190" s="53">
        <f t="shared" si="36"/>
        <v>1</v>
      </c>
      <c r="J190" s="961"/>
      <c r="K190" s="53">
        <f t="shared" si="37"/>
        <v>1</v>
      </c>
      <c r="L190" s="961"/>
      <c r="M190" s="53">
        <f t="shared" si="38"/>
        <v>0</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0.06</v>
      </c>
      <c r="F191" s="961"/>
      <c r="G191" s="53">
        <f t="shared" si="35"/>
        <v>1</v>
      </c>
      <c r="H191" s="961"/>
      <c r="I191" s="53">
        <f t="shared" si="36"/>
        <v>1</v>
      </c>
      <c r="J191" s="961"/>
      <c r="K191" s="53">
        <f t="shared" si="37"/>
        <v>1</v>
      </c>
      <c r="L191" s="961"/>
      <c r="M191" s="53">
        <f t="shared" si="38"/>
        <v>0</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0.06</v>
      </c>
      <c r="F192" s="961"/>
      <c r="G192" s="53">
        <f t="shared" si="35"/>
        <v>1</v>
      </c>
      <c r="H192" s="961"/>
      <c r="I192" s="53">
        <f t="shared" si="36"/>
        <v>1</v>
      </c>
      <c r="J192" s="961"/>
      <c r="K192" s="53">
        <f t="shared" si="37"/>
        <v>1</v>
      </c>
      <c r="L192" s="961"/>
      <c r="M192" s="53">
        <f t="shared" si="38"/>
        <v>0</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0.06</v>
      </c>
      <c r="F193" s="961"/>
      <c r="G193" s="53">
        <f t="shared" si="35"/>
        <v>1</v>
      </c>
      <c r="H193" s="961"/>
      <c r="I193" s="53">
        <f t="shared" si="36"/>
        <v>1</v>
      </c>
      <c r="J193" s="961"/>
      <c r="K193" s="53">
        <f t="shared" si="37"/>
        <v>1</v>
      </c>
      <c r="L193" s="961"/>
      <c r="M193" s="53">
        <f t="shared" si="38"/>
        <v>0</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0.06</v>
      </c>
      <c r="F194" s="961"/>
      <c r="G194" s="53">
        <f t="shared" si="35"/>
        <v>1</v>
      </c>
      <c r="H194" s="961"/>
      <c r="I194" s="53">
        <f t="shared" si="36"/>
        <v>1</v>
      </c>
      <c r="J194" s="961"/>
      <c r="K194" s="53">
        <f t="shared" si="37"/>
        <v>1</v>
      </c>
      <c r="L194" s="961"/>
      <c r="M194" s="53">
        <f t="shared" si="38"/>
        <v>0</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0.06</v>
      </c>
      <c r="F195" s="961"/>
      <c r="G195" s="53">
        <f t="shared" si="35"/>
        <v>1</v>
      </c>
      <c r="H195" s="961"/>
      <c r="I195" s="53">
        <f t="shared" si="36"/>
        <v>1</v>
      </c>
      <c r="J195" s="961"/>
      <c r="K195" s="53">
        <f t="shared" si="37"/>
        <v>1</v>
      </c>
      <c r="L195" s="961"/>
      <c r="M195" s="53">
        <f t="shared" si="38"/>
        <v>0</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0.06</v>
      </c>
      <c r="F196" s="961"/>
      <c r="G196" s="53">
        <f t="shared" si="35"/>
        <v>1</v>
      </c>
      <c r="H196" s="961"/>
      <c r="I196" s="53">
        <f t="shared" si="36"/>
        <v>1</v>
      </c>
      <c r="J196" s="961"/>
      <c r="K196" s="53">
        <f t="shared" si="37"/>
        <v>1</v>
      </c>
      <c r="L196" s="961"/>
      <c r="M196" s="53">
        <f t="shared" si="38"/>
        <v>0</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0.06</v>
      </c>
      <c r="F197" s="961"/>
      <c r="G197" s="53">
        <f t="shared" si="35"/>
        <v>1</v>
      </c>
      <c r="H197" s="961"/>
      <c r="I197" s="53">
        <f t="shared" si="36"/>
        <v>1</v>
      </c>
      <c r="J197" s="961"/>
      <c r="K197" s="53">
        <f t="shared" si="37"/>
        <v>1</v>
      </c>
      <c r="L197" s="961"/>
      <c r="M197" s="53">
        <f t="shared" si="38"/>
        <v>0</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0.06</v>
      </c>
      <c r="F198" s="961"/>
      <c r="G198" s="53">
        <f t="shared" si="35"/>
        <v>1</v>
      </c>
      <c r="H198" s="961"/>
      <c r="I198" s="53">
        <f t="shared" si="36"/>
        <v>1</v>
      </c>
      <c r="J198" s="961"/>
      <c r="K198" s="53">
        <f t="shared" si="37"/>
        <v>1</v>
      </c>
      <c r="L198" s="961"/>
      <c r="M198" s="53">
        <f t="shared" si="38"/>
        <v>0</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0.06</v>
      </c>
      <c r="F199" s="961"/>
      <c r="G199" s="53">
        <f t="shared" si="35"/>
        <v>1</v>
      </c>
      <c r="H199" s="961"/>
      <c r="I199" s="53">
        <f t="shared" si="36"/>
        <v>1</v>
      </c>
      <c r="J199" s="961"/>
      <c r="K199" s="53">
        <f t="shared" si="37"/>
        <v>1</v>
      </c>
      <c r="L199" s="961"/>
      <c r="M199" s="53">
        <f t="shared" si="38"/>
        <v>0</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0.06</v>
      </c>
      <c r="F200" s="961"/>
      <c r="G200" s="53">
        <f t="shared" si="35"/>
        <v>1</v>
      </c>
      <c r="H200" s="961"/>
      <c r="I200" s="53">
        <f t="shared" si="36"/>
        <v>1</v>
      </c>
      <c r="J200" s="961"/>
      <c r="K200" s="53">
        <f t="shared" si="37"/>
        <v>1</v>
      </c>
      <c r="L200" s="961"/>
      <c r="M200" s="53">
        <f t="shared" si="38"/>
        <v>0</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0.06</v>
      </c>
      <c r="F201" s="961"/>
      <c r="G201" s="53">
        <f t="shared" si="35"/>
        <v>1</v>
      </c>
      <c r="H201" s="961"/>
      <c r="I201" s="53">
        <f t="shared" si="36"/>
        <v>1</v>
      </c>
      <c r="J201" s="961"/>
      <c r="K201" s="53">
        <f t="shared" si="37"/>
        <v>1</v>
      </c>
      <c r="L201" s="961"/>
      <c r="M201" s="53">
        <f t="shared" si="38"/>
        <v>0</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0.06</v>
      </c>
      <c r="F202" s="961"/>
      <c r="G202" s="53">
        <f t="shared" si="35"/>
        <v>1</v>
      </c>
      <c r="H202" s="961"/>
      <c r="I202" s="53">
        <f t="shared" si="36"/>
        <v>1</v>
      </c>
      <c r="J202" s="961"/>
      <c r="K202" s="53">
        <f t="shared" si="37"/>
        <v>1</v>
      </c>
      <c r="L202" s="961"/>
      <c r="M202" s="53">
        <f t="shared" si="38"/>
        <v>0</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0.06</v>
      </c>
      <c r="F203" s="961"/>
      <c r="G203" s="53">
        <f t="shared" si="35"/>
        <v>1</v>
      </c>
      <c r="H203" s="961"/>
      <c r="I203" s="53">
        <f t="shared" si="36"/>
        <v>1</v>
      </c>
      <c r="J203" s="961"/>
      <c r="K203" s="53">
        <f t="shared" si="37"/>
        <v>1</v>
      </c>
      <c r="L203" s="961"/>
      <c r="M203" s="53">
        <f t="shared" si="38"/>
        <v>0</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0.06</v>
      </c>
      <c r="F204" s="961"/>
      <c r="G204" s="53">
        <f t="shared" si="35"/>
        <v>1</v>
      </c>
      <c r="H204" s="961"/>
      <c r="I204" s="53">
        <f t="shared" si="36"/>
        <v>1</v>
      </c>
      <c r="J204" s="961"/>
      <c r="K204" s="53">
        <f t="shared" si="37"/>
        <v>1</v>
      </c>
      <c r="L204" s="961"/>
      <c r="M204" s="53">
        <f t="shared" si="38"/>
        <v>0</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0.06</v>
      </c>
      <c r="F205" s="961"/>
      <c r="G205" s="53">
        <f t="shared" si="35"/>
        <v>1</v>
      </c>
      <c r="H205" s="961"/>
      <c r="I205" s="53">
        <f t="shared" si="36"/>
        <v>1</v>
      </c>
      <c r="J205" s="961"/>
      <c r="K205" s="53">
        <f t="shared" si="37"/>
        <v>1</v>
      </c>
      <c r="L205" s="961"/>
      <c r="M205" s="53">
        <f t="shared" si="38"/>
        <v>0</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0.06</v>
      </c>
      <c r="F206" s="961"/>
      <c r="G206" s="53">
        <f t="shared" si="35"/>
        <v>1</v>
      </c>
      <c r="H206" s="961"/>
      <c r="I206" s="53">
        <f t="shared" si="36"/>
        <v>1</v>
      </c>
      <c r="J206" s="961"/>
      <c r="K206" s="53">
        <f t="shared" si="37"/>
        <v>1</v>
      </c>
      <c r="L206" s="961"/>
      <c r="M206" s="53">
        <f t="shared" si="38"/>
        <v>0</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0.06</v>
      </c>
      <c r="F207" s="961"/>
      <c r="G207" s="53">
        <f t="shared" si="35"/>
        <v>1</v>
      </c>
      <c r="H207" s="961"/>
      <c r="I207" s="53">
        <f t="shared" si="36"/>
        <v>1</v>
      </c>
      <c r="J207" s="961"/>
      <c r="K207" s="53">
        <f t="shared" si="37"/>
        <v>1</v>
      </c>
      <c r="L207" s="961"/>
      <c r="M207" s="53">
        <f t="shared" si="38"/>
        <v>0</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0.06</v>
      </c>
      <c r="F208" s="961"/>
      <c r="G208" s="53">
        <f t="shared" si="35"/>
        <v>1</v>
      </c>
      <c r="H208" s="961"/>
      <c r="I208" s="53">
        <f t="shared" si="36"/>
        <v>1</v>
      </c>
      <c r="J208" s="961"/>
      <c r="K208" s="53">
        <f t="shared" si="37"/>
        <v>1</v>
      </c>
      <c r="L208" s="961"/>
      <c r="M208" s="53">
        <f t="shared" si="38"/>
        <v>0</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0.06</v>
      </c>
      <c r="F209" s="961"/>
      <c r="G209" s="53">
        <f t="shared" si="35"/>
        <v>1</v>
      </c>
      <c r="H209" s="961"/>
      <c r="I209" s="53">
        <f t="shared" si="36"/>
        <v>1</v>
      </c>
      <c r="J209" s="961"/>
      <c r="K209" s="53">
        <f t="shared" si="37"/>
        <v>1</v>
      </c>
      <c r="L209" s="961"/>
      <c r="M209" s="53">
        <f t="shared" si="38"/>
        <v>0</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0.06</v>
      </c>
      <c r="F210" s="961"/>
      <c r="G210" s="53">
        <f t="shared" si="35"/>
        <v>1</v>
      </c>
      <c r="H210" s="961"/>
      <c r="I210" s="53">
        <f t="shared" si="36"/>
        <v>1</v>
      </c>
      <c r="J210" s="961"/>
      <c r="K210" s="53">
        <f t="shared" si="37"/>
        <v>1</v>
      </c>
      <c r="L210" s="961"/>
      <c r="M210" s="53">
        <f t="shared" si="38"/>
        <v>0</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0.06</v>
      </c>
      <c r="F211" s="961"/>
      <c r="G211" s="53">
        <f t="shared" si="35"/>
        <v>1</v>
      </c>
      <c r="H211" s="961"/>
      <c r="I211" s="53">
        <f t="shared" si="36"/>
        <v>1</v>
      </c>
      <c r="J211" s="961"/>
      <c r="K211" s="53">
        <f t="shared" si="37"/>
        <v>1</v>
      </c>
      <c r="L211" s="961"/>
      <c r="M211" s="53">
        <f t="shared" si="38"/>
        <v>0</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0.06</v>
      </c>
      <c r="F212" s="961"/>
      <c r="G212" s="53">
        <f t="shared" si="35"/>
        <v>1</v>
      </c>
      <c r="H212" s="961"/>
      <c r="I212" s="53">
        <f t="shared" si="36"/>
        <v>1</v>
      </c>
      <c r="J212" s="961"/>
      <c r="K212" s="53">
        <f t="shared" si="37"/>
        <v>1</v>
      </c>
      <c r="L212" s="961"/>
      <c r="M212" s="53">
        <f t="shared" si="38"/>
        <v>0</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0.06</v>
      </c>
      <c r="F213" s="961"/>
      <c r="G213" s="53">
        <f t="shared" si="35"/>
        <v>1</v>
      </c>
      <c r="H213" s="961"/>
      <c r="I213" s="53">
        <f t="shared" si="36"/>
        <v>1</v>
      </c>
      <c r="J213" s="961"/>
      <c r="K213" s="53">
        <f t="shared" si="37"/>
        <v>1</v>
      </c>
      <c r="L213" s="961"/>
      <c r="M213" s="53">
        <f t="shared" si="38"/>
        <v>0</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0.06</v>
      </c>
      <c r="F214" s="961"/>
      <c r="G214" s="53">
        <f t="shared" si="35"/>
        <v>1</v>
      </c>
      <c r="H214" s="961"/>
      <c r="I214" s="53">
        <f t="shared" si="36"/>
        <v>1</v>
      </c>
      <c r="J214" s="961"/>
      <c r="K214" s="53">
        <f t="shared" si="37"/>
        <v>1</v>
      </c>
      <c r="L214" s="961"/>
      <c r="M214" s="53">
        <f t="shared" si="38"/>
        <v>0</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0.06</v>
      </c>
      <c r="F215" s="961"/>
      <c r="G215" s="53">
        <f t="shared" si="35"/>
        <v>1</v>
      </c>
      <c r="H215" s="961"/>
      <c r="I215" s="53">
        <f t="shared" si="36"/>
        <v>1</v>
      </c>
      <c r="J215" s="961"/>
      <c r="K215" s="53">
        <f t="shared" si="37"/>
        <v>1</v>
      </c>
      <c r="L215" s="961"/>
      <c r="M215" s="53">
        <f t="shared" si="38"/>
        <v>0</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0.06</v>
      </c>
      <c r="F216" s="961"/>
      <c r="G216" s="53">
        <f t="shared" si="35"/>
        <v>1</v>
      </c>
      <c r="H216" s="961"/>
      <c r="I216" s="53">
        <f t="shared" si="36"/>
        <v>1</v>
      </c>
      <c r="J216" s="961"/>
      <c r="K216" s="53">
        <f t="shared" si="37"/>
        <v>1</v>
      </c>
      <c r="L216" s="961"/>
      <c r="M216" s="53">
        <f t="shared" si="38"/>
        <v>0</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0.06</v>
      </c>
      <c r="F217" s="961"/>
      <c r="G217" s="53">
        <f t="shared" si="35"/>
        <v>1</v>
      </c>
      <c r="H217" s="961"/>
      <c r="I217" s="53">
        <f t="shared" si="36"/>
        <v>1</v>
      </c>
      <c r="J217" s="961"/>
      <c r="K217" s="53">
        <f t="shared" si="37"/>
        <v>1</v>
      </c>
      <c r="L217" s="961"/>
      <c r="M217" s="53">
        <f t="shared" si="38"/>
        <v>0</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0.06</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0</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0.06</v>
      </c>
      <c r="F219" s="961"/>
      <c r="G219" s="53">
        <f t="shared" si="45"/>
        <v>1</v>
      </c>
      <c r="H219" s="961"/>
      <c r="I219" s="53">
        <f t="shared" si="46"/>
        <v>1</v>
      </c>
      <c r="J219" s="961"/>
      <c r="K219" s="53">
        <f t="shared" si="47"/>
        <v>1</v>
      </c>
      <c r="L219" s="961"/>
      <c r="M219" s="53">
        <f t="shared" si="48"/>
        <v>0</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0.06</v>
      </c>
      <c r="F220" s="961"/>
      <c r="G220" s="53">
        <f t="shared" si="45"/>
        <v>1</v>
      </c>
      <c r="H220" s="961"/>
      <c r="I220" s="53">
        <f t="shared" si="46"/>
        <v>1</v>
      </c>
      <c r="J220" s="961"/>
      <c r="K220" s="53">
        <f t="shared" si="47"/>
        <v>1</v>
      </c>
      <c r="L220" s="961"/>
      <c r="M220" s="53">
        <f t="shared" si="48"/>
        <v>0</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0.06</v>
      </c>
      <c r="F221" s="961"/>
      <c r="G221" s="53">
        <f t="shared" si="45"/>
        <v>1</v>
      </c>
      <c r="H221" s="961"/>
      <c r="I221" s="53">
        <f t="shared" si="46"/>
        <v>1</v>
      </c>
      <c r="J221" s="961"/>
      <c r="K221" s="53">
        <f t="shared" si="47"/>
        <v>1</v>
      </c>
      <c r="L221" s="961"/>
      <c r="M221" s="53">
        <f t="shared" si="48"/>
        <v>0</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0.06</v>
      </c>
      <c r="F222" s="961"/>
      <c r="G222" s="53">
        <f t="shared" si="45"/>
        <v>1</v>
      </c>
      <c r="H222" s="961"/>
      <c r="I222" s="53">
        <f t="shared" si="46"/>
        <v>1</v>
      </c>
      <c r="J222" s="961"/>
      <c r="K222" s="53">
        <f t="shared" si="47"/>
        <v>1</v>
      </c>
      <c r="L222" s="961"/>
      <c r="M222" s="53">
        <f t="shared" si="48"/>
        <v>0</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0.06</v>
      </c>
      <c r="F223" s="961"/>
      <c r="G223" s="53">
        <f t="shared" si="45"/>
        <v>1</v>
      </c>
      <c r="H223" s="961"/>
      <c r="I223" s="53">
        <f t="shared" si="46"/>
        <v>1</v>
      </c>
      <c r="J223" s="961"/>
      <c r="K223" s="53">
        <f t="shared" si="47"/>
        <v>1</v>
      </c>
      <c r="L223" s="961"/>
      <c r="M223" s="53">
        <f t="shared" si="48"/>
        <v>0</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0.06</v>
      </c>
      <c r="F224" s="961"/>
      <c r="G224" s="53">
        <f t="shared" si="45"/>
        <v>1</v>
      </c>
      <c r="H224" s="961"/>
      <c r="I224" s="53">
        <f t="shared" si="46"/>
        <v>1</v>
      </c>
      <c r="J224" s="961"/>
      <c r="K224" s="53">
        <f t="shared" si="47"/>
        <v>1</v>
      </c>
      <c r="L224" s="961"/>
      <c r="M224" s="53">
        <f t="shared" si="48"/>
        <v>0</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0.06</v>
      </c>
      <c r="F225" s="961"/>
      <c r="G225" s="53">
        <f t="shared" si="45"/>
        <v>1</v>
      </c>
      <c r="H225" s="961"/>
      <c r="I225" s="53">
        <f t="shared" si="46"/>
        <v>1</v>
      </c>
      <c r="J225" s="961"/>
      <c r="K225" s="53">
        <f t="shared" si="47"/>
        <v>1</v>
      </c>
      <c r="L225" s="961"/>
      <c r="M225" s="53">
        <f t="shared" si="48"/>
        <v>0</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0.06</v>
      </c>
      <c r="F226" s="961"/>
      <c r="G226" s="53">
        <f t="shared" si="45"/>
        <v>1</v>
      </c>
      <c r="H226" s="961"/>
      <c r="I226" s="53">
        <f t="shared" si="46"/>
        <v>1</v>
      </c>
      <c r="J226" s="961"/>
      <c r="K226" s="53">
        <f t="shared" si="47"/>
        <v>1</v>
      </c>
      <c r="L226" s="961"/>
      <c r="M226" s="53">
        <f t="shared" si="48"/>
        <v>0</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0.06</v>
      </c>
      <c r="F227" s="961"/>
      <c r="G227" s="53">
        <f t="shared" si="45"/>
        <v>1</v>
      </c>
      <c r="H227" s="961"/>
      <c r="I227" s="53">
        <f t="shared" si="46"/>
        <v>1</v>
      </c>
      <c r="J227" s="961"/>
      <c r="K227" s="53">
        <f t="shared" si="47"/>
        <v>1</v>
      </c>
      <c r="L227" s="961"/>
      <c r="M227" s="53">
        <f t="shared" si="48"/>
        <v>0</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0.06</v>
      </c>
      <c r="F228" s="961"/>
      <c r="G228" s="53">
        <f t="shared" si="45"/>
        <v>1</v>
      </c>
      <c r="H228" s="961"/>
      <c r="I228" s="53">
        <f t="shared" si="46"/>
        <v>1</v>
      </c>
      <c r="J228" s="961"/>
      <c r="K228" s="53">
        <f t="shared" si="47"/>
        <v>1</v>
      </c>
      <c r="L228" s="961"/>
      <c r="M228" s="53">
        <f t="shared" si="48"/>
        <v>0</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0.06</v>
      </c>
      <c r="F229" s="961"/>
      <c r="G229" s="53">
        <f t="shared" si="45"/>
        <v>1</v>
      </c>
      <c r="H229" s="961"/>
      <c r="I229" s="53">
        <f t="shared" si="46"/>
        <v>1</v>
      </c>
      <c r="J229" s="961"/>
      <c r="K229" s="53">
        <f t="shared" si="47"/>
        <v>1</v>
      </c>
      <c r="L229" s="961"/>
      <c r="M229" s="53">
        <f t="shared" si="48"/>
        <v>0</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0.06</v>
      </c>
      <c r="F230" s="961"/>
      <c r="G230" s="53">
        <f t="shared" si="45"/>
        <v>1</v>
      </c>
      <c r="H230" s="961"/>
      <c r="I230" s="53">
        <f t="shared" si="46"/>
        <v>1</v>
      </c>
      <c r="J230" s="961"/>
      <c r="K230" s="53">
        <f t="shared" si="47"/>
        <v>1</v>
      </c>
      <c r="L230" s="961"/>
      <c r="M230" s="53">
        <f t="shared" si="48"/>
        <v>0</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0.06</v>
      </c>
      <c r="F231" s="961"/>
      <c r="G231" s="53">
        <f t="shared" si="45"/>
        <v>1</v>
      </c>
      <c r="H231" s="961"/>
      <c r="I231" s="53">
        <f t="shared" si="46"/>
        <v>1</v>
      </c>
      <c r="J231" s="961"/>
      <c r="K231" s="53">
        <f t="shared" si="47"/>
        <v>1</v>
      </c>
      <c r="L231" s="961"/>
      <c r="M231" s="53">
        <f t="shared" si="48"/>
        <v>0</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0.06</v>
      </c>
      <c r="F232" s="961"/>
      <c r="G232" s="53">
        <f t="shared" si="45"/>
        <v>1</v>
      </c>
      <c r="H232" s="961"/>
      <c r="I232" s="53">
        <f t="shared" si="46"/>
        <v>1</v>
      </c>
      <c r="J232" s="961"/>
      <c r="K232" s="53">
        <f t="shared" si="47"/>
        <v>1</v>
      </c>
      <c r="L232" s="961"/>
      <c r="M232" s="53">
        <f t="shared" si="48"/>
        <v>0</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0.06</v>
      </c>
      <c r="F233" s="961"/>
      <c r="G233" s="53">
        <f t="shared" si="45"/>
        <v>1</v>
      </c>
      <c r="H233" s="961"/>
      <c r="I233" s="53">
        <f t="shared" si="46"/>
        <v>1</v>
      </c>
      <c r="J233" s="961"/>
      <c r="K233" s="53">
        <f t="shared" si="47"/>
        <v>1</v>
      </c>
      <c r="L233" s="961"/>
      <c r="M233" s="53">
        <f t="shared" si="48"/>
        <v>0</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0.06</v>
      </c>
      <c r="F234" s="961"/>
      <c r="G234" s="53">
        <f t="shared" si="45"/>
        <v>1</v>
      </c>
      <c r="H234" s="961"/>
      <c r="I234" s="53">
        <f t="shared" si="46"/>
        <v>1</v>
      </c>
      <c r="J234" s="961"/>
      <c r="K234" s="53">
        <f t="shared" si="47"/>
        <v>1</v>
      </c>
      <c r="L234" s="961"/>
      <c r="M234" s="53">
        <f t="shared" si="48"/>
        <v>0</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0.06</v>
      </c>
      <c r="F235" s="961"/>
      <c r="G235" s="53">
        <f t="shared" si="45"/>
        <v>1</v>
      </c>
      <c r="H235" s="961"/>
      <c r="I235" s="53">
        <f t="shared" si="46"/>
        <v>1</v>
      </c>
      <c r="J235" s="961"/>
      <c r="K235" s="53">
        <f t="shared" si="47"/>
        <v>1</v>
      </c>
      <c r="L235" s="961"/>
      <c r="M235" s="53">
        <f t="shared" si="48"/>
        <v>0</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0.06</v>
      </c>
      <c r="F236" s="961"/>
      <c r="G236" s="53">
        <f t="shared" si="45"/>
        <v>1</v>
      </c>
      <c r="H236" s="961"/>
      <c r="I236" s="53">
        <f t="shared" si="46"/>
        <v>1</v>
      </c>
      <c r="J236" s="961"/>
      <c r="K236" s="53">
        <f t="shared" si="47"/>
        <v>1</v>
      </c>
      <c r="L236" s="961"/>
      <c r="M236" s="53">
        <f t="shared" si="48"/>
        <v>0</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0.06</v>
      </c>
      <c r="F237" s="961"/>
      <c r="G237" s="53">
        <f t="shared" si="45"/>
        <v>1</v>
      </c>
      <c r="H237" s="961"/>
      <c r="I237" s="53">
        <f t="shared" si="46"/>
        <v>1</v>
      </c>
      <c r="J237" s="961"/>
      <c r="K237" s="53">
        <f t="shared" si="47"/>
        <v>1</v>
      </c>
      <c r="L237" s="961"/>
      <c r="M237" s="53">
        <f t="shared" si="48"/>
        <v>0</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0.06</v>
      </c>
      <c r="F238" s="961"/>
      <c r="G238" s="53">
        <f t="shared" si="45"/>
        <v>1</v>
      </c>
      <c r="H238" s="961"/>
      <c r="I238" s="53">
        <f t="shared" si="46"/>
        <v>1</v>
      </c>
      <c r="J238" s="961"/>
      <c r="K238" s="53">
        <f t="shared" si="47"/>
        <v>1</v>
      </c>
      <c r="L238" s="961"/>
      <c r="M238" s="53">
        <f t="shared" si="48"/>
        <v>0</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0.06</v>
      </c>
      <c r="F239" s="961"/>
      <c r="G239" s="53">
        <f t="shared" si="45"/>
        <v>1</v>
      </c>
      <c r="H239" s="961"/>
      <c r="I239" s="53">
        <f t="shared" si="46"/>
        <v>1</v>
      </c>
      <c r="J239" s="961"/>
      <c r="K239" s="53">
        <f t="shared" si="47"/>
        <v>1</v>
      </c>
      <c r="L239" s="961"/>
      <c r="M239" s="53">
        <f t="shared" si="48"/>
        <v>0</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0.06</v>
      </c>
      <c r="F240" s="961"/>
      <c r="G240" s="53">
        <f t="shared" si="45"/>
        <v>1</v>
      </c>
      <c r="H240" s="961"/>
      <c r="I240" s="53">
        <f t="shared" si="46"/>
        <v>1</v>
      </c>
      <c r="J240" s="961"/>
      <c r="K240" s="53">
        <f t="shared" si="47"/>
        <v>1</v>
      </c>
      <c r="L240" s="961"/>
      <c r="M240" s="53">
        <f t="shared" si="48"/>
        <v>0</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0.06</v>
      </c>
      <c r="F241" s="961"/>
      <c r="G241" s="53">
        <f t="shared" si="45"/>
        <v>1</v>
      </c>
      <c r="H241" s="961"/>
      <c r="I241" s="53">
        <f t="shared" si="46"/>
        <v>1</v>
      </c>
      <c r="J241" s="961"/>
      <c r="K241" s="53">
        <f t="shared" si="47"/>
        <v>1</v>
      </c>
      <c r="L241" s="961"/>
      <c r="M241" s="53">
        <f t="shared" si="48"/>
        <v>0</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0.06</v>
      </c>
      <c r="F242" s="961"/>
      <c r="G242" s="53">
        <f t="shared" si="45"/>
        <v>1</v>
      </c>
      <c r="H242" s="961"/>
      <c r="I242" s="53">
        <f t="shared" si="46"/>
        <v>1</v>
      </c>
      <c r="J242" s="961"/>
      <c r="K242" s="53">
        <f t="shared" si="47"/>
        <v>1</v>
      </c>
      <c r="L242" s="961"/>
      <c r="M242" s="53">
        <f t="shared" si="48"/>
        <v>0</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0.06</v>
      </c>
      <c r="F243" s="961"/>
      <c r="G243" s="53">
        <f t="shared" si="45"/>
        <v>1</v>
      </c>
      <c r="H243" s="961"/>
      <c r="I243" s="53">
        <f t="shared" si="46"/>
        <v>1</v>
      </c>
      <c r="J243" s="961"/>
      <c r="K243" s="53">
        <f t="shared" si="47"/>
        <v>1</v>
      </c>
      <c r="L243" s="961"/>
      <c r="M243" s="53">
        <f t="shared" si="48"/>
        <v>0</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0.06</v>
      </c>
      <c r="F244" s="961"/>
      <c r="G244" s="53">
        <f t="shared" si="45"/>
        <v>1</v>
      </c>
      <c r="H244" s="961"/>
      <c r="I244" s="53">
        <f t="shared" si="46"/>
        <v>1</v>
      </c>
      <c r="J244" s="961"/>
      <c r="K244" s="53">
        <f t="shared" si="47"/>
        <v>1</v>
      </c>
      <c r="L244" s="961"/>
      <c r="M244" s="53">
        <f t="shared" si="48"/>
        <v>0</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0.06</v>
      </c>
      <c r="F245" s="961"/>
      <c r="G245" s="53">
        <f t="shared" si="45"/>
        <v>1</v>
      </c>
      <c r="H245" s="961"/>
      <c r="I245" s="53">
        <f t="shared" si="46"/>
        <v>1</v>
      </c>
      <c r="J245" s="961"/>
      <c r="K245" s="53">
        <f t="shared" si="47"/>
        <v>1</v>
      </c>
      <c r="L245" s="961"/>
      <c r="M245" s="53">
        <f t="shared" si="48"/>
        <v>0</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0.06</v>
      </c>
      <c r="F246" s="961"/>
      <c r="G246" s="53">
        <f t="shared" si="45"/>
        <v>1</v>
      </c>
      <c r="H246" s="961"/>
      <c r="I246" s="53">
        <f t="shared" si="46"/>
        <v>1</v>
      </c>
      <c r="J246" s="961"/>
      <c r="K246" s="53">
        <f t="shared" si="47"/>
        <v>1</v>
      </c>
      <c r="L246" s="961"/>
      <c r="M246" s="53">
        <f t="shared" si="48"/>
        <v>0</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0.06</v>
      </c>
      <c r="F247" s="961"/>
      <c r="G247" s="53">
        <f t="shared" si="45"/>
        <v>1</v>
      </c>
      <c r="H247" s="961"/>
      <c r="I247" s="53">
        <f t="shared" si="46"/>
        <v>1</v>
      </c>
      <c r="J247" s="961"/>
      <c r="K247" s="53">
        <f t="shared" si="47"/>
        <v>1</v>
      </c>
      <c r="L247" s="961"/>
      <c r="M247" s="53">
        <f t="shared" si="48"/>
        <v>0</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0.06</v>
      </c>
      <c r="F248" s="961"/>
      <c r="G248" s="53">
        <f t="shared" si="45"/>
        <v>1</v>
      </c>
      <c r="H248" s="961"/>
      <c r="I248" s="53">
        <f t="shared" si="46"/>
        <v>1</v>
      </c>
      <c r="J248" s="961"/>
      <c r="K248" s="53">
        <f t="shared" si="47"/>
        <v>1</v>
      </c>
      <c r="L248" s="961"/>
      <c r="M248" s="53">
        <f t="shared" si="48"/>
        <v>0</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0.06</v>
      </c>
      <c r="F249" s="961"/>
      <c r="G249" s="53">
        <f t="shared" si="45"/>
        <v>1</v>
      </c>
      <c r="H249" s="961"/>
      <c r="I249" s="53">
        <f t="shared" si="46"/>
        <v>1</v>
      </c>
      <c r="J249" s="961"/>
      <c r="K249" s="53">
        <f t="shared" si="47"/>
        <v>1</v>
      </c>
      <c r="L249" s="961"/>
      <c r="M249" s="53">
        <f t="shared" si="48"/>
        <v>0</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0.06</v>
      </c>
      <c r="F250" s="961"/>
      <c r="G250" s="53">
        <f t="shared" si="45"/>
        <v>1</v>
      </c>
      <c r="H250" s="961"/>
      <c r="I250" s="53">
        <f t="shared" si="46"/>
        <v>1</v>
      </c>
      <c r="J250" s="961"/>
      <c r="K250" s="53">
        <f t="shared" si="47"/>
        <v>1</v>
      </c>
      <c r="L250" s="961"/>
      <c r="M250" s="53">
        <f t="shared" si="48"/>
        <v>0</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0.06</v>
      </c>
      <c r="F251" s="961"/>
      <c r="G251" s="53">
        <f t="shared" si="45"/>
        <v>1</v>
      </c>
      <c r="H251" s="961"/>
      <c r="I251" s="53">
        <f t="shared" si="46"/>
        <v>1</v>
      </c>
      <c r="J251" s="961"/>
      <c r="K251" s="53">
        <f t="shared" si="47"/>
        <v>1</v>
      </c>
      <c r="L251" s="961"/>
      <c r="M251" s="53">
        <f t="shared" si="48"/>
        <v>0</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0.06</v>
      </c>
      <c r="F252" s="961"/>
      <c r="G252" s="53">
        <f t="shared" si="45"/>
        <v>1</v>
      </c>
      <c r="H252" s="961"/>
      <c r="I252" s="53">
        <f t="shared" si="46"/>
        <v>1</v>
      </c>
      <c r="J252" s="961"/>
      <c r="K252" s="53">
        <f t="shared" si="47"/>
        <v>1</v>
      </c>
      <c r="L252" s="961"/>
      <c r="M252" s="53">
        <f t="shared" si="48"/>
        <v>0</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0.06</v>
      </c>
      <c r="F253" s="961"/>
      <c r="G253" s="53">
        <f t="shared" si="45"/>
        <v>1</v>
      </c>
      <c r="H253" s="961"/>
      <c r="I253" s="53">
        <f t="shared" si="46"/>
        <v>1</v>
      </c>
      <c r="J253" s="961"/>
      <c r="K253" s="53">
        <f t="shared" si="47"/>
        <v>1</v>
      </c>
      <c r="L253" s="961"/>
      <c r="M253" s="53">
        <f t="shared" si="48"/>
        <v>0</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0.06</v>
      </c>
      <c r="F254" s="961"/>
      <c r="G254" s="53">
        <f t="shared" si="45"/>
        <v>1</v>
      </c>
      <c r="H254" s="961"/>
      <c r="I254" s="53">
        <f t="shared" si="46"/>
        <v>1</v>
      </c>
      <c r="J254" s="961"/>
      <c r="K254" s="53">
        <f t="shared" si="47"/>
        <v>1</v>
      </c>
      <c r="L254" s="961"/>
      <c r="M254" s="53">
        <f t="shared" si="48"/>
        <v>0</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0.06</v>
      </c>
      <c r="F255" s="961"/>
      <c r="G255" s="53">
        <f t="shared" si="45"/>
        <v>1</v>
      </c>
      <c r="H255" s="961"/>
      <c r="I255" s="53">
        <f t="shared" si="46"/>
        <v>1</v>
      </c>
      <c r="J255" s="961"/>
      <c r="K255" s="53">
        <f t="shared" si="47"/>
        <v>1</v>
      </c>
      <c r="L255" s="961"/>
      <c r="M255" s="53">
        <f t="shared" si="48"/>
        <v>0</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0.06</v>
      </c>
      <c r="F256" s="961"/>
      <c r="G256" s="53">
        <f t="shared" si="45"/>
        <v>1</v>
      </c>
      <c r="H256" s="961"/>
      <c r="I256" s="53">
        <f t="shared" si="46"/>
        <v>1</v>
      </c>
      <c r="J256" s="961"/>
      <c r="K256" s="53">
        <f t="shared" si="47"/>
        <v>1</v>
      </c>
      <c r="L256" s="961"/>
      <c r="M256" s="53">
        <f t="shared" si="48"/>
        <v>0</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0.06</v>
      </c>
      <c r="F257" s="961"/>
      <c r="G257" s="53">
        <f t="shared" si="45"/>
        <v>1</v>
      </c>
      <c r="H257" s="961"/>
      <c r="I257" s="53">
        <f t="shared" si="46"/>
        <v>1</v>
      </c>
      <c r="J257" s="961"/>
      <c r="K257" s="53">
        <f t="shared" si="47"/>
        <v>1</v>
      </c>
      <c r="L257" s="961"/>
      <c r="M257" s="53">
        <f t="shared" si="48"/>
        <v>0</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0.06</v>
      </c>
      <c r="F258" s="961"/>
      <c r="G258" s="53">
        <f t="shared" si="45"/>
        <v>1</v>
      </c>
      <c r="H258" s="961"/>
      <c r="I258" s="53">
        <f t="shared" si="46"/>
        <v>1</v>
      </c>
      <c r="J258" s="961"/>
      <c r="K258" s="53">
        <f t="shared" si="47"/>
        <v>1</v>
      </c>
      <c r="L258" s="961"/>
      <c r="M258" s="53">
        <f t="shared" si="48"/>
        <v>0</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0.06</v>
      </c>
      <c r="F259" s="961"/>
      <c r="G259" s="53">
        <f t="shared" si="45"/>
        <v>1</v>
      </c>
      <c r="H259" s="961"/>
      <c r="I259" s="53">
        <f t="shared" si="46"/>
        <v>1</v>
      </c>
      <c r="J259" s="961"/>
      <c r="K259" s="53">
        <f t="shared" si="47"/>
        <v>1</v>
      </c>
      <c r="L259" s="961"/>
      <c r="M259" s="53">
        <f t="shared" si="48"/>
        <v>0</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0.06</v>
      </c>
      <c r="F260" s="961"/>
      <c r="G260" s="53">
        <f t="shared" si="45"/>
        <v>1</v>
      </c>
      <c r="H260" s="961"/>
      <c r="I260" s="53">
        <f t="shared" si="46"/>
        <v>1</v>
      </c>
      <c r="J260" s="961"/>
      <c r="K260" s="53">
        <f t="shared" si="47"/>
        <v>1</v>
      </c>
      <c r="L260" s="961"/>
      <c r="M260" s="53">
        <f t="shared" si="48"/>
        <v>0</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0.06</v>
      </c>
      <c r="F261" s="961"/>
      <c r="G261" s="53">
        <f t="shared" si="45"/>
        <v>1</v>
      </c>
      <c r="H261" s="961"/>
      <c r="I261" s="53">
        <f t="shared" si="46"/>
        <v>1</v>
      </c>
      <c r="J261" s="961"/>
      <c r="K261" s="53">
        <f t="shared" si="47"/>
        <v>1</v>
      </c>
      <c r="L261" s="961"/>
      <c r="M261" s="53">
        <f t="shared" si="48"/>
        <v>0</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0.06</v>
      </c>
      <c r="F262" s="961"/>
      <c r="G262" s="53">
        <f t="shared" si="45"/>
        <v>1</v>
      </c>
      <c r="H262" s="961"/>
      <c r="I262" s="53">
        <f t="shared" si="46"/>
        <v>1</v>
      </c>
      <c r="J262" s="961"/>
      <c r="K262" s="53">
        <f t="shared" si="47"/>
        <v>1</v>
      </c>
      <c r="L262" s="961"/>
      <c r="M262" s="53">
        <f t="shared" si="48"/>
        <v>0</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0.06</v>
      </c>
      <c r="F263" s="961"/>
      <c r="G263" s="53">
        <f t="shared" si="45"/>
        <v>1</v>
      </c>
      <c r="H263" s="961"/>
      <c r="I263" s="53">
        <f t="shared" si="46"/>
        <v>1</v>
      </c>
      <c r="J263" s="961"/>
      <c r="K263" s="53">
        <f t="shared" si="47"/>
        <v>1</v>
      </c>
      <c r="L263" s="961"/>
      <c r="M263" s="53">
        <f t="shared" si="48"/>
        <v>0</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0.06</v>
      </c>
      <c r="F264" s="961"/>
      <c r="G264" s="53">
        <f t="shared" si="45"/>
        <v>1</v>
      </c>
      <c r="H264" s="961"/>
      <c r="I264" s="53">
        <f t="shared" si="46"/>
        <v>1</v>
      </c>
      <c r="J264" s="961"/>
      <c r="K264" s="53">
        <f t="shared" si="47"/>
        <v>1</v>
      </c>
      <c r="L264" s="961"/>
      <c r="M264" s="53">
        <f t="shared" si="48"/>
        <v>0</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0.06</v>
      </c>
      <c r="F265" s="961"/>
      <c r="G265" s="53">
        <f t="shared" si="45"/>
        <v>1</v>
      </c>
      <c r="H265" s="961"/>
      <c r="I265" s="53">
        <f t="shared" si="46"/>
        <v>1</v>
      </c>
      <c r="J265" s="961"/>
      <c r="K265" s="53">
        <f t="shared" si="47"/>
        <v>1</v>
      </c>
      <c r="L265" s="961"/>
      <c r="M265" s="53">
        <f t="shared" si="48"/>
        <v>0</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0.06</v>
      </c>
      <c r="F266" s="961"/>
      <c r="G266" s="53">
        <f t="shared" si="45"/>
        <v>1</v>
      </c>
      <c r="H266" s="961"/>
      <c r="I266" s="53">
        <f t="shared" si="46"/>
        <v>1</v>
      </c>
      <c r="J266" s="961"/>
      <c r="K266" s="53">
        <f t="shared" si="47"/>
        <v>1</v>
      </c>
      <c r="L266" s="961"/>
      <c r="M266" s="53">
        <f t="shared" si="48"/>
        <v>0</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0.06</v>
      </c>
      <c r="F267" s="961"/>
      <c r="G267" s="53">
        <f t="shared" si="45"/>
        <v>1</v>
      </c>
      <c r="H267" s="961"/>
      <c r="I267" s="53">
        <f t="shared" si="46"/>
        <v>1</v>
      </c>
      <c r="J267" s="961"/>
      <c r="K267" s="53">
        <f t="shared" si="47"/>
        <v>1</v>
      </c>
      <c r="L267" s="961"/>
      <c r="M267" s="53">
        <f t="shared" si="48"/>
        <v>0</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0.06</v>
      </c>
      <c r="F268" s="961"/>
      <c r="G268" s="53">
        <f t="shared" si="45"/>
        <v>1</v>
      </c>
      <c r="H268" s="961"/>
      <c r="I268" s="53">
        <f t="shared" si="46"/>
        <v>1</v>
      </c>
      <c r="J268" s="961"/>
      <c r="K268" s="53">
        <f t="shared" si="47"/>
        <v>1</v>
      </c>
      <c r="L268" s="961"/>
      <c r="M268" s="53">
        <f t="shared" si="48"/>
        <v>0</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0.06</v>
      </c>
      <c r="F269" s="961"/>
      <c r="G269" s="53">
        <f t="shared" si="45"/>
        <v>1</v>
      </c>
      <c r="H269" s="961"/>
      <c r="I269" s="53">
        <f t="shared" si="46"/>
        <v>1</v>
      </c>
      <c r="J269" s="961"/>
      <c r="K269" s="53">
        <f t="shared" si="47"/>
        <v>1</v>
      </c>
      <c r="L269" s="961"/>
      <c r="M269" s="53">
        <f t="shared" si="48"/>
        <v>0</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0.06</v>
      </c>
      <c r="F270" s="961"/>
      <c r="G270" s="53">
        <f t="shared" si="45"/>
        <v>1</v>
      </c>
      <c r="H270" s="961"/>
      <c r="I270" s="53">
        <f t="shared" si="46"/>
        <v>1</v>
      </c>
      <c r="J270" s="961"/>
      <c r="K270" s="53">
        <f t="shared" si="47"/>
        <v>1</v>
      </c>
      <c r="L270" s="961"/>
      <c r="M270" s="53">
        <f t="shared" si="48"/>
        <v>0</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0.06</v>
      </c>
      <c r="F271" s="961"/>
      <c r="G271" s="53">
        <f t="shared" si="45"/>
        <v>1</v>
      </c>
      <c r="H271" s="961"/>
      <c r="I271" s="53">
        <f t="shared" si="46"/>
        <v>1</v>
      </c>
      <c r="J271" s="961"/>
      <c r="K271" s="53">
        <f t="shared" si="47"/>
        <v>1</v>
      </c>
      <c r="L271" s="961"/>
      <c r="M271" s="53">
        <f t="shared" si="48"/>
        <v>0</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0.06</v>
      </c>
      <c r="F272" s="961"/>
      <c r="G272" s="53">
        <f t="shared" si="45"/>
        <v>1</v>
      </c>
      <c r="H272" s="961"/>
      <c r="I272" s="53">
        <f t="shared" si="46"/>
        <v>1</v>
      </c>
      <c r="J272" s="961"/>
      <c r="K272" s="53">
        <f t="shared" si="47"/>
        <v>1</v>
      </c>
      <c r="L272" s="961"/>
      <c r="M272" s="53">
        <f t="shared" si="48"/>
        <v>0</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0.06</v>
      </c>
      <c r="F273" s="961"/>
      <c r="G273" s="53">
        <f t="shared" si="45"/>
        <v>1</v>
      </c>
      <c r="H273" s="961"/>
      <c r="I273" s="53">
        <f t="shared" si="46"/>
        <v>1</v>
      </c>
      <c r="J273" s="961"/>
      <c r="K273" s="53">
        <f t="shared" si="47"/>
        <v>1</v>
      </c>
      <c r="L273" s="961"/>
      <c r="M273" s="53">
        <f t="shared" si="48"/>
        <v>0</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0.06</v>
      </c>
      <c r="F274" s="961"/>
      <c r="G274" s="53">
        <f t="shared" si="45"/>
        <v>1</v>
      </c>
      <c r="H274" s="961"/>
      <c r="I274" s="53">
        <f t="shared" si="46"/>
        <v>1</v>
      </c>
      <c r="J274" s="961"/>
      <c r="K274" s="53">
        <f t="shared" si="47"/>
        <v>1</v>
      </c>
      <c r="L274" s="961"/>
      <c r="M274" s="53">
        <f t="shared" si="48"/>
        <v>0</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0.06</v>
      </c>
      <c r="F275" s="961"/>
      <c r="G275" s="53">
        <f t="shared" si="45"/>
        <v>1</v>
      </c>
      <c r="H275" s="961"/>
      <c r="I275" s="53">
        <f t="shared" si="46"/>
        <v>1</v>
      </c>
      <c r="J275" s="961"/>
      <c r="K275" s="53">
        <f t="shared" si="47"/>
        <v>1</v>
      </c>
      <c r="L275" s="961"/>
      <c r="M275" s="53">
        <f t="shared" si="48"/>
        <v>0</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0.06</v>
      </c>
      <c r="F276" s="961"/>
      <c r="G276" s="53">
        <f t="shared" si="45"/>
        <v>1</v>
      </c>
      <c r="H276" s="961"/>
      <c r="I276" s="53">
        <f t="shared" si="46"/>
        <v>1</v>
      </c>
      <c r="J276" s="961"/>
      <c r="K276" s="53">
        <f t="shared" si="47"/>
        <v>1</v>
      </c>
      <c r="L276" s="961"/>
      <c r="M276" s="53">
        <f t="shared" si="48"/>
        <v>0</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0.06</v>
      </c>
      <c r="F277" s="961"/>
      <c r="G277" s="53">
        <f t="shared" si="45"/>
        <v>1</v>
      </c>
      <c r="H277" s="961"/>
      <c r="I277" s="53">
        <f t="shared" si="46"/>
        <v>1</v>
      </c>
      <c r="J277" s="961"/>
      <c r="K277" s="53">
        <f t="shared" si="47"/>
        <v>1</v>
      </c>
      <c r="L277" s="961"/>
      <c r="M277" s="53">
        <f t="shared" si="48"/>
        <v>0</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0.06</v>
      </c>
      <c r="F278" s="961"/>
      <c r="G278" s="53">
        <f t="shared" si="45"/>
        <v>1</v>
      </c>
      <c r="H278" s="961"/>
      <c r="I278" s="53">
        <f t="shared" si="46"/>
        <v>1</v>
      </c>
      <c r="J278" s="961"/>
      <c r="K278" s="53">
        <f t="shared" si="47"/>
        <v>1</v>
      </c>
      <c r="L278" s="961"/>
      <c r="M278" s="53">
        <f t="shared" si="48"/>
        <v>0</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0.06</v>
      </c>
      <c r="F279" s="961"/>
      <c r="G279" s="53">
        <f t="shared" si="45"/>
        <v>1</v>
      </c>
      <c r="H279" s="961"/>
      <c r="I279" s="53">
        <f t="shared" si="46"/>
        <v>1</v>
      </c>
      <c r="J279" s="961"/>
      <c r="K279" s="53">
        <f t="shared" si="47"/>
        <v>1</v>
      </c>
      <c r="L279" s="961"/>
      <c r="M279" s="53">
        <f t="shared" si="48"/>
        <v>0</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0.06</v>
      </c>
      <c r="F280" s="961"/>
      <c r="G280" s="53">
        <f t="shared" si="45"/>
        <v>1</v>
      </c>
      <c r="H280" s="961"/>
      <c r="I280" s="53">
        <f t="shared" si="46"/>
        <v>1</v>
      </c>
      <c r="J280" s="961"/>
      <c r="K280" s="53">
        <f t="shared" si="47"/>
        <v>1</v>
      </c>
      <c r="L280" s="961"/>
      <c r="M280" s="53">
        <f t="shared" si="48"/>
        <v>0</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0.06</v>
      </c>
      <c r="F281" s="961"/>
      <c r="G281" s="53">
        <f t="shared" si="45"/>
        <v>1</v>
      </c>
      <c r="H281" s="961"/>
      <c r="I281" s="53">
        <f t="shared" si="46"/>
        <v>1</v>
      </c>
      <c r="J281" s="961"/>
      <c r="K281" s="53">
        <f t="shared" si="47"/>
        <v>1</v>
      </c>
      <c r="L281" s="961"/>
      <c r="M281" s="53">
        <f t="shared" si="48"/>
        <v>0</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0.06</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0</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0.06</v>
      </c>
      <c r="F283" s="961"/>
      <c r="G283" s="53">
        <f t="shared" si="55"/>
        <v>1</v>
      </c>
      <c r="H283" s="961"/>
      <c r="I283" s="53">
        <f t="shared" si="56"/>
        <v>1</v>
      </c>
      <c r="J283" s="961"/>
      <c r="K283" s="53">
        <f t="shared" si="57"/>
        <v>1</v>
      </c>
      <c r="L283" s="961"/>
      <c r="M283" s="53">
        <f t="shared" si="58"/>
        <v>0</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0.06</v>
      </c>
      <c r="F284" s="961"/>
      <c r="G284" s="53">
        <f t="shared" si="55"/>
        <v>1</v>
      </c>
      <c r="H284" s="961"/>
      <c r="I284" s="53">
        <f t="shared" si="56"/>
        <v>1</v>
      </c>
      <c r="J284" s="961"/>
      <c r="K284" s="53">
        <f t="shared" si="57"/>
        <v>1</v>
      </c>
      <c r="L284" s="961"/>
      <c r="M284" s="53">
        <f t="shared" si="58"/>
        <v>0</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0.06</v>
      </c>
      <c r="F285" s="961"/>
      <c r="G285" s="53">
        <f t="shared" si="55"/>
        <v>1</v>
      </c>
      <c r="H285" s="961"/>
      <c r="I285" s="53">
        <f t="shared" si="56"/>
        <v>1</v>
      </c>
      <c r="J285" s="961"/>
      <c r="K285" s="53">
        <f t="shared" si="57"/>
        <v>1</v>
      </c>
      <c r="L285" s="961"/>
      <c r="M285" s="53">
        <f t="shared" si="58"/>
        <v>0</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0.06</v>
      </c>
      <c r="F286" s="961"/>
      <c r="G286" s="53">
        <f t="shared" si="55"/>
        <v>1</v>
      </c>
      <c r="H286" s="961"/>
      <c r="I286" s="53">
        <f t="shared" si="56"/>
        <v>1</v>
      </c>
      <c r="J286" s="961"/>
      <c r="K286" s="53">
        <f t="shared" si="57"/>
        <v>1</v>
      </c>
      <c r="L286" s="961"/>
      <c r="M286" s="53">
        <f t="shared" si="58"/>
        <v>0</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0.06</v>
      </c>
      <c r="F287" s="961"/>
      <c r="G287" s="53">
        <f t="shared" si="55"/>
        <v>1</v>
      </c>
      <c r="H287" s="961"/>
      <c r="I287" s="53">
        <f t="shared" si="56"/>
        <v>1</v>
      </c>
      <c r="J287" s="961"/>
      <c r="K287" s="53">
        <f t="shared" si="57"/>
        <v>1</v>
      </c>
      <c r="L287" s="961"/>
      <c r="M287" s="53">
        <f t="shared" si="58"/>
        <v>0</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0.06</v>
      </c>
      <c r="F288" s="961"/>
      <c r="G288" s="53">
        <f t="shared" si="55"/>
        <v>1</v>
      </c>
      <c r="H288" s="961"/>
      <c r="I288" s="53">
        <f t="shared" si="56"/>
        <v>1</v>
      </c>
      <c r="J288" s="961"/>
      <c r="K288" s="53">
        <f t="shared" si="57"/>
        <v>1</v>
      </c>
      <c r="L288" s="961"/>
      <c r="M288" s="53">
        <f t="shared" si="58"/>
        <v>0</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0.06</v>
      </c>
      <c r="F289" s="961"/>
      <c r="G289" s="53">
        <f t="shared" si="55"/>
        <v>1</v>
      </c>
      <c r="H289" s="961"/>
      <c r="I289" s="53">
        <f t="shared" si="56"/>
        <v>1</v>
      </c>
      <c r="J289" s="961"/>
      <c r="K289" s="53">
        <f t="shared" si="57"/>
        <v>1</v>
      </c>
      <c r="L289" s="961"/>
      <c r="M289" s="53">
        <f t="shared" si="58"/>
        <v>0</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0.06</v>
      </c>
      <c r="F290" s="961"/>
      <c r="G290" s="53">
        <f t="shared" si="55"/>
        <v>1</v>
      </c>
      <c r="H290" s="961"/>
      <c r="I290" s="53">
        <f t="shared" si="56"/>
        <v>1</v>
      </c>
      <c r="J290" s="961"/>
      <c r="K290" s="53">
        <f t="shared" si="57"/>
        <v>1</v>
      </c>
      <c r="L290" s="961"/>
      <c r="M290" s="53">
        <f t="shared" si="58"/>
        <v>0</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0.06</v>
      </c>
      <c r="F291" s="961"/>
      <c r="G291" s="53">
        <f t="shared" si="55"/>
        <v>1</v>
      </c>
      <c r="H291" s="961"/>
      <c r="I291" s="53">
        <f t="shared" si="56"/>
        <v>1</v>
      </c>
      <c r="J291" s="961"/>
      <c r="K291" s="53">
        <f t="shared" si="57"/>
        <v>1</v>
      </c>
      <c r="L291" s="961"/>
      <c r="M291" s="53">
        <f t="shared" si="58"/>
        <v>0</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0.06</v>
      </c>
      <c r="F292" s="961"/>
      <c r="G292" s="53">
        <f t="shared" si="55"/>
        <v>1</v>
      </c>
      <c r="H292" s="961"/>
      <c r="I292" s="53">
        <f t="shared" si="56"/>
        <v>1</v>
      </c>
      <c r="J292" s="961"/>
      <c r="K292" s="53">
        <f t="shared" si="57"/>
        <v>1</v>
      </c>
      <c r="L292" s="961"/>
      <c r="M292" s="53">
        <f t="shared" si="58"/>
        <v>0</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0.06</v>
      </c>
      <c r="F293" s="961"/>
      <c r="G293" s="53">
        <f t="shared" si="55"/>
        <v>1</v>
      </c>
      <c r="H293" s="961"/>
      <c r="I293" s="53">
        <f t="shared" si="56"/>
        <v>1</v>
      </c>
      <c r="J293" s="961"/>
      <c r="K293" s="53">
        <f t="shared" si="57"/>
        <v>1</v>
      </c>
      <c r="L293" s="961"/>
      <c r="M293" s="53">
        <f t="shared" si="58"/>
        <v>0</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0.06</v>
      </c>
      <c r="F294" s="961"/>
      <c r="G294" s="53">
        <f t="shared" si="55"/>
        <v>1</v>
      </c>
      <c r="H294" s="961"/>
      <c r="I294" s="53">
        <f t="shared" si="56"/>
        <v>1</v>
      </c>
      <c r="J294" s="961"/>
      <c r="K294" s="53">
        <f t="shared" si="57"/>
        <v>1</v>
      </c>
      <c r="L294" s="961"/>
      <c r="M294" s="53">
        <f t="shared" si="58"/>
        <v>0</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0.06</v>
      </c>
      <c r="F295" s="961"/>
      <c r="G295" s="53">
        <f t="shared" si="55"/>
        <v>1</v>
      </c>
      <c r="H295" s="961"/>
      <c r="I295" s="53">
        <f t="shared" si="56"/>
        <v>1</v>
      </c>
      <c r="J295" s="961"/>
      <c r="K295" s="53">
        <f t="shared" si="57"/>
        <v>1</v>
      </c>
      <c r="L295" s="961"/>
      <c r="M295" s="53">
        <f t="shared" si="58"/>
        <v>0</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0.06</v>
      </c>
      <c r="F296" s="961"/>
      <c r="G296" s="53">
        <f t="shared" si="55"/>
        <v>1</v>
      </c>
      <c r="H296" s="961"/>
      <c r="I296" s="53">
        <f t="shared" si="56"/>
        <v>1</v>
      </c>
      <c r="J296" s="961"/>
      <c r="K296" s="53">
        <f t="shared" si="57"/>
        <v>1</v>
      </c>
      <c r="L296" s="961"/>
      <c r="M296" s="53">
        <f t="shared" si="58"/>
        <v>0</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0.06</v>
      </c>
      <c r="F297" s="961"/>
      <c r="G297" s="53">
        <f t="shared" si="55"/>
        <v>1</v>
      </c>
      <c r="H297" s="961"/>
      <c r="I297" s="53">
        <f t="shared" si="56"/>
        <v>1</v>
      </c>
      <c r="J297" s="961"/>
      <c r="K297" s="53">
        <f t="shared" si="57"/>
        <v>1</v>
      </c>
      <c r="L297" s="961"/>
      <c r="M297" s="53">
        <f t="shared" si="58"/>
        <v>0</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0.06</v>
      </c>
      <c r="F298" s="961"/>
      <c r="G298" s="53">
        <f t="shared" si="55"/>
        <v>1</v>
      </c>
      <c r="H298" s="961"/>
      <c r="I298" s="53">
        <f t="shared" si="56"/>
        <v>1</v>
      </c>
      <c r="J298" s="961"/>
      <c r="K298" s="53">
        <f t="shared" si="57"/>
        <v>1</v>
      </c>
      <c r="L298" s="961"/>
      <c r="M298" s="53">
        <f t="shared" si="58"/>
        <v>0</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0.06</v>
      </c>
      <c r="F299" s="961"/>
      <c r="G299" s="53">
        <f t="shared" si="55"/>
        <v>1</v>
      </c>
      <c r="H299" s="961"/>
      <c r="I299" s="53">
        <f t="shared" si="56"/>
        <v>1</v>
      </c>
      <c r="J299" s="961"/>
      <c r="K299" s="53">
        <f t="shared" si="57"/>
        <v>1</v>
      </c>
      <c r="L299" s="961"/>
      <c r="M299" s="53">
        <f t="shared" si="58"/>
        <v>0</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0.06</v>
      </c>
      <c r="F300" s="961"/>
      <c r="G300" s="53">
        <f t="shared" si="55"/>
        <v>1</v>
      </c>
      <c r="H300" s="961"/>
      <c r="I300" s="53">
        <f t="shared" si="56"/>
        <v>1</v>
      </c>
      <c r="J300" s="961"/>
      <c r="K300" s="53">
        <f t="shared" si="57"/>
        <v>1</v>
      </c>
      <c r="L300" s="961"/>
      <c r="M300" s="53">
        <f t="shared" si="58"/>
        <v>0</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0.06</v>
      </c>
      <c r="F301" s="961"/>
      <c r="G301" s="53">
        <f t="shared" si="55"/>
        <v>1</v>
      </c>
      <c r="H301" s="961"/>
      <c r="I301" s="53">
        <f t="shared" si="56"/>
        <v>1</v>
      </c>
      <c r="J301" s="961"/>
      <c r="K301" s="53">
        <f t="shared" si="57"/>
        <v>1</v>
      </c>
      <c r="L301" s="961"/>
      <c r="M301" s="53">
        <f t="shared" si="58"/>
        <v>0</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0.06</v>
      </c>
      <c r="F302" s="961"/>
      <c r="G302" s="53">
        <f t="shared" si="55"/>
        <v>1</v>
      </c>
      <c r="H302" s="961"/>
      <c r="I302" s="53">
        <f t="shared" si="56"/>
        <v>1</v>
      </c>
      <c r="J302" s="961"/>
      <c r="K302" s="53">
        <f t="shared" si="57"/>
        <v>1</v>
      </c>
      <c r="L302" s="961"/>
      <c r="M302" s="53">
        <f t="shared" si="58"/>
        <v>0</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0.06</v>
      </c>
      <c r="F303" s="961"/>
      <c r="G303" s="53">
        <f t="shared" si="55"/>
        <v>1</v>
      </c>
      <c r="H303" s="961"/>
      <c r="I303" s="53">
        <f t="shared" si="56"/>
        <v>1</v>
      </c>
      <c r="J303" s="961"/>
      <c r="K303" s="53">
        <f t="shared" si="57"/>
        <v>1</v>
      </c>
      <c r="L303" s="961"/>
      <c r="M303" s="53">
        <f t="shared" si="58"/>
        <v>0</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0.06</v>
      </c>
      <c r="F304" s="961"/>
      <c r="G304" s="53">
        <f t="shared" si="55"/>
        <v>1</v>
      </c>
      <c r="H304" s="961"/>
      <c r="I304" s="53">
        <f t="shared" si="56"/>
        <v>1</v>
      </c>
      <c r="J304" s="961"/>
      <c r="K304" s="53">
        <f t="shared" si="57"/>
        <v>1</v>
      </c>
      <c r="L304" s="961"/>
      <c r="M304" s="53">
        <f t="shared" si="58"/>
        <v>0</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0.06</v>
      </c>
      <c r="F305" s="961"/>
      <c r="G305" s="53">
        <f t="shared" si="55"/>
        <v>1</v>
      </c>
      <c r="H305" s="961"/>
      <c r="I305" s="53">
        <f t="shared" si="56"/>
        <v>1</v>
      </c>
      <c r="J305" s="961"/>
      <c r="K305" s="53">
        <f t="shared" si="57"/>
        <v>1</v>
      </c>
      <c r="L305" s="961"/>
      <c r="M305" s="53">
        <f t="shared" si="58"/>
        <v>0</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0.06</v>
      </c>
      <c r="F306" s="961"/>
      <c r="G306" s="53">
        <f t="shared" si="55"/>
        <v>1</v>
      </c>
      <c r="H306" s="961"/>
      <c r="I306" s="53">
        <f t="shared" si="56"/>
        <v>1</v>
      </c>
      <c r="J306" s="961"/>
      <c r="K306" s="53">
        <f t="shared" si="57"/>
        <v>1</v>
      </c>
      <c r="L306" s="961"/>
      <c r="M306" s="53">
        <f t="shared" si="58"/>
        <v>0</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0.06</v>
      </c>
      <c r="F307" s="961"/>
      <c r="G307" s="53">
        <f t="shared" si="55"/>
        <v>1</v>
      </c>
      <c r="H307" s="961"/>
      <c r="I307" s="53">
        <f t="shared" si="56"/>
        <v>1</v>
      </c>
      <c r="J307" s="961"/>
      <c r="K307" s="53">
        <f t="shared" si="57"/>
        <v>1</v>
      </c>
      <c r="L307" s="961"/>
      <c r="M307" s="53">
        <f t="shared" si="58"/>
        <v>0</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0.06</v>
      </c>
      <c r="F308" s="961"/>
      <c r="G308" s="53">
        <f t="shared" si="55"/>
        <v>1</v>
      </c>
      <c r="H308" s="961"/>
      <c r="I308" s="53">
        <f t="shared" si="56"/>
        <v>1</v>
      </c>
      <c r="J308" s="961"/>
      <c r="K308" s="53">
        <f t="shared" si="57"/>
        <v>1</v>
      </c>
      <c r="L308" s="961"/>
      <c r="M308" s="53">
        <f t="shared" si="58"/>
        <v>0</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0.06</v>
      </c>
      <c r="F309" s="961"/>
      <c r="G309" s="53">
        <f t="shared" si="55"/>
        <v>1</v>
      </c>
      <c r="H309" s="961"/>
      <c r="I309" s="53">
        <f t="shared" si="56"/>
        <v>1</v>
      </c>
      <c r="J309" s="961"/>
      <c r="K309" s="53">
        <f t="shared" si="57"/>
        <v>1</v>
      </c>
      <c r="L309" s="961"/>
      <c r="M309" s="53">
        <f t="shared" si="58"/>
        <v>0</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0.06</v>
      </c>
      <c r="F310" s="961"/>
      <c r="G310" s="53">
        <f t="shared" si="55"/>
        <v>1</v>
      </c>
      <c r="H310" s="961"/>
      <c r="I310" s="53">
        <f t="shared" si="56"/>
        <v>1</v>
      </c>
      <c r="J310" s="961"/>
      <c r="K310" s="53">
        <f t="shared" si="57"/>
        <v>1</v>
      </c>
      <c r="L310" s="961"/>
      <c r="M310" s="53">
        <f t="shared" si="58"/>
        <v>0</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0.06</v>
      </c>
      <c r="F311" s="961"/>
      <c r="G311" s="53">
        <f t="shared" si="55"/>
        <v>1</v>
      </c>
      <c r="H311" s="961"/>
      <c r="I311" s="53">
        <f t="shared" si="56"/>
        <v>1</v>
      </c>
      <c r="J311" s="961"/>
      <c r="K311" s="53">
        <f t="shared" si="57"/>
        <v>1</v>
      </c>
      <c r="L311" s="961"/>
      <c r="M311" s="53">
        <f t="shared" si="58"/>
        <v>0</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0.06</v>
      </c>
      <c r="F312" s="961"/>
      <c r="G312" s="53">
        <f t="shared" si="55"/>
        <v>1</v>
      </c>
      <c r="H312" s="961"/>
      <c r="I312" s="53">
        <f t="shared" si="56"/>
        <v>1</v>
      </c>
      <c r="J312" s="961"/>
      <c r="K312" s="53">
        <f t="shared" si="57"/>
        <v>1</v>
      </c>
      <c r="L312" s="961"/>
      <c r="M312" s="53">
        <f t="shared" si="58"/>
        <v>0</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0.06</v>
      </c>
      <c r="F313" s="961"/>
      <c r="G313" s="53">
        <f t="shared" si="55"/>
        <v>1</v>
      </c>
      <c r="H313" s="961"/>
      <c r="I313" s="53">
        <f t="shared" si="56"/>
        <v>1</v>
      </c>
      <c r="J313" s="961"/>
      <c r="K313" s="53">
        <f t="shared" si="57"/>
        <v>1</v>
      </c>
      <c r="L313" s="961"/>
      <c r="M313" s="53">
        <f t="shared" si="58"/>
        <v>0</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0.06</v>
      </c>
      <c r="F314" s="961"/>
      <c r="G314" s="53">
        <f t="shared" si="55"/>
        <v>1</v>
      </c>
      <c r="H314" s="961"/>
      <c r="I314" s="53">
        <f t="shared" si="56"/>
        <v>1</v>
      </c>
      <c r="J314" s="961"/>
      <c r="K314" s="53">
        <f t="shared" si="57"/>
        <v>1</v>
      </c>
      <c r="L314" s="961"/>
      <c r="M314" s="53">
        <f t="shared" si="58"/>
        <v>0</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0.06</v>
      </c>
      <c r="F315" s="961"/>
      <c r="G315" s="53">
        <f t="shared" si="55"/>
        <v>1</v>
      </c>
      <c r="H315" s="961"/>
      <c r="I315" s="53">
        <f t="shared" si="56"/>
        <v>1</v>
      </c>
      <c r="J315" s="961"/>
      <c r="K315" s="53">
        <f t="shared" si="57"/>
        <v>1</v>
      </c>
      <c r="L315" s="961"/>
      <c r="M315" s="53">
        <f t="shared" si="58"/>
        <v>0</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0.06</v>
      </c>
      <c r="F316" s="961"/>
      <c r="G316" s="53">
        <f t="shared" si="55"/>
        <v>1</v>
      </c>
      <c r="H316" s="961"/>
      <c r="I316" s="53">
        <f t="shared" si="56"/>
        <v>1</v>
      </c>
      <c r="J316" s="961"/>
      <c r="K316" s="53">
        <f t="shared" si="57"/>
        <v>1</v>
      </c>
      <c r="L316" s="961"/>
      <c r="M316" s="53">
        <f t="shared" si="58"/>
        <v>0</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0.06</v>
      </c>
      <c r="F317" s="961"/>
      <c r="G317" s="53">
        <f t="shared" si="55"/>
        <v>1</v>
      </c>
      <c r="H317" s="961"/>
      <c r="I317" s="53">
        <f t="shared" si="56"/>
        <v>1</v>
      </c>
      <c r="J317" s="961"/>
      <c r="K317" s="53">
        <f t="shared" si="57"/>
        <v>1</v>
      </c>
      <c r="L317" s="961"/>
      <c r="M317" s="53">
        <f t="shared" si="58"/>
        <v>0</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0.06</v>
      </c>
      <c r="F318" s="961"/>
      <c r="G318" s="53">
        <f t="shared" si="55"/>
        <v>1</v>
      </c>
      <c r="H318" s="961"/>
      <c r="I318" s="53">
        <f t="shared" si="56"/>
        <v>1</v>
      </c>
      <c r="J318" s="961"/>
      <c r="K318" s="53">
        <f t="shared" si="57"/>
        <v>1</v>
      </c>
      <c r="L318" s="961"/>
      <c r="M318" s="53">
        <f t="shared" si="58"/>
        <v>0</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0.06</v>
      </c>
      <c r="F319" s="961"/>
      <c r="G319" s="53">
        <f t="shared" si="55"/>
        <v>1</v>
      </c>
      <c r="H319" s="961"/>
      <c r="I319" s="53">
        <f t="shared" si="56"/>
        <v>1</v>
      </c>
      <c r="J319" s="961"/>
      <c r="K319" s="53">
        <f t="shared" si="57"/>
        <v>1</v>
      </c>
      <c r="L319" s="961"/>
      <c r="M319" s="53">
        <f t="shared" si="58"/>
        <v>0</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0.06</v>
      </c>
      <c r="F320" s="961"/>
      <c r="G320" s="53">
        <f t="shared" si="55"/>
        <v>1</v>
      </c>
      <c r="H320" s="961"/>
      <c r="I320" s="53">
        <f t="shared" si="56"/>
        <v>1</v>
      </c>
      <c r="J320" s="961"/>
      <c r="K320" s="53">
        <f t="shared" si="57"/>
        <v>1</v>
      </c>
      <c r="L320" s="961"/>
      <c r="M320" s="53">
        <f t="shared" si="58"/>
        <v>0</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0.06</v>
      </c>
      <c r="F321" s="961"/>
      <c r="G321" s="53">
        <f t="shared" si="55"/>
        <v>1</v>
      </c>
      <c r="H321" s="961"/>
      <c r="I321" s="53">
        <f t="shared" si="56"/>
        <v>1</v>
      </c>
      <c r="J321" s="961"/>
      <c r="K321" s="53">
        <f t="shared" si="57"/>
        <v>1</v>
      </c>
      <c r="L321" s="961"/>
      <c r="M321" s="53">
        <f t="shared" si="58"/>
        <v>0</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0.06</v>
      </c>
      <c r="F322" s="961"/>
      <c r="G322" s="53">
        <f t="shared" si="55"/>
        <v>1</v>
      </c>
      <c r="H322" s="961"/>
      <c r="I322" s="53">
        <f t="shared" si="56"/>
        <v>1</v>
      </c>
      <c r="J322" s="961"/>
      <c r="K322" s="53">
        <f t="shared" si="57"/>
        <v>1</v>
      </c>
      <c r="L322" s="961"/>
      <c r="M322" s="53">
        <f t="shared" si="58"/>
        <v>0</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0.06</v>
      </c>
      <c r="F323" s="961"/>
      <c r="G323" s="53">
        <f t="shared" si="55"/>
        <v>1</v>
      </c>
      <c r="H323" s="961"/>
      <c r="I323" s="53">
        <f t="shared" si="56"/>
        <v>1</v>
      </c>
      <c r="J323" s="961"/>
      <c r="K323" s="53">
        <f t="shared" si="57"/>
        <v>1</v>
      </c>
      <c r="L323" s="961"/>
      <c r="M323" s="53">
        <f t="shared" si="58"/>
        <v>0</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0.06</v>
      </c>
      <c r="F324" s="961"/>
      <c r="G324" s="53">
        <f t="shared" si="55"/>
        <v>1</v>
      </c>
      <c r="H324" s="961"/>
      <c r="I324" s="53">
        <f t="shared" si="56"/>
        <v>1</v>
      </c>
      <c r="J324" s="961"/>
      <c r="K324" s="53">
        <f t="shared" si="57"/>
        <v>1</v>
      </c>
      <c r="L324" s="961"/>
      <c r="M324" s="53">
        <f t="shared" si="58"/>
        <v>0</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0.06</v>
      </c>
      <c r="F325" s="961"/>
      <c r="G325" s="53">
        <f t="shared" si="55"/>
        <v>1</v>
      </c>
      <c r="H325" s="961"/>
      <c r="I325" s="53">
        <f t="shared" si="56"/>
        <v>1</v>
      </c>
      <c r="J325" s="961"/>
      <c r="K325" s="53">
        <f t="shared" si="57"/>
        <v>1</v>
      </c>
      <c r="L325" s="961"/>
      <c r="M325" s="53">
        <f t="shared" si="58"/>
        <v>0</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0.06</v>
      </c>
      <c r="F326" s="961"/>
      <c r="G326" s="53">
        <f t="shared" si="55"/>
        <v>1</v>
      </c>
      <c r="H326" s="961"/>
      <c r="I326" s="53">
        <f t="shared" si="56"/>
        <v>1</v>
      </c>
      <c r="J326" s="961"/>
      <c r="K326" s="53">
        <f t="shared" si="57"/>
        <v>1</v>
      </c>
      <c r="L326" s="961"/>
      <c r="M326" s="53">
        <f t="shared" si="58"/>
        <v>0</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0.06</v>
      </c>
      <c r="F327" s="961"/>
      <c r="G327" s="53">
        <f t="shared" si="55"/>
        <v>1</v>
      </c>
      <c r="H327" s="961"/>
      <c r="I327" s="53">
        <f t="shared" si="56"/>
        <v>1</v>
      </c>
      <c r="J327" s="961"/>
      <c r="K327" s="53">
        <f t="shared" si="57"/>
        <v>1</v>
      </c>
      <c r="L327" s="961"/>
      <c r="M327" s="53">
        <f t="shared" si="58"/>
        <v>0</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0.06</v>
      </c>
      <c r="F328" s="961"/>
      <c r="G328" s="53">
        <f t="shared" si="55"/>
        <v>1</v>
      </c>
      <c r="H328" s="961"/>
      <c r="I328" s="53">
        <f t="shared" si="56"/>
        <v>1</v>
      </c>
      <c r="J328" s="961"/>
      <c r="K328" s="53">
        <f t="shared" si="57"/>
        <v>1</v>
      </c>
      <c r="L328" s="961"/>
      <c r="M328" s="53">
        <f t="shared" si="58"/>
        <v>0</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0.06</v>
      </c>
      <c r="F329" s="961"/>
      <c r="G329" s="53">
        <f t="shared" si="55"/>
        <v>1</v>
      </c>
      <c r="H329" s="961"/>
      <c r="I329" s="53">
        <f t="shared" si="56"/>
        <v>1</v>
      </c>
      <c r="J329" s="961"/>
      <c r="K329" s="53">
        <f t="shared" si="57"/>
        <v>1</v>
      </c>
      <c r="L329" s="961"/>
      <c r="M329" s="53">
        <f t="shared" si="58"/>
        <v>0</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0.06</v>
      </c>
      <c r="F330" s="961"/>
      <c r="G330" s="53">
        <f t="shared" si="55"/>
        <v>1</v>
      </c>
      <c r="H330" s="961"/>
      <c r="I330" s="53">
        <f t="shared" si="56"/>
        <v>1</v>
      </c>
      <c r="J330" s="961"/>
      <c r="K330" s="53">
        <f t="shared" si="57"/>
        <v>1</v>
      </c>
      <c r="L330" s="961"/>
      <c r="M330" s="53">
        <f t="shared" si="58"/>
        <v>0</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0.06</v>
      </c>
      <c r="F331" s="961"/>
      <c r="G331" s="53">
        <f t="shared" si="55"/>
        <v>1</v>
      </c>
      <c r="H331" s="961"/>
      <c r="I331" s="53">
        <f t="shared" si="56"/>
        <v>1</v>
      </c>
      <c r="J331" s="961"/>
      <c r="K331" s="53">
        <f t="shared" si="57"/>
        <v>1</v>
      </c>
      <c r="L331" s="961"/>
      <c r="M331" s="53">
        <f t="shared" si="58"/>
        <v>0</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0.06</v>
      </c>
      <c r="F332" s="961"/>
      <c r="G332" s="53">
        <f t="shared" si="55"/>
        <v>1</v>
      </c>
      <c r="H332" s="961"/>
      <c r="I332" s="53">
        <f t="shared" si="56"/>
        <v>1</v>
      </c>
      <c r="J332" s="961"/>
      <c r="K332" s="53">
        <f t="shared" si="57"/>
        <v>1</v>
      </c>
      <c r="L332" s="961"/>
      <c r="M332" s="53">
        <f t="shared" si="58"/>
        <v>0</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0.06</v>
      </c>
      <c r="F333" s="961"/>
      <c r="G333" s="53">
        <f t="shared" si="55"/>
        <v>1</v>
      </c>
      <c r="H333" s="961"/>
      <c r="I333" s="53">
        <f t="shared" si="56"/>
        <v>1</v>
      </c>
      <c r="J333" s="961"/>
      <c r="K333" s="53">
        <f t="shared" si="57"/>
        <v>1</v>
      </c>
      <c r="L333" s="961"/>
      <c r="M333" s="53">
        <f t="shared" si="58"/>
        <v>0</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0.06</v>
      </c>
      <c r="F334" s="961"/>
      <c r="G334" s="53">
        <f t="shared" si="55"/>
        <v>1</v>
      </c>
      <c r="H334" s="961"/>
      <c r="I334" s="53">
        <f t="shared" si="56"/>
        <v>1</v>
      </c>
      <c r="J334" s="961"/>
      <c r="K334" s="53">
        <f t="shared" si="57"/>
        <v>1</v>
      </c>
      <c r="L334" s="961"/>
      <c r="M334" s="53">
        <f t="shared" si="58"/>
        <v>0</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0.06</v>
      </c>
      <c r="F335" s="961"/>
      <c r="G335" s="53">
        <f t="shared" si="55"/>
        <v>1</v>
      </c>
      <c r="H335" s="961"/>
      <c r="I335" s="53">
        <f t="shared" si="56"/>
        <v>1</v>
      </c>
      <c r="J335" s="961"/>
      <c r="K335" s="53">
        <f t="shared" si="57"/>
        <v>1</v>
      </c>
      <c r="L335" s="961"/>
      <c r="M335" s="53">
        <f t="shared" si="58"/>
        <v>0</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0.06</v>
      </c>
      <c r="F336" s="961"/>
      <c r="G336" s="53">
        <f t="shared" si="55"/>
        <v>1</v>
      </c>
      <c r="H336" s="961"/>
      <c r="I336" s="53">
        <f t="shared" si="56"/>
        <v>1</v>
      </c>
      <c r="J336" s="961"/>
      <c r="K336" s="53">
        <f t="shared" si="57"/>
        <v>1</v>
      </c>
      <c r="L336" s="961"/>
      <c r="M336" s="53">
        <f t="shared" si="58"/>
        <v>0</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0.06</v>
      </c>
      <c r="F337" s="961"/>
      <c r="G337" s="53">
        <f t="shared" si="55"/>
        <v>1</v>
      </c>
      <c r="H337" s="961"/>
      <c r="I337" s="53">
        <f t="shared" si="56"/>
        <v>1</v>
      </c>
      <c r="J337" s="961"/>
      <c r="K337" s="53">
        <f t="shared" si="57"/>
        <v>1</v>
      </c>
      <c r="L337" s="961"/>
      <c r="M337" s="53">
        <f t="shared" si="58"/>
        <v>0</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0.06</v>
      </c>
      <c r="F338" s="961"/>
      <c r="G338" s="53">
        <f t="shared" si="55"/>
        <v>1</v>
      </c>
      <c r="H338" s="961"/>
      <c r="I338" s="53">
        <f t="shared" si="56"/>
        <v>1</v>
      </c>
      <c r="J338" s="961"/>
      <c r="K338" s="53">
        <f t="shared" si="57"/>
        <v>1</v>
      </c>
      <c r="L338" s="961"/>
      <c r="M338" s="53">
        <f t="shared" si="58"/>
        <v>0</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0.06</v>
      </c>
      <c r="F339" s="961"/>
      <c r="G339" s="53">
        <f t="shared" si="55"/>
        <v>1</v>
      </c>
      <c r="H339" s="961"/>
      <c r="I339" s="53">
        <f t="shared" si="56"/>
        <v>1</v>
      </c>
      <c r="J339" s="961"/>
      <c r="K339" s="53">
        <f t="shared" si="57"/>
        <v>1</v>
      </c>
      <c r="L339" s="961"/>
      <c r="M339" s="53">
        <f t="shared" si="58"/>
        <v>0</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0.06</v>
      </c>
      <c r="F340" s="961"/>
      <c r="G340" s="53">
        <f t="shared" si="55"/>
        <v>1</v>
      </c>
      <c r="H340" s="961"/>
      <c r="I340" s="53">
        <f t="shared" si="56"/>
        <v>1</v>
      </c>
      <c r="J340" s="961"/>
      <c r="K340" s="53">
        <f t="shared" si="57"/>
        <v>1</v>
      </c>
      <c r="L340" s="961"/>
      <c r="M340" s="53">
        <f t="shared" si="58"/>
        <v>0</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0.06</v>
      </c>
      <c r="F341" s="961"/>
      <c r="G341" s="53">
        <f t="shared" si="55"/>
        <v>1</v>
      </c>
      <c r="H341" s="961"/>
      <c r="I341" s="53">
        <f t="shared" si="56"/>
        <v>1</v>
      </c>
      <c r="J341" s="961"/>
      <c r="K341" s="53">
        <f t="shared" si="57"/>
        <v>1</v>
      </c>
      <c r="L341" s="961"/>
      <c r="M341" s="53">
        <f t="shared" si="58"/>
        <v>0</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0.06</v>
      </c>
      <c r="F342" s="961"/>
      <c r="G342" s="53">
        <f t="shared" si="55"/>
        <v>1</v>
      </c>
      <c r="H342" s="961"/>
      <c r="I342" s="53">
        <f t="shared" si="56"/>
        <v>1</v>
      </c>
      <c r="J342" s="961"/>
      <c r="K342" s="53">
        <f t="shared" si="57"/>
        <v>1</v>
      </c>
      <c r="L342" s="961"/>
      <c r="M342" s="53">
        <f t="shared" si="58"/>
        <v>0</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0.06</v>
      </c>
      <c r="F343" s="961"/>
      <c r="G343" s="53">
        <f t="shared" si="55"/>
        <v>1</v>
      </c>
      <c r="H343" s="961"/>
      <c r="I343" s="53">
        <f t="shared" si="56"/>
        <v>1</v>
      </c>
      <c r="J343" s="961"/>
      <c r="K343" s="53">
        <f t="shared" si="57"/>
        <v>1</v>
      </c>
      <c r="L343" s="961"/>
      <c r="M343" s="53">
        <f t="shared" si="58"/>
        <v>0</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0.06</v>
      </c>
      <c r="F344" s="961"/>
      <c r="G344" s="53">
        <f t="shared" si="55"/>
        <v>1</v>
      </c>
      <c r="H344" s="961"/>
      <c r="I344" s="53">
        <f t="shared" si="56"/>
        <v>1</v>
      </c>
      <c r="J344" s="961"/>
      <c r="K344" s="53">
        <f t="shared" si="57"/>
        <v>1</v>
      </c>
      <c r="L344" s="961"/>
      <c r="M344" s="53">
        <f t="shared" si="58"/>
        <v>0</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0.06</v>
      </c>
      <c r="F345" s="961"/>
      <c r="G345" s="53">
        <f t="shared" si="55"/>
        <v>1</v>
      </c>
      <c r="H345" s="961"/>
      <c r="I345" s="53">
        <f t="shared" si="56"/>
        <v>1</v>
      </c>
      <c r="J345" s="961"/>
      <c r="K345" s="53">
        <f t="shared" si="57"/>
        <v>1</v>
      </c>
      <c r="L345" s="961"/>
      <c r="M345" s="53">
        <f t="shared" si="58"/>
        <v>0</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0.06</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0</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0.06</v>
      </c>
      <c r="F347" s="961"/>
      <c r="G347" s="53">
        <f t="shared" si="66"/>
        <v>1</v>
      </c>
      <c r="H347" s="961"/>
      <c r="I347" s="53">
        <f t="shared" si="67"/>
        <v>1</v>
      </c>
      <c r="J347" s="961"/>
      <c r="K347" s="53">
        <f t="shared" si="68"/>
        <v>1</v>
      </c>
      <c r="L347" s="961"/>
      <c r="M347" s="53">
        <f t="shared" si="69"/>
        <v>0</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0.06</v>
      </c>
      <c r="F348" s="961"/>
      <c r="G348" s="53">
        <f t="shared" si="66"/>
        <v>1</v>
      </c>
      <c r="H348" s="961"/>
      <c r="I348" s="53">
        <f t="shared" si="67"/>
        <v>1</v>
      </c>
      <c r="J348" s="961"/>
      <c r="K348" s="53">
        <f t="shared" si="68"/>
        <v>1</v>
      </c>
      <c r="L348" s="961"/>
      <c r="M348" s="53">
        <f t="shared" si="69"/>
        <v>0</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0.06</v>
      </c>
      <c r="F349" s="961"/>
      <c r="G349" s="53">
        <f t="shared" si="66"/>
        <v>1</v>
      </c>
      <c r="H349" s="961"/>
      <c r="I349" s="53">
        <f t="shared" si="67"/>
        <v>1</v>
      </c>
      <c r="J349" s="961"/>
      <c r="K349" s="53">
        <f t="shared" si="68"/>
        <v>1</v>
      </c>
      <c r="L349" s="961"/>
      <c r="M349" s="53">
        <f t="shared" si="69"/>
        <v>0</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0.06</v>
      </c>
      <c r="F350" s="961"/>
      <c r="G350" s="53">
        <f t="shared" si="66"/>
        <v>1</v>
      </c>
      <c r="H350" s="961"/>
      <c r="I350" s="53">
        <f t="shared" si="67"/>
        <v>1</v>
      </c>
      <c r="J350" s="961"/>
      <c r="K350" s="53">
        <f t="shared" si="68"/>
        <v>1</v>
      </c>
      <c r="L350" s="961"/>
      <c r="M350" s="53">
        <f t="shared" si="69"/>
        <v>0</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0.06</v>
      </c>
      <c r="F351" s="961"/>
      <c r="G351" s="53">
        <f t="shared" si="66"/>
        <v>1</v>
      </c>
      <c r="H351" s="961"/>
      <c r="I351" s="53">
        <f t="shared" si="67"/>
        <v>1</v>
      </c>
      <c r="J351" s="961"/>
      <c r="K351" s="53">
        <f t="shared" si="68"/>
        <v>1</v>
      </c>
      <c r="L351" s="961"/>
      <c r="M351" s="53">
        <f t="shared" si="69"/>
        <v>0</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0.06</v>
      </c>
      <c r="F352" s="961"/>
      <c r="G352" s="53">
        <f t="shared" si="66"/>
        <v>1</v>
      </c>
      <c r="H352" s="961"/>
      <c r="I352" s="53">
        <f t="shared" si="67"/>
        <v>1</v>
      </c>
      <c r="J352" s="961"/>
      <c r="K352" s="53">
        <f t="shared" si="68"/>
        <v>1</v>
      </c>
      <c r="L352" s="961"/>
      <c r="M352" s="53">
        <f t="shared" si="69"/>
        <v>0</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0.06</v>
      </c>
      <c r="F353" s="961"/>
      <c r="G353" s="53">
        <f t="shared" si="66"/>
        <v>1</v>
      </c>
      <c r="H353" s="961"/>
      <c r="I353" s="53">
        <f t="shared" si="67"/>
        <v>1</v>
      </c>
      <c r="J353" s="961"/>
      <c r="K353" s="53">
        <f t="shared" si="68"/>
        <v>1</v>
      </c>
      <c r="L353" s="961"/>
      <c r="M353" s="53">
        <f t="shared" si="69"/>
        <v>0</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0.06</v>
      </c>
      <c r="F354" s="961"/>
      <c r="G354" s="53">
        <f t="shared" si="66"/>
        <v>1</v>
      </c>
      <c r="H354" s="961"/>
      <c r="I354" s="53">
        <f t="shared" si="67"/>
        <v>1</v>
      </c>
      <c r="J354" s="961"/>
      <c r="K354" s="53">
        <f t="shared" si="68"/>
        <v>1</v>
      </c>
      <c r="L354" s="961"/>
      <c r="M354" s="53">
        <f t="shared" si="69"/>
        <v>0</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0.06</v>
      </c>
      <c r="F355" s="961"/>
      <c r="G355" s="53">
        <f t="shared" si="66"/>
        <v>1</v>
      </c>
      <c r="H355" s="961"/>
      <c r="I355" s="53">
        <f t="shared" si="67"/>
        <v>1</v>
      </c>
      <c r="J355" s="961"/>
      <c r="K355" s="53">
        <f t="shared" si="68"/>
        <v>1</v>
      </c>
      <c r="L355" s="961"/>
      <c r="M355" s="53">
        <f t="shared" si="69"/>
        <v>0</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0.06</v>
      </c>
      <c r="F356" s="961"/>
      <c r="G356" s="53">
        <f t="shared" si="66"/>
        <v>1</v>
      </c>
      <c r="H356" s="961"/>
      <c r="I356" s="53">
        <f t="shared" si="67"/>
        <v>1</v>
      </c>
      <c r="J356" s="961"/>
      <c r="K356" s="53">
        <f t="shared" si="68"/>
        <v>1</v>
      </c>
      <c r="L356" s="961"/>
      <c r="M356" s="53">
        <f t="shared" si="69"/>
        <v>0</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0.06</v>
      </c>
      <c r="F357" s="961"/>
      <c r="G357" s="53">
        <f t="shared" si="66"/>
        <v>1</v>
      </c>
      <c r="H357" s="961"/>
      <c r="I357" s="53">
        <f t="shared" si="67"/>
        <v>1</v>
      </c>
      <c r="J357" s="961"/>
      <c r="K357" s="53">
        <f t="shared" si="68"/>
        <v>1</v>
      </c>
      <c r="L357" s="961"/>
      <c r="M357" s="53">
        <f t="shared" si="69"/>
        <v>0</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0.06</v>
      </c>
      <c r="F358" s="961"/>
      <c r="G358" s="53">
        <f t="shared" si="66"/>
        <v>1</v>
      </c>
      <c r="H358" s="961"/>
      <c r="I358" s="53">
        <f t="shared" si="67"/>
        <v>1</v>
      </c>
      <c r="J358" s="961"/>
      <c r="K358" s="53">
        <f t="shared" si="68"/>
        <v>1</v>
      </c>
      <c r="L358" s="961"/>
      <c r="M358" s="53">
        <f t="shared" si="69"/>
        <v>0</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0.06</v>
      </c>
      <c r="F359" s="961"/>
      <c r="G359" s="53">
        <f t="shared" si="66"/>
        <v>1</v>
      </c>
      <c r="H359" s="961"/>
      <c r="I359" s="53">
        <f t="shared" si="67"/>
        <v>1</v>
      </c>
      <c r="J359" s="961"/>
      <c r="K359" s="53">
        <f t="shared" si="68"/>
        <v>1</v>
      </c>
      <c r="L359" s="961"/>
      <c r="M359" s="53">
        <f t="shared" si="69"/>
        <v>0</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0.06</v>
      </c>
      <c r="F360" s="961"/>
      <c r="G360" s="53">
        <f t="shared" si="66"/>
        <v>1</v>
      </c>
      <c r="H360" s="961"/>
      <c r="I360" s="53">
        <f t="shared" si="67"/>
        <v>1</v>
      </c>
      <c r="J360" s="961"/>
      <c r="K360" s="53">
        <f t="shared" si="68"/>
        <v>1</v>
      </c>
      <c r="L360" s="961"/>
      <c r="M360" s="53">
        <f t="shared" si="69"/>
        <v>0</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0.06</v>
      </c>
      <c r="F361" s="961"/>
      <c r="G361" s="53">
        <f t="shared" si="66"/>
        <v>1</v>
      </c>
      <c r="H361" s="961"/>
      <c r="I361" s="53">
        <f t="shared" si="67"/>
        <v>1</v>
      </c>
      <c r="J361" s="961"/>
      <c r="K361" s="53">
        <f t="shared" si="68"/>
        <v>1</v>
      </c>
      <c r="L361" s="961"/>
      <c r="M361" s="53">
        <f t="shared" si="69"/>
        <v>0</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0.06</v>
      </c>
      <c r="F362" s="961"/>
      <c r="G362" s="53">
        <f t="shared" si="66"/>
        <v>1</v>
      </c>
      <c r="H362" s="961"/>
      <c r="I362" s="53">
        <f t="shared" si="67"/>
        <v>1</v>
      </c>
      <c r="J362" s="961"/>
      <c r="K362" s="53">
        <f t="shared" si="68"/>
        <v>1</v>
      </c>
      <c r="L362" s="961"/>
      <c r="M362" s="53">
        <f t="shared" si="69"/>
        <v>0</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0.06</v>
      </c>
      <c r="F363" s="961"/>
      <c r="G363" s="53">
        <f t="shared" si="66"/>
        <v>1</v>
      </c>
      <c r="H363" s="961"/>
      <c r="I363" s="53">
        <f t="shared" si="67"/>
        <v>1</v>
      </c>
      <c r="J363" s="961"/>
      <c r="K363" s="53">
        <f t="shared" si="68"/>
        <v>1</v>
      </c>
      <c r="L363" s="961"/>
      <c r="M363" s="53">
        <f t="shared" si="69"/>
        <v>0</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0.06</v>
      </c>
      <c r="F364" s="961"/>
      <c r="G364" s="53">
        <f t="shared" si="66"/>
        <v>1</v>
      </c>
      <c r="H364" s="961"/>
      <c r="I364" s="53">
        <f t="shared" si="67"/>
        <v>1</v>
      </c>
      <c r="J364" s="961"/>
      <c r="K364" s="53">
        <f t="shared" si="68"/>
        <v>1</v>
      </c>
      <c r="L364" s="961"/>
      <c r="M364" s="53">
        <f t="shared" si="69"/>
        <v>0</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0.06</v>
      </c>
      <c r="F365" s="961"/>
      <c r="G365" s="53">
        <f t="shared" si="66"/>
        <v>1</v>
      </c>
      <c r="H365" s="961"/>
      <c r="I365" s="53">
        <f t="shared" si="67"/>
        <v>1</v>
      </c>
      <c r="J365" s="961"/>
      <c r="K365" s="53">
        <f t="shared" si="68"/>
        <v>1</v>
      </c>
      <c r="L365" s="961"/>
      <c r="M365" s="53">
        <f t="shared" si="69"/>
        <v>0</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0.06</v>
      </c>
      <c r="F366" s="961"/>
      <c r="G366" s="53">
        <f t="shared" si="66"/>
        <v>1</v>
      </c>
      <c r="H366" s="961"/>
      <c r="I366" s="53">
        <f t="shared" si="67"/>
        <v>1</v>
      </c>
      <c r="J366" s="961"/>
      <c r="K366" s="53">
        <f t="shared" si="68"/>
        <v>1</v>
      </c>
      <c r="L366" s="961"/>
      <c r="M366" s="53">
        <f t="shared" si="69"/>
        <v>0</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0.06</v>
      </c>
      <c r="F367" s="961"/>
      <c r="G367" s="53">
        <f t="shared" si="66"/>
        <v>1</v>
      </c>
      <c r="H367" s="961"/>
      <c r="I367" s="53">
        <f t="shared" si="67"/>
        <v>1</v>
      </c>
      <c r="J367" s="961"/>
      <c r="K367" s="53">
        <f t="shared" si="68"/>
        <v>1</v>
      </c>
      <c r="L367" s="961"/>
      <c r="M367" s="53">
        <f t="shared" si="69"/>
        <v>0</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0.06</v>
      </c>
      <c r="F368" s="961"/>
      <c r="G368" s="53">
        <f t="shared" si="66"/>
        <v>1</v>
      </c>
      <c r="H368" s="961"/>
      <c r="I368" s="53">
        <f t="shared" si="67"/>
        <v>1</v>
      </c>
      <c r="J368" s="961"/>
      <c r="K368" s="53">
        <f t="shared" si="68"/>
        <v>1</v>
      </c>
      <c r="L368" s="961"/>
      <c r="M368" s="53">
        <f t="shared" si="69"/>
        <v>0</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0.06</v>
      </c>
      <c r="F369" s="961"/>
      <c r="G369" s="53">
        <f t="shared" si="66"/>
        <v>1</v>
      </c>
      <c r="H369" s="961"/>
      <c r="I369" s="53">
        <f t="shared" si="67"/>
        <v>1</v>
      </c>
      <c r="J369" s="961"/>
      <c r="K369" s="53">
        <f t="shared" si="68"/>
        <v>1</v>
      </c>
      <c r="L369" s="961"/>
      <c r="M369" s="53">
        <f t="shared" si="69"/>
        <v>0</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0.06</v>
      </c>
      <c r="F370" s="961"/>
      <c r="G370" s="53">
        <f t="shared" si="66"/>
        <v>1</v>
      </c>
      <c r="H370" s="961"/>
      <c r="I370" s="53">
        <f t="shared" si="67"/>
        <v>1</v>
      </c>
      <c r="J370" s="961"/>
      <c r="K370" s="53">
        <f t="shared" si="68"/>
        <v>1</v>
      </c>
      <c r="L370" s="961"/>
      <c r="M370" s="53">
        <f t="shared" si="69"/>
        <v>0</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0.06</v>
      </c>
      <c r="F371" s="961"/>
      <c r="G371" s="53">
        <f t="shared" si="66"/>
        <v>1</v>
      </c>
      <c r="H371" s="961"/>
      <c r="I371" s="53">
        <f t="shared" si="67"/>
        <v>1</v>
      </c>
      <c r="J371" s="961"/>
      <c r="K371" s="53">
        <f t="shared" si="68"/>
        <v>1</v>
      </c>
      <c r="L371" s="961"/>
      <c r="M371" s="53">
        <f t="shared" si="69"/>
        <v>0</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0.06</v>
      </c>
      <c r="F372" s="961"/>
      <c r="G372" s="53">
        <f t="shared" si="66"/>
        <v>1</v>
      </c>
      <c r="H372" s="961"/>
      <c r="I372" s="53">
        <f t="shared" si="67"/>
        <v>1</v>
      </c>
      <c r="J372" s="961"/>
      <c r="K372" s="53">
        <f t="shared" si="68"/>
        <v>1</v>
      </c>
      <c r="L372" s="961"/>
      <c r="M372" s="53">
        <f t="shared" si="69"/>
        <v>0</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0.06</v>
      </c>
      <c r="F373" s="961"/>
      <c r="G373" s="53">
        <f t="shared" si="66"/>
        <v>1</v>
      </c>
      <c r="H373" s="961"/>
      <c r="I373" s="53">
        <f t="shared" si="67"/>
        <v>1</v>
      </c>
      <c r="J373" s="961"/>
      <c r="K373" s="53">
        <f t="shared" si="68"/>
        <v>1</v>
      </c>
      <c r="L373" s="961"/>
      <c r="M373" s="53">
        <f t="shared" si="69"/>
        <v>0</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0.06</v>
      </c>
      <c r="F374" s="961"/>
      <c r="G374" s="53">
        <f t="shared" si="66"/>
        <v>1</v>
      </c>
      <c r="H374" s="961"/>
      <c r="I374" s="53">
        <f t="shared" si="67"/>
        <v>1</v>
      </c>
      <c r="J374" s="961"/>
      <c r="K374" s="53">
        <f t="shared" si="68"/>
        <v>1</v>
      </c>
      <c r="L374" s="961"/>
      <c r="M374" s="53">
        <f t="shared" si="69"/>
        <v>0</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0.06</v>
      </c>
      <c r="F375" s="961"/>
      <c r="G375" s="53">
        <f t="shared" si="66"/>
        <v>1</v>
      </c>
      <c r="H375" s="961"/>
      <c r="I375" s="53">
        <f t="shared" si="67"/>
        <v>1</v>
      </c>
      <c r="J375" s="961"/>
      <c r="K375" s="53">
        <f t="shared" si="68"/>
        <v>1</v>
      </c>
      <c r="L375" s="961"/>
      <c r="M375" s="53">
        <f t="shared" si="69"/>
        <v>0</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0.06</v>
      </c>
      <c r="F376" s="961"/>
      <c r="G376" s="53">
        <f t="shared" si="66"/>
        <v>1</v>
      </c>
      <c r="H376" s="961"/>
      <c r="I376" s="53">
        <f t="shared" si="67"/>
        <v>1</v>
      </c>
      <c r="J376" s="961"/>
      <c r="K376" s="53">
        <f t="shared" si="68"/>
        <v>1</v>
      </c>
      <c r="L376" s="961"/>
      <c r="M376" s="53">
        <f t="shared" si="69"/>
        <v>0</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0.06</v>
      </c>
      <c r="F377" s="961"/>
      <c r="G377" s="53">
        <f t="shared" si="66"/>
        <v>1</v>
      </c>
      <c r="H377" s="961"/>
      <c r="I377" s="53">
        <f t="shared" si="67"/>
        <v>1</v>
      </c>
      <c r="J377" s="961"/>
      <c r="K377" s="53">
        <f t="shared" si="68"/>
        <v>1</v>
      </c>
      <c r="L377" s="961"/>
      <c r="M377" s="53">
        <f t="shared" si="69"/>
        <v>0</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0.06</v>
      </c>
      <c r="F378" s="961"/>
      <c r="G378" s="53">
        <f t="shared" si="66"/>
        <v>1</v>
      </c>
      <c r="H378" s="961"/>
      <c r="I378" s="53">
        <f t="shared" si="67"/>
        <v>1</v>
      </c>
      <c r="J378" s="961"/>
      <c r="K378" s="53">
        <f t="shared" si="68"/>
        <v>1</v>
      </c>
      <c r="L378" s="961"/>
      <c r="M378" s="53">
        <f t="shared" si="69"/>
        <v>0</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0.06</v>
      </c>
      <c r="F379" s="961"/>
      <c r="G379" s="53">
        <f t="shared" si="66"/>
        <v>1</v>
      </c>
      <c r="H379" s="961"/>
      <c r="I379" s="53">
        <f t="shared" si="67"/>
        <v>1</v>
      </c>
      <c r="J379" s="961"/>
      <c r="K379" s="53">
        <f t="shared" si="68"/>
        <v>1</v>
      </c>
      <c r="L379" s="961"/>
      <c r="M379" s="53">
        <f t="shared" si="69"/>
        <v>0</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0.06</v>
      </c>
      <c r="F380" s="961"/>
      <c r="G380" s="53">
        <f t="shared" si="66"/>
        <v>1</v>
      </c>
      <c r="H380" s="961"/>
      <c r="I380" s="53">
        <f t="shared" si="67"/>
        <v>1</v>
      </c>
      <c r="J380" s="961"/>
      <c r="K380" s="53">
        <f t="shared" si="68"/>
        <v>1</v>
      </c>
      <c r="L380" s="961"/>
      <c r="M380" s="53">
        <f t="shared" si="69"/>
        <v>0</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0.06</v>
      </c>
      <c r="F381" s="961"/>
      <c r="G381" s="53">
        <f t="shared" si="66"/>
        <v>1</v>
      </c>
      <c r="H381" s="961"/>
      <c r="I381" s="53">
        <f t="shared" si="67"/>
        <v>1</v>
      </c>
      <c r="J381" s="961"/>
      <c r="K381" s="53">
        <f t="shared" si="68"/>
        <v>1</v>
      </c>
      <c r="L381" s="961"/>
      <c r="M381" s="53">
        <f t="shared" si="69"/>
        <v>0</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0.06</v>
      </c>
      <c r="F382" s="961"/>
      <c r="G382" s="53">
        <f t="shared" si="66"/>
        <v>1</v>
      </c>
      <c r="H382" s="961"/>
      <c r="I382" s="53">
        <f t="shared" si="67"/>
        <v>1</v>
      </c>
      <c r="J382" s="961"/>
      <c r="K382" s="53">
        <f t="shared" si="68"/>
        <v>1</v>
      </c>
      <c r="L382" s="961"/>
      <c r="M382" s="53">
        <f t="shared" si="69"/>
        <v>0</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0.06</v>
      </c>
      <c r="F383" s="961"/>
      <c r="G383" s="53">
        <f t="shared" si="66"/>
        <v>1</v>
      </c>
      <c r="H383" s="961"/>
      <c r="I383" s="53">
        <f t="shared" si="67"/>
        <v>1</v>
      </c>
      <c r="J383" s="961"/>
      <c r="K383" s="53">
        <f t="shared" si="68"/>
        <v>1</v>
      </c>
      <c r="L383" s="961"/>
      <c r="M383" s="53">
        <f t="shared" si="69"/>
        <v>0</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0.06</v>
      </c>
      <c r="F384" s="961"/>
      <c r="G384" s="53">
        <f t="shared" si="66"/>
        <v>1</v>
      </c>
      <c r="H384" s="961"/>
      <c r="I384" s="53">
        <f t="shared" si="67"/>
        <v>1</v>
      </c>
      <c r="J384" s="961"/>
      <c r="K384" s="53">
        <f t="shared" si="68"/>
        <v>1</v>
      </c>
      <c r="L384" s="961"/>
      <c r="M384" s="53">
        <f t="shared" si="69"/>
        <v>0</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0.06</v>
      </c>
      <c r="F385" s="961"/>
      <c r="G385" s="53">
        <f t="shared" si="66"/>
        <v>1</v>
      </c>
      <c r="H385" s="961"/>
      <c r="I385" s="53">
        <f t="shared" si="67"/>
        <v>1</v>
      </c>
      <c r="J385" s="961"/>
      <c r="K385" s="53">
        <f t="shared" si="68"/>
        <v>1</v>
      </c>
      <c r="L385" s="961"/>
      <c r="M385" s="53">
        <f t="shared" si="69"/>
        <v>0</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0.06</v>
      </c>
      <c r="F386" s="961"/>
      <c r="G386" s="53">
        <f t="shared" si="66"/>
        <v>1</v>
      </c>
      <c r="H386" s="961"/>
      <c r="I386" s="53">
        <f t="shared" si="67"/>
        <v>1</v>
      </c>
      <c r="J386" s="961"/>
      <c r="K386" s="53">
        <f t="shared" si="68"/>
        <v>1</v>
      </c>
      <c r="L386" s="961"/>
      <c r="M386" s="53">
        <f t="shared" si="69"/>
        <v>0</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0.06</v>
      </c>
      <c r="F387" s="961"/>
      <c r="G387" s="53">
        <f t="shared" si="66"/>
        <v>1</v>
      </c>
      <c r="H387" s="961"/>
      <c r="I387" s="53">
        <f t="shared" si="67"/>
        <v>1</v>
      </c>
      <c r="J387" s="961"/>
      <c r="K387" s="53">
        <f t="shared" si="68"/>
        <v>1</v>
      </c>
      <c r="L387" s="961"/>
      <c r="M387" s="53">
        <f t="shared" si="69"/>
        <v>0</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0.06</v>
      </c>
      <c r="F388" s="961"/>
      <c r="G388" s="53">
        <f t="shared" si="66"/>
        <v>1</v>
      </c>
      <c r="H388" s="961"/>
      <c r="I388" s="53">
        <f t="shared" si="67"/>
        <v>1</v>
      </c>
      <c r="J388" s="961"/>
      <c r="K388" s="53">
        <f t="shared" si="68"/>
        <v>1</v>
      </c>
      <c r="L388" s="961"/>
      <c r="M388" s="53">
        <f t="shared" si="69"/>
        <v>0</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0.06</v>
      </c>
      <c r="F389" s="961"/>
      <c r="G389" s="53">
        <f t="shared" si="66"/>
        <v>1</v>
      </c>
      <c r="H389" s="961"/>
      <c r="I389" s="53">
        <f t="shared" si="67"/>
        <v>1</v>
      </c>
      <c r="J389" s="961"/>
      <c r="K389" s="53">
        <f t="shared" si="68"/>
        <v>1</v>
      </c>
      <c r="L389" s="961"/>
      <c r="M389" s="53">
        <f t="shared" si="69"/>
        <v>0</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0.06</v>
      </c>
      <c r="F390" s="961"/>
      <c r="G390" s="53">
        <f t="shared" si="66"/>
        <v>1</v>
      </c>
      <c r="H390" s="961"/>
      <c r="I390" s="53">
        <f t="shared" si="67"/>
        <v>1</v>
      </c>
      <c r="J390" s="961"/>
      <c r="K390" s="53">
        <f t="shared" si="68"/>
        <v>1</v>
      </c>
      <c r="L390" s="961"/>
      <c r="M390" s="53">
        <f t="shared" si="69"/>
        <v>0</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0.06</v>
      </c>
      <c r="F391" s="961"/>
      <c r="G391" s="53">
        <f t="shared" si="66"/>
        <v>1</v>
      </c>
      <c r="H391" s="961"/>
      <c r="I391" s="53">
        <f t="shared" si="67"/>
        <v>1</v>
      </c>
      <c r="J391" s="961"/>
      <c r="K391" s="53">
        <f t="shared" si="68"/>
        <v>1</v>
      </c>
      <c r="L391" s="961"/>
      <c r="M391" s="53">
        <f t="shared" si="69"/>
        <v>0</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0.06</v>
      </c>
      <c r="F392" s="961"/>
      <c r="G392" s="53">
        <f t="shared" si="66"/>
        <v>1</v>
      </c>
      <c r="H392" s="961"/>
      <c r="I392" s="53">
        <f t="shared" si="67"/>
        <v>1</v>
      </c>
      <c r="J392" s="961"/>
      <c r="K392" s="53">
        <f t="shared" si="68"/>
        <v>1</v>
      </c>
      <c r="L392" s="961"/>
      <c r="M392" s="53">
        <f t="shared" si="69"/>
        <v>0</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0.06</v>
      </c>
      <c r="F393" s="961"/>
      <c r="G393" s="53">
        <f t="shared" si="66"/>
        <v>1</v>
      </c>
      <c r="H393" s="961"/>
      <c r="I393" s="53">
        <f t="shared" si="67"/>
        <v>1</v>
      </c>
      <c r="J393" s="961"/>
      <c r="K393" s="53">
        <f t="shared" si="68"/>
        <v>1</v>
      </c>
      <c r="L393" s="961"/>
      <c r="M393" s="53">
        <f t="shared" si="69"/>
        <v>0</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0.06</v>
      </c>
      <c r="F394" s="961"/>
      <c r="G394" s="53">
        <f t="shared" si="66"/>
        <v>1</v>
      </c>
      <c r="H394" s="961"/>
      <c r="I394" s="53">
        <f t="shared" si="67"/>
        <v>1</v>
      </c>
      <c r="J394" s="961"/>
      <c r="K394" s="53">
        <f t="shared" si="68"/>
        <v>1</v>
      </c>
      <c r="L394" s="961"/>
      <c r="M394" s="53">
        <f t="shared" si="69"/>
        <v>0</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0.06</v>
      </c>
      <c r="F395" s="961"/>
      <c r="G395" s="53">
        <f t="shared" si="66"/>
        <v>1</v>
      </c>
      <c r="H395" s="961"/>
      <c r="I395" s="53">
        <f t="shared" si="67"/>
        <v>1</v>
      </c>
      <c r="J395" s="961"/>
      <c r="K395" s="53">
        <f t="shared" si="68"/>
        <v>1</v>
      </c>
      <c r="L395" s="961"/>
      <c r="M395" s="53">
        <f t="shared" si="69"/>
        <v>0</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0.06</v>
      </c>
      <c r="F396" s="961"/>
      <c r="G396" s="53">
        <f t="shared" si="66"/>
        <v>1</v>
      </c>
      <c r="H396" s="961"/>
      <c r="I396" s="53">
        <f t="shared" si="67"/>
        <v>1</v>
      </c>
      <c r="J396" s="961"/>
      <c r="K396" s="53">
        <f t="shared" si="68"/>
        <v>1</v>
      </c>
      <c r="L396" s="961"/>
      <c r="M396" s="53">
        <f t="shared" si="69"/>
        <v>0</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0.06</v>
      </c>
      <c r="F397" s="961"/>
      <c r="G397" s="53">
        <f t="shared" si="66"/>
        <v>1</v>
      </c>
      <c r="H397" s="961"/>
      <c r="I397" s="53">
        <f t="shared" si="67"/>
        <v>1</v>
      </c>
      <c r="J397" s="961"/>
      <c r="K397" s="53">
        <f t="shared" si="68"/>
        <v>1</v>
      </c>
      <c r="L397" s="961"/>
      <c r="M397" s="53">
        <f t="shared" si="69"/>
        <v>0</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0.06</v>
      </c>
      <c r="F398" s="961"/>
      <c r="G398" s="53">
        <f t="shared" si="66"/>
        <v>1</v>
      </c>
      <c r="H398" s="961"/>
      <c r="I398" s="53">
        <f t="shared" si="67"/>
        <v>1</v>
      </c>
      <c r="J398" s="961"/>
      <c r="K398" s="53">
        <f t="shared" si="68"/>
        <v>1</v>
      </c>
      <c r="L398" s="961"/>
      <c r="M398" s="53">
        <f t="shared" si="69"/>
        <v>0</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0.06</v>
      </c>
      <c r="F399" s="961"/>
      <c r="G399" s="53">
        <f t="shared" si="66"/>
        <v>1</v>
      </c>
      <c r="H399" s="961"/>
      <c r="I399" s="53">
        <f t="shared" si="67"/>
        <v>1</v>
      </c>
      <c r="J399" s="961"/>
      <c r="K399" s="53">
        <f t="shared" si="68"/>
        <v>1</v>
      </c>
      <c r="L399" s="961"/>
      <c r="M399" s="53">
        <f t="shared" si="69"/>
        <v>0</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0.06</v>
      </c>
      <c r="F400" s="961"/>
      <c r="G400" s="53">
        <f t="shared" si="66"/>
        <v>1</v>
      </c>
      <c r="H400" s="961"/>
      <c r="I400" s="53">
        <f t="shared" si="67"/>
        <v>1</v>
      </c>
      <c r="J400" s="961"/>
      <c r="K400" s="53">
        <f t="shared" si="68"/>
        <v>1</v>
      </c>
      <c r="L400" s="961"/>
      <c r="M400" s="53">
        <f t="shared" si="69"/>
        <v>0</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0.06</v>
      </c>
      <c r="F401" s="961"/>
      <c r="G401" s="53">
        <f t="shared" si="66"/>
        <v>1</v>
      </c>
      <c r="H401" s="961"/>
      <c r="I401" s="53">
        <f t="shared" si="67"/>
        <v>1</v>
      </c>
      <c r="J401" s="961"/>
      <c r="K401" s="53">
        <f t="shared" si="68"/>
        <v>1</v>
      </c>
      <c r="L401" s="961"/>
      <c r="M401" s="53">
        <f t="shared" si="69"/>
        <v>0</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0.06</v>
      </c>
      <c r="F402" s="961"/>
      <c r="G402" s="53">
        <f t="shared" si="66"/>
        <v>1</v>
      </c>
      <c r="H402" s="961"/>
      <c r="I402" s="53">
        <f t="shared" si="67"/>
        <v>1</v>
      </c>
      <c r="J402" s="961"/>
      <c r="K402" s="53">
        <f t="shared" si="68"/>
        <v>1</v>
      </c>
      <c r="L402" s="961"/>
      <c r="M402" s="53">
        <f t="shared" si="69"/>
        <v>0</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0.06</v>
      </c>
      <c r="F403" s="961"/>
      <c r="G403" s="53">
        <f t="shared" si="66"/>
        <v>1</v>
      </c>
      <c r="H403" s="961"/>
      <c r="I403" s="53">
        <f t="shared" si="67"/>
        <v>1</v>
      </c>
      <c r="J403" s="961"/>
      <c r="K403" s="53">
        <f t="shared" si="68"/>
        <v>1</v>
      </c>
      <c r="L403" s="961"/>
      <c r="M403" s="53">
        <f t="shared" si="69"/>
        <v>0</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0.06</v>
      </c>
      <c r="F404" s="961"/>
      <c r="G404" s="53">
        <f t="shared" si="66"/>
        <v>1</v>
      </c>
      <c r="H404" s="961"/>
      <c r="I404" s="53">
        <f t="shared" si="67"/>
        <v>1</v>
      </c>
      <c r="J404" s="961"/>
      <c r="K404" s="53">
        <f t="shared" si="68"/>
        <v>1</v>
      </c>
      <c r="L404" s="961"/>
      <c r="M404" s="53">
        <f t="shared" si="69"/>
        <v>0</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0.06</v>
      </c>
      <c r="F405" s="961"/>
      <c r="G405" s="53">
        <f t="shared" si="66"/>
        <v>1</v>
      </c>
      <c r="H405" s="961"/>
      <c r="I405" s="53">
        <f t="shared" si="67"/>
        <v>1</v>
      </c>
      <c r="J405" s="961"/>
      <c r="K405" s="53">
        <f t="shared" si="68"/>
        <v>1</v>
      </c>
      <c r="L405" s="961"/>
      <c r="M405" s="53">
        <f t="shared" si="69"/>
        <v>0</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0.06</v>
      </c>
      <c r="F406" s="961"/>
      <c r="G406" s="53">
        <f t="shared" si="66"/>
        <v>1</v>
      </c>
      <c r="H406" s="961"/>
      <c r="I406" s="53">
        <f t="shared" si="67"/>
        <v>1</v>
      </c>
      <c r="J406" s="961"/>
      <c r="K406" s="53">
        <f t="shared" si="68"/>
        <v>1</v>
      </c>
      <c r="L406" s="961"/>
      <c r="M406" s="53">
        <f t="shared" si="69"/>
        <v>0</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0.06</v>
      </c>
      <c r="F407" s="961"/>
      <c r="G407" s="53">
        <f t="shared" si="66"/>
        <v>1</v>
      </c>
      <c r="H407" s="961"/>
      <c r="I407" s="53">
        <f t="shared" si="67"/>
        <v>1</v>
      </c>
      <c r="J407" s="961"/>
      <c r="K407" s="53">
        <f t="shared" si="68"/>
        <v>1</v>
      </c>
      <c r="L407" s="961"/>
      <c r="M407" s="53">
        <f t="shared" si="69"/>
        <v>0</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0.06</v>
      </c>
      <c r="F408" s="961"/>
      <c r="G408" s="53">
        <f t="shared" si="66"/>
        <v>1</v>
      </c>
      <c r="H408" s="961"/>
      <c r="I408" s="53">
        <f t="shared" si="67"/>
        <v>1</v>
      </c>
      <c r="J408" s="961"/>
      <c r="K408" s="53">
        <f t="shared" si="68"/>
        <v>1</v>
      </c>
      <c r="L408" s="961"/>
      <c r="M408" s="53">
        <f t="shared" si="69"/>
        <v>0</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0.06</v>
      </c>
      <c r="F409" s="961"/>
      <c r="G409" s="53">
        <f t="shared" si="66"/>
        <v>1</v>
      </c>
      <c r="H409" s="961"/>
      <c r="I409" s="53">
        <f t="shared" si="67"/>
        <v>1</v>
      </c>
      <c r="J409" s="961"/>
      <c r="K409" s="53">
        <f t="shared" si="68"/>
        <v>1</v>
      </c>
      <c r="L409" s="961"/>
      <c r="M409" s="53">
        <f t="shared" si="69"/>
        <v>0</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0.06</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0</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0.06</v>
      </c>
      <c r="F411" s="961"/>
      <c r="G411" s="53">
        <f t="shared" si="76"/>
        <v>1</v>
      </c>
      <c r="H411" s="961"/>
      <c r="I411" s="53">
        <f t="shared" si="77"/>
        <v>1</v>
      </c>
      <c r="J411" s="961"/>
      <c r="K411" s="53">
        <f t="shared" si="78"/>
        <v>1</v>
      </c>
      <c r="L411" s="961"/>
      <c r="M411" s="53">
        <f t="shared" si="79"/>
        <v>0</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0.06</v>
      </c>
      <c r="F412" s="961"/>
      <c r="G412" s="53">
        <f t="shared" si="76"/>
        <v>1</v>
      </c>
      <c r="H412" s="961"/>
      <c r="I412" s="53">
        <f t="shared" si="77"/>
        <v>1</v>
      </c>
      <c r="J412" s="961"/>
      <c r="K412" s="53">
        <f t="shared" si="78"/>
        <v>1</v>
      </c>
      <c r="L412" s="961"/>
      <c r="M412" s="53">
        <f t="shared" si="79"/>
        <v>0</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0.06</v>
      </c>
      <c r="F413" s="961"/>
      <c r="G413" s="53">
        <f t="shared" si="76"/>
        <v>1</v>
      </c>
      <c r="H413" s="961"/>
      <c r="I413" s="53">
        <f t="shared" si="77"/>
        <v>1</v>
      </c>
      <c r="J413" s="961"/>
      <c r="K413" s="53">
        <f t="shared" si="78"/>
        <v>1</v>
      </c>
      <c r="L413" s="961"/>
      <c r="M413" s="53">
        <f t="shared" si="79"/>
        <v>0</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0.06</v>
      </c>
      <c r="F414" s="961"/>
      <c r="G414" s="53">
        <f t="shared" si="76"/>
        <v>1</v>
      </c>
      <c r="H414" s="961"/>
      <c r="I414" s="53">
        <f t="shared" si="77"/>
        <v>1</v>
      </c>
      <c r="J414" s="961"/>
      <c r="K414" s="53">
        <f t="shared" si="78"/>
        <v>1</v>
      </c>
      <c r="L414" s="961"/>
      <c r="M414" s="53">
        <f t="shared" si="79"/>
        <v>0</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0.06</v>
      </c>
      <c r="F415" s="961"/>
      <c r="G415" s="53">
        <f t="shared" si="76"/>
        <v>1</v>
      </c>
      <c r="H415" s="961"/>
      <c r="I415" s="53">
        <f t="shared" si="77"/>
        <v>1</v>
      </c>
      <c r="J415" s="961"/>
      <c r="K415" s="53">
        <f t="shared" si="78"/>
        <v>1</v>
      </c>
      <c r="L415" s="961"/>
      <c r="M415" s="53">
        <f t="shared" si="79"/>
        <v>0</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0.06</v>
      </c>
      <c r="F416" s="961"/>
      <c r="G416" s="53">
        <f t="shared" si="76"/>
        <v>1</v>
      </c>
      <c r="H416" s="961"/>
      <c r="I416" s="53">
        <f t="shared" si="77"/>
        <v>1</v>
      </c>
      <c r="J416" s="961"/>
      <c r="K416" s="53">
        <f t="shared" si="78"/>
        <v>1</v>
      </c>
      <c r="L416" s="961"/>
      <c r="M416" s="53">
        <f t="shared" si="79"/>
        <v>0</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0.06</v>
      </c>
      <c r="F417" s="961"/>
      <c r="G417" s="53">
        <f t="shared" si="76"/>
        <v>1</v>
      </c>
      <c r="H417" s="961"/>
      <c r="I417" s="53">
        <f t="shared" si="77"/>
        <v>1</v>
      </c>
      <c r="J417" s="961"/>
      <c r="K417" s="53">
        <f t="shared" si="78"/>
        <v>1</v>
      </c>
      <c r="L417" s="961"/>
      <c r="M417" s="53">
        <f t="shared" si="79"/>
        <v>0</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0.06</v>
      </c>
      <c r="F418" s="961"/>
      <c r="G418" s="53">
        <f t="shared" si="76"/>
        <v>1</v>
      </c>
      <c r="H418" s="961"/>
      <c r="I418" s="53">
        <f t="shared" si="77"/>
        <v>1</v>
      </c>
      <c r="J418" s="961"/>
      <c r="K418" s="53">
        <f t="shared" si="78"/>
        <v>1</v>
      </c>
      <c r="L418" s="961"/>
      <c r="M418" s="53">
        <f t="shared" si="79"/>
        <v>0</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0.06</v>
      </c>
      <c r="F419" s="961"/>
      <c r="G419" s="53">
        <f t="shared" si="76"/>
        <v>1</v>
      </c>
      <c r="H419" s="961"/>
      <c r="I419" s="53">
        <f t="shared" si="77"/>
        <v>1</v>
      </c>
      <c r="J419" s="961"/>
      <c r="K419" s="53">
        <f t="shared" si="78"/>
        <v>1</v>
      </c>
      <c r="L419" s="961"/>
      <c r="M419" s="53">
        <f t="shared" si="79"/>
        <v>0</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0.06</v>
      </c>
      <c r="F420" s="961"/>
      <c r="G420" s="53">
        <f t="shared" si="76"/>
        <v>1</v>
      </c>
      <c r="H420" s="961"/>
      <c r="I420" s="53">
        <f t="shared" si="77"/>
        <v>1</v>
      </c>
      <c r="J420" s="961"/>
      <c r="K420" s="53">
        <f t="shared" si="78"/>
        <v>1</v>
      </c>
      <c r="L420" s="961"/>
      <c r="M420" s="53">
        <f t="shared" si="79"/>
        <v>0</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0.06</v>
      </c>
      <c r="F421" s="961"/>
      <c r="G421" s="53">
        <f t="shared" si="76"/>
        <v>1</v>
      </c>
      <c r="H421" s="961"/>
      <c r="I421" s="53">
        <f t="shared" si="77"/>
        <v>1</v>
      </c>
      <c r="J421" s="961"/>
      <c r="K421" s="53">
        <f t="shared" si="78"/>
        <v>1</v>
      </c>
      <c r="L421" s="961"/>
      <c r="M421" s="53">
        <f t="shared" si="79"/>
        <v>0</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0.06</v>
      </c>
      <c r="F422" s="961"/>
      <c r="G422" s="53">
        <f t="shared" si="76"/>
        <v>1</v>
      </c>
      <c r="H422" s="961"/>
      <c r="I422" s="53">
        <f t="shared" si="77"/>
        <v>1</v>
      </c>
      <c r="J422" s="961"/>
      <c r="K422" s="53">
        <f t="shared" si="78"/>
        <v>1</v>
      </c>
      <c r="L422" s="961"/>
      <c r="M422" s="53">
        <f t="shared" si="79"/>
        <v>0</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0.06</v>
      </c>
      <c r="F423" s="961"/>
      <c r="G423" s="53">
        <f t="shared" si="76"/>
        <v>1</v>
      </c>
      <c r="H423" s="961"/>
      <c r="I423" s="53">
        <f t="shared" si="77"/>
        <v>1</v>
      </c>
      <c r="J423" s="961"/>
      <c r="K423" s="53">
        <f t="shared" si="78"/>
        <v>1</v>
      </c>
      <c r="L423" s="961"/>
      <c r="M423" s="53">
        <f t="shared" si="79"/>
        <v>0</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0.06</v>
      </c>
      <c r="F424" s="961"/>
      <c r="G424" s="53">
        <f t="shared" si="76"/>
        <v>1</v>
      </c>
      <c r="H424" s="961"/>
      <c r="I424" s="53">
        <f t="shared" si="77"/>
        <v>1</v>
      </c>
      <c r="J424" s="961"/>
      <c r="K424" s="53">
        <f t="shared" si="78"/>
        <v>1</v>
      </c>
      <c r="L424" s="961"/>
      <c r="M424" s="53">
        <f t="shared" si="79"/>
        <v>0</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0.06</v>
      </c>
      <c r="F425" s="961"/>
      <c r="G425" s="53">
        <f t="shared" si="76"/>
        <v>1</v>
      </c>
      <c r="H425" s="961"/>
      <c r="I425" s="53">
        <f t="shared" si="77"/>
        <v>1</v>
      </c>
      <c r="J425" s="961"/>
      <c r="K425" s="53">
        <f t="shared" si="78"/>
        <v>1</v>
      </c>
      <c r="L425" s="961"/>
      <c r="M425" s="53">
        <f t="shared" si="79"/>
        <v>0</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0.06</v>
      </c>
      <c r="F426" s="961"/>
      <c r="G426" s="53">
        <f t="shared" si="76"/>
        <v>1</v>
      </c>
      <c r="H426" s="961"/>
      <c r="I426" s="53">
        <f t="shared" si="77"/>
        <v>1</v>
      </c>
      <c r="J426" s="961"/>
      <c r="K426" s="53">
        <f t="shared" si="78"/>
        <v>1</v>
      </c>
      <c r="L426" s="961"/>
      <c r="M426" s="53">
        <f t="shared" si="79"/>
        <v>0</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0.06</v>
      </c>
      <c r="F427" s="961"/>
      <c r="G427" s="53">
        <f t="shared" si="76"/>
        <v>1</v>
      </c>
      <c r="H427" s="961"/>
      <c r="I427" s="53">
        <f t="shared" si="77"/>
        <v>1</v>
      </c>
      <c r="J427" s="961"/>
      <c r="K427" s="53">
        <f t="shared" si="78"/>
        <v>1</v>
      </c>
      <c r="L427" s="961"/>
      <c r="M427" s="53">
        <f t="shared" si="79"/>
        <v>0</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0.06</v>
      </c>
      <c r="F428" s="961"/>
      <c r="G428" s="53">
        <f t="shared" si="76"/>
        <v>1</v>
      </c>
      <c r="H428" s="961"/>
      <c r="I428" s="53">
        <f t="shared" si="77"/>
        <v>1</v>
      </c>
      <c r="J428" s="961"/>
      <c r="K428" s="53">
        <f t="shared" si="78"/>
        <v>1</v>
      </c>
      <c r="L428" s="961"/>
      <c r="M428" s="53">
        <f t="shared" si="79"/>
        <v>0</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0.06</v>
      </c>
      <c r="F429" s="961"/>
      <c r="G429" s="53">
        <f t="shared" si="76"/>
        <v>1</v>
      </c>
      <c r="H429" s="961"/>
      <c r="I429" s="53">
        <f t="shared" si="77"/>
        <v>1</v>
      </c>
      <c r="J429" s="961"/>
      <c r="K429" s="53">
        <f t="shared" si="78"/>
        <v>1</v>
      </c>
      <c r="L429" s="961"/>
      <c r="M429" s="53">
        <f t="shared" si="79"/>
        <v>0</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0.06</v>
      </c>
      <c r="F430" s="961"/>
      <c r="G430" s="53">
        <f t="shared" si="76"/>
        <v>1</v>
      </c>
      <c r="H430" s="961"/>
      <c r="I430" s="53">
        <f t="shared" si="77"/>
        <v>1</v>
      </c>
      <c r="J430" s="961"/>
      <c r="K430" s="53">
        <f t="shared" si="78"/>
        <v>1</v>
      </c>
      <c r="L430" s="961"/>
      <c r="M430" s="53">
        <f t="shared" si="79"/>
        <v>0</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0.06</v>
      </c>
      <c r="F431" s="961"/>
      <c r="G431" s="53">
        <f t="shared" si="76"/>
        <v>1</v>
      </c>
      <c r="H431" s="961"/>
      <c r="I431" s="53">
        <f t="shared" si="77"/>
        <v>1</v>
      </c>
      <c r="J431" s="961"/>
      <c r="K431" s="53">
        <f t="shared" si="78"/>
        <v>1</v>
      </c>
      <c r="L431" s="961"/>
      <c r="M431" s="53">
        <f t="shared" si="79"/>
        <v>0</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0.06</v>
      </c>
      <c r="F432" s="961"/>
      <c r="G432" s="53">
        <f t="shared" si="76"/>
        <v>1</v>
      </c>
      <c r="H432" s="961"/>
      <c r="I432" s="53">
        <f t="shared" si="77"/>
        <v>1</v>
      </c>
      <c r="J432" s="961"/>
      <c r="K432" s="53">
        <f t="shared" si="78"/>
        <v>1</v>
      </c>
      <c r="L432" s="961"/>
      <c r="M432" s="53">
        <f t="shared" si="79"/>
        <v>0</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0.06</v>
      </c>
      <c r="F433" s="961"/>
      <c r="G433" s="53">
        <f t="shared" si="76"/>
        <v>1</v>
      </c>
      <c r="H433" s="961"/>
      <c r="I433" s="53">
        <f t="shared" si="77"/>
        <v>1</v>
      </c>
      <c r="J433" s="961"/>
      <c r="K433" s="53">
        <f t="shared" si="78"/>
        <v>1</v>
      </c>
      <c r="L433" s="961"/>
      <c r="M433" s="53">
        <f t="shared" si="79"/>
        <v>0</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0.06</v>
      </c>
      <c r="F434" s="961"/>
      <c r="G434" s="53">
        <f t="shared" si="76"/>
        <v>1</v>
      </c>
      <c r="H434" s="961"/>
      <c r="I434" s="53">
        <f t="shared" si="77"/>
        <v>1</v>
      </c>
      <c r="J434" s="961"/>
      <c r="K434" s="53">
        <f t="shared" si="78"/>
        <v>1</v>
      </c>
      <c r="L434" s="961"/>
      <c r="M434" s="53">
        <f t="shared" si="79"/>
        <v>0</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0.06</v>
      </c>
      <c r="F435" s="961"/>
      <c r="G435" s="53">
        <f t="shared" si="76"/>
        <v>1</v>
      </c>
      <c r="H435" s="961"/>
      <c r="I435" s="53">
        <f t="shared" si="77"/>
        <v>1</v>
      </c>
      <c r="J435" s="961"/>
      <c r="K435" s="53">
        <f t="shared" si="78"/>
        <v>1</v>
      </c>
      <c r="L435" s="961"/>
      <c r="M435" s="53">
        <f t="shared" si="79"/>
        <v>0</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0.06</v>
      </c>
      <c r="F436" s="961"/>
      <c r="G436" s="53">
        <f t="shared" si="76"/>
        <v>1</v>
      </c>
      <c r="H436" s="961"/>
      <c r="I436" s="53">
        <f t="shared" si="77"/>
        <v>1</v>
      </c>
      <c r="J436" s="961"/>
      <c r="K436" s="53">
        <f t="shared" si="78"/>
        <v>1</v>
      </c>
      <c r="L436" s="961"/>
      <c r="M436" s="53">
        <f t="shared" si="79"/>
        <v>0</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0.06</v>
      </c>
      <c r="F437" s="961"/>
      <c r="G437" s="53">
        <f t="shared" si="76"/>
        <v>1</v>
      </c>
      <c r="H437" s="961"/>
      <c r="I437" s="53">
        <f t="shared" si="77"/>
        <v>1</v>
      </c>
      <c r="J437" s="961"/>
      <c r="K437" s="53">
        <f t="shared" si="78"/>
        <v>1</v>
      </c>
      <c r="L437" s="961"/>
      <c r="M437" s="53">
        <f t="shared" si="79"/>
        <v>0</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0.06</v>
      </c>
      <c r="F438" s="961"/>
      <c r="G438" s="53">
        <f t="shared" si="76"/>
        <v>1</v>
      </c>
      <c r="H438" s="961"/>
      <c r="I438" s="53">
        <f t="shared" si="77"/>
        <v>1</v>
      </c>
      <c r="J438" s="961"/>
      <c r="K438" s="53">
        <f t="shared" si="78"/>
        <v>1</v>
      </c>
      <c r="L438" s="961"/>
      <c r="M438" s="53">
        <f t="shared" si="79"/>
        <v>0</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0.06</v>
      </c>
      <c r="F439" s="961"/>
      <c r="G439" s="53">
        <f t="shared" si="76"/>
        <v>1</v>
      </c>
      <c r="H439" s="961"/>
      <c r="I439" s="53">
        <f t="shared" si="77"/>
        <v>1</v>
      </c>
      <c r="J439" s="961"/>
      <c r="K439" s="53">
        <f t="shared" si="78"/>
        <v>1</v>
      </c>
      <c r="L439" s="961"/>
      <c r="M439" s="53">
        <f t="shared" si="79"/>
        <v>0</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0.06</v>
      </c>
      <c r="F440" s="961"/>
      <c r="G440" s="53">
        <f t="shared" si="76"/>
        <v>1</v>
      </c>
      <c r="H440" s="961"/>
      <c r="I440" s="53">
        <f t="shared" si="77"/>
        <v>1</v>
      </c>
      <c r="J440" s="961"/>
      <c r="K440" s="53">
        <f t="shared" si="78"/>
        <v>1</v>
      </c>
      <c r="L440" s="961"/>
      <c r="M440" s="53">
        <f t="shared" si="79"/>
        <v>0</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0.06</v>
      </c>
      <c r="F441" s="961"/>
      <c r="G441" s="53">
        <f t="shared" si="76"/>
        <v>1</v>
      </c>
      <c r="H441" s="961"/>
      <c r="I441" s="53">
        <f t="shared" si="77"/>
        <v>1</v>
      </c>
      <c r="J441" s="961"/>
      <c r="K441" s="53">
        <f t="shared" si="78"/>
        <v>1</v>
      </c>
      <c r="L441" s="961"/>
      <c r="M441" s="53">
        <f t="shared" si="79"/>
        <v>0</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0.06</v>
      </c>
      <c r="F442" s="961"/>
      <c r="G442" s="53">
        <f t="shared" si="76"/>
        <v>1</v>
      </c>
      <c r="H442" s="961"/>
      <c r="I442" s="53">
        <f t="shared" si="77"/>
        <v>1</v>
      </c>
      <c r="J442" s="961"/>
      <c r="K442" s="53">
        <f t="shared" si="78"/>
        <v>1</v>
      </c>
      <c r="L442" s="961"/>
      <c r="M442" s="53">
        <f t="shared" si="79"/>
        <v>0</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0.06</v>
      </c>
      <c r="F443" s="961"/>
      <c r="G443" s="53">
        <f t="shared" si="76"/>
        <v>1</v>
      </c>
      <c r="H443" s="961"/>
      <c r="I443" s="53">
        <f t="shared" si="77"/>
        <v>1</v>
      </c>
      <c r="J443" s="961"/>
      <c r="K443" s="53">
        <f t="shared" si="78"/>
        <v>1</v>
      </c>
      <c r="L443" s="961"/>
      <c r="M443" s="53">
        <f t="shared" si="79"/>
        <v>0</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0.06</v>
      </c>
      <c r="F444" s="961"/>
      <c r="G444" s="53">
        <f t="shared" si="76"/>
        <v>1</v>
      </c>
      <c r="H444" s="961"/>
      <c r="I444" s="53">
        <f t="shared" si="77"/>
        <v>1</v>
      </c>
      <c r="J444" s="961"/>
      <c r="K444" s="53">
        <f t="shared" si="78"/>
        <v>1</v>
      </c>
      <c r="L444" s="961"/>
      <c r="M444" s="53">
        <f t="shared" si="79"/>
        <v>0</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0.06</v>
      </c>
      <c r="F445" s="961"/>
      <c r="G445" s="53">
        <f t="shared" si="76"/>
        <v>1</v>
      </c>
      <c r="H445" s="961"/>
      <c r="I445" s="53">
        <f t="shared" si="77"/>
        <v>1</v>
      </c>
      <c r="J445" s="961"/>
      <c r="K445" s="53">
        <f t="shared" si="78"/>
        <v>1</v>
      </c>
      <c r="L445" s="961"/>
      <c r="M445" s="53">
        <f t="shared" si="79"/>
        <v>0</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0.06</v>
      </c>
      <c r="F446" s="961"/>
      <c r="G446" s="53">
        <f t="shared" si="76"/>
        <v>1</v>
      </c>
      <c r="H446" s="961"/>
      <c r="I446" s="53">
        <f t="shared" si="77"/>
        <v>1</v>
      </c>
      <c r="J446" s="961"/>
      <c r="K446" s="53">
        <f t="shared" si="78"/>
        <v>1</v>
      </c>
      <c r="L446" s="961"/>
      <c r="M446" s="53">
        <f t="shared" si="79"/>
        <v>0</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0.06</v>
      </c>
      <c r="F447" s="961"/>
      <c r="G447" s="53">
        <f t="shared" si="76"/>
        <v>1</v>
      </c>
      <c r="H447" s="961"/>
      <c r="I447" s="53">
        <f t="shared" si="77"/>
        <v>1</v>
      </c>
      <c r="J447" s="961"/>
      <c r="K447" s="53">
        <f t="shared" si="78"/>
        <v>1</v>
      </c>
      <c r="L447" s="961"/>
      <c r="M447" s="53">
        <f t="shared" si="79"/>
        <v>0</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0.06</v>
      </c>
      <c r="F448" s="961"/>
      <c r="G448" s="53">
        <f t="shared" si="76"/>
        <v>1</v>
      </c>
      <c r="H448" s="961"/>
      <c r="I448" s="53">
        <f t="shared" si="77"/>
        <v>1</v>
      </c>
      <c r="J448" s="961"/>
      <c r="K448" s="53">
        <f t="shared" si="78"/>
        <v>1</v>
      </c>
      <c r="L448" s="961"/>
      <c r="M448" s="53">
        <f t="shared" si="79"/>
        <v>0</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0.06</v>
      </c>
      <c r="F449" s="961"/>
      <c r="G449" s="53">
        <f t="shared" si="76"/>
        <v>1</v>
      </c>
      <c r="H449" s="961"/>
      <c r="I449" s="53">
        <f t="shared" si="77"/>
        <v>1</v>
      </c>
      <c r="J449" s="961"/>
      <c r="K449" s="53">
        <f t="shared" si="78"/>
        <v>1</v>
      </c>
      <c r="L449" s="961"/>
      <c r="M449" s="53">
        <f t="shared" si="79"/>
        <v>0</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0.06</v>
      </c>
      <c r="F450" s="961"/>
      <c r="G450" s="53">
        <f t="shared" si="76"/>
        <v>1</v>
      </c>
      <c r="H450" s="961"/>
      <c r="I450" s="53">
        <f t="shared" si="77"/>
        <v>1</v>
      </c>
      <c r="J450" s="961"/>
      <c r="K450" s="53">
        <f t="shared" si="78"/>
        <v>1</v>
      </c>
      <c r="L450" s="961"/>
      <c r="M450" s="53">
        <f t="shared" si="79"/>
        <v>0</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0.06</v>
      </c>
      <c r="F451" s="961"/>
      <c r="G451" s="53">
        <f t="shared" si="76"/>
        <v>1</v>
      </c>
      <c r="H451" s="961"/>
      <c r="I451" s="53">
        <f t="shared" si="77"/>
        <v>1</v>
      </c>
      <c r="J451" s="961"/>
      <c r="K451" s="53">
        <f t="shared" si="78"/>
        <v>1</v>
      </c>
      <c r="L451" s="961"/>
      <c r="M451" s="53">
        <f t="shared" si="79"/>
        <v>0</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0.06</v>
      </c>
      <c r="F452" s="961"/>
      <c r="G452" s="53">
        <f t="shared" si="76"/>
        <v>1</v>
      </c>
      <c r="H452" s="961"/>
      <c r="I452" s="53">
        <f t="shared" si="77"/>
        <v>1</v>
      </c>
      <c r="J452" s="961"/>
      <c r="K452" s="53">
        <f t="shared" si="78"/>
        <v>1</v>
      </c>
      <c r="L452" s="961"/>
      <c r="M452" s="53">
        <f t="shared" si="79"/>
        <v>0</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0.06</v>
      </c>
      <c r="F453" s="961"/>
      <c r="G453" s="53">
        <f t="shared" si="76"/>
        <v>1</v>
      </c>
      <c r="H453" s="961"/>
      <c r="I453" s="53">
        <f t="shared" si="77"/>
        <v>1</v>
      </c>
      <c r="J453" s="961"/>
      <c r="K453" s="53">
        <f t="shared" si="78"/>
        <v>1</v>
      </c>
      <c r="L453" s="961"/>
      <c r="M453" s="53">
        <f t="shared" si="79"/>
        <v>0</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0.06</v>
      </c>
      <c r="F454" s="961"/>
      <c r="G454" s="53">
        <f t="shared" si="76"/>
        <v>1</v>
      </c>
      <c r="H454" s="961"/>
      <c r="I454" s="53">
        <f t="shared" si="77"/>
        <v>1</v>
      </c>
      <c r="J454" s="961"/>
      <c r="K454" s="53">
        <f t="shared" si="78"/>
        <v>1</v>
      </c>
      <c r="L454" s="961"/>
      <c r="M454" s="53">
        <f t="shared" si="79"/>
        <v>0</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0.06</v>
      </c>
      <c r="F455" s="961"/>
      <c r="G455" s="53">
        <f t="shared" si="76"/>
        <v>1</v>
      </c>
      <c r="H455" s="961"/>
      <c r="I455" s="53">
        <f t="shared" si="77"/>
        <v>1</v>
      </c>
      <c r="J455" s="961"/>
      <c r="K455" s="53">
        <f t="shared" si="78"/>
        <v>1</v>
      </c>
      <c r="L455" s="961"/>
      <c r="M455" s="53">
        <f t="shared" si="79"/>
        <v>0</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0.06</v>
      </c>
      <c r="F456" s="961"/>
      <c r="G456" s="53">
        <f t="shared" si="76"/>
        <v>1</v>
      </c>
      <c r="H456" s="961"/>
      <c r="I456" s="53">
        <f t="shared" si="77"/>
        <v>1</v>
      </c>
      <c r="J456" s="961"/>
      <c r="K456" s="53">
        <f t="shared" si="78"/>
        <v>1</v>
      </c>
      <c r="L456" s="961"/>
      <c r="M456" s="53">
        <f t="shared" si="79"/>
        <v>0</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0.06</v>
      </c>
      <c r="F457" s="961"/>
      <c r="G457" s="53">
        <f t="shared" si="76"/>
        <v>1</v>
      </c>
      <c r="H457" s="961"/>
      <c r="I457" s="53">
        <f t="shared" si="77"/>
        <v>1</v>
      </c>
      <c r="J457" s="961"/>
      <c r="K457" s="53">
        <f t="shared" si="78"/>
        <v>1</v>
      </c>
      <c r="L457" s="961"/>
      <c r="M457" s="53">
        <f t="shared" si="79"/>
        <v>0</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0.06</v>
      </c>
      <c r="F458" s="961"/>
      <c r="G458" s="53">
        <f t="shared" si="76"/>
        <v>1</v>
      </c>
      <c r="H458" s="961"/>
      <c r="I458" s="53">
        <f t="shared" si="77"/>
        <v>1</v>
      </c>
      <c r="J458" s="961"/>
      <c r="K458" s="53">
        <f t="shared" si="78"/>
        <v>1</v>
      </c>
      <c r="L458" s="961"/>
      <c r="M458" s="53">
        <f t="shared" si="79"/>
        <v>0</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0.06</v>
      </c>
      <c r="F459" s="961"/>
      <c r="G459" s="53">
        <f t="shared" si="76"/>
        <v>1</v>
      </c>
      <c r="H459" s="961"/>
      <c r="I459" s="53">
        <f t="shared" si="77"/>
        <v>1</v>
      </c>
      <c r="J459" s="961"/>
      <c r="K459" s="53">
        <f t="shared" si="78"/>
        <v>1</v>
      </c>
      <c r="L459" s="961"/>
      <c r="M459" s="53">
        <f t="shared" si="79"/>
        <v>0</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0.06</v>
      </c>
      <c r="F460" s="961"/>
      <c r="G460" s="53">
        <f t="shared" si="76"/>
        <v>1</v>
      </c>
      <c r="H460" s="961"/>
      <c r="I460" s="53">
        <f t="shared" si="77"/>
        <v>1</v>
      </c>
      <c r="J460" s="961"/>
      <c r="K460" s="53">
        <f t="shared" si="78"/>
        <v>1</v>
      </c>
      <c r="L460" s="961"/>
      <c r="M460" s="53">
        <f t="shared" si="79"/>
        <v>0</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0.06</v>
      </c>
      <c r="F461" s="961"/>
      <c r="G461" s="53">
        <f t="shared" si="76"/>
        <v>1</v>
      </c>
      <c r="H461" s="961"/>
      <c r="I461" s="53">
        <f t="shared" si="77"/>
        <v>1</v>
      </c>
      <c r="J461" s="961"/>
      <c r="K461" s="53">
        <f t="shared" si="78"/>
        <v>1</v>
      </c>
      <c r="L461" s="961"/>
      <c r="M461" s="53">
        <f t="shared" si="79"/>
        <v>0</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0.06</v>
      </c>
      <c r="F462" s="961"/>
      <c r="G462" s="53">
        <f t="shared" si="76"/>
        <v>1</v>
      </c>
      <c r="H462" s="961"/>
      <c r="I462" s="53">
        <f t="shared" si="77"/>
        <v>1</v>
      </c>
      <c r="J462" s="961"/>
      <c r="K462" s="53">
        <f t="shared" si="78"/>
        <v>1</v>
      </c>
      <c r="L462" s="961"/>
      <c r="M462" s="53">
        <f t="shared" si="79"/>
        <v>0</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0.06</v>
      </c>
      <c r="F463" s="961"/>
      <c r="G463" s="53">
        <f t="shared" si="76"/>
        <v>1</v>
      </c>
      <c r="H463" s="961"/>
      <c r="I463" s="53">
        <f t="shared" si="77"/>
        <v>1</v>
      </c>
      <c r="J463" s="961"/>
      <c r="K463" s="53">
        <f t="shared" si="78"/>
        <v>1</v>
      </c>
      <c r="L463" s="961"/>
      <c r="M463" s="53">
        <f t="shared" si="79"/>
        <v>0</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0.06</v>
      </c>
      <c r="F464" s="961"/>
      <c r="G464" s="53">
        <f t="shared" si="76"/>
        <v>1</v>
      </c>
      <c r="H464" s="961"/>
      <c r="I464" s="53">
        <f t="shared" si="77"/>
        <v>1</v>
      </c>
      <c r="J464" s="961"/>
      <c r="K464" s="53">
        <f t="shared" si="78"/>
        <v>1</v>
      </c>
      <c r="L464" s="961"/>
      <c r="M464" s="53">
        <f t="shared" si="79"/>
        <v>0</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0.06</v>
      </c>
      <c r="F465" s="961"/>
      <c r="G465" s="53">
        <f t="shared" si="76"/>
        <v>1</v>
      </c>
      <c r="H465" s="961"/>
      <c r="I465" s="53">
        <f t="shared" si="77"/>
        <v>1</v>
      </c>
      <c r="J465" s="961"/>
      <c r="K465" s="53">
        <f t="shared" si="78"/>
        <v>1</v>
      </c>
      <c r="L465" s="961"/>
      <c r="M465" s="53">
        <f t="shared" si="79"/>
        <v>0</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0.06</v>
      </c>
      <c r="F466" s="961"/>
      <c r="G466" s="53">
        <f t="shared" si="76"/>
        <v>1</v>
      </c>
      <c r="H466" s="961"/>
      <c r="I466" s="53">
        <f t="shared" si="77"/>
        <v>1</v>
      </c>
      <c r="J466" s="961"/>
      <c r="K466" s="53">
        <f t="shared" si="78"/>
        <v>1</v>
      </c>
      <c r="L466" s="961"/>
      <c r="M466" s="53">
        <f t="shared" si="79"/>
        <v>0</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0.06</v>
      </c>
      <c r="F467" s="961"/>
      <c r="G467" s="53">
        <f t="shared" si="76"/>
        <v>1</v>
      </c>
      <c r="H467" s="961"/>
      <c r="I467" s="53">
        <f t="shared" si="77"/>
        <v>1</v>
      </c>
      <c r="J467" s="961"/>
      <c r="K467" s="53">
        <f t="shared" si="78"/>
        <v>1</v>
      </c>
      <c r="L467" s="961"/>
      <c r="M467" s="53">
        <f t="shared" si="79"/>
        <v>0</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0.06</v>
      </c>
      <c r="F468" s="961"/>
      <c r="G468" s="53">
        <f t="shared" si="76"/>
        <v>1</v>
      </c>
      <c r="H468" s="961"/>
      <c r="I468" s="53">
        <f t="shared" si="77"/>
        <v>1</v>
      </c>
      <c r="J468" s="961"/>
      <c r="K468" s="53">
        <f t="shared" si="78"/>
        <v>1</v>
      </c>
      <c r="L468" s="961"/>
      <c r="M468" s="53">
        <f t="shared" si="79"/>
        <v>0</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0.06</v>
      </c>
      <c r="F469" s="961"/>
      <c r="G469" s="53">
        <f t="shared" si="76"/>
        <v>1</v>
      </c>
      <c r="H469" s="961"/>
      <c r="I469" s="53">
        <f t="shared" si="77"/>
        <v>1</v>
      </c>
      <c r="J469" s="961"/>
      <c r="K469" s="53">
        <f t="shared" si="78"/>
        <v>1</v>
      </c>
      <c r="L469" s="961"/>
      <c r="M469" s="53">
        <f t="shared" si="79"/>
        <v>0</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0.06</v>
      </c>
      <c r="F470" s="961"/>
      <c r="G470" s="53">
        <f t="shared" si="76"/>
        <v>1</v>
      </c>
      <c r="H470" s="961"/>
      <c r="I470" s="53">
        <f t="shared" si="77"/>
        <v>1</v>
      </c>
      <c r="J470" s="961"/>
      <c r="K470" s="53">
        <f t="shared" si="78"/>
        <v>1</v>
      </c>
      <c r="L470" s="961"/>
      <c r="M470" s="53">
        <f t="shared" si="79"/>
        <v>0</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0.06</v>
      </c>
      <c r="F471" s="961"/>
      <c r="G471" s="53">
        <f t="shared" si="76"/>
        <v>1</v>
      </c>
      <c r="H471" s="961"/>
      <c r="I471" s="53">
        <f t="shared" si="77"/>
        <v>1</v>
      </c>
      <c r="J471" s="961"/>
      <c r="K471" s="53">
        <f t="shared" si="78"/>
        <v>1</v>
      </c>
      <c r="L471" s="961"/>
      <c r="M471" s="53">
        <f t="shared" si="79"/>
        <v>0</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0.06</v>
      </c>
      <c r="F472" s="961"/>
      <c r="G472" s="53">
        <f t="shared" si="76"/>
        <v>1</v>
      </c>
      <c r="H472" s="961"/>
      <c r="I472" s="53">
        <f t="shared" si="77"/>
        <v>1</v>
      </c>
      <c r="J472" s="961"/>
      <c r="K472" s="53">
        <f t="shared" si="78"/>
        <v>1</v>
      </c>
      <c r="L472" s="961"/>
      <c r="M472" s="53">
        <f t="shared" si="79"/>
        <v>0</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0.06</v>
      </c>
      <c r="F473" s="961"/>
      <c r="G473" s="53">
        <f t="shared" si="76"/>
        <v>1</v>
      </c>
      <c r="H473" s="961"/>
      <c r="I473" s="53">
        <f t="shared" si="77"/>
        <v>1</v>
      </c>
      <c r="J473" s="961"/>
      <c r="K473" s="53">
        <f t="shared" si="78"/>
        <v>1</v>
      </c>
      <c r="L473" s="961"/>
      <c r="M473" s="53">
        <f t="shared" si="79"/>
        <v>0</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0.06</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0</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0.06</v>
      </c>
      <c r="F475" s="961"/>
      <c r="G475" s="53">
        <f t="shared" si="87"/>
        <v>1</v>
      </c>
      <c r="H475" s="961"/>
      <c r="I475" s="53">
        <f t="shared" si="88"/>
        <v>1</v>
      </c>
      <c r="J475" s="961"/>
      <c r="K475" s="53">
        <f t="shared" si="89"/>
        <v>1</v>
      </c>
      <c r="L475" s="961"/>
      <c r="M475" s="53">
        <f t="shared" si="90"/>
        <v>0</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0.06</v>
      </c>
      <c r="F476" s="961"/>
      <c r="G476" s="53">
        <f t="shared" si="87"/>
        <v>1</v>
      </c>
      <c r="H476" s="961"/>
      <c r="I476" s="53">
        <f t="shared" si="88"/>
        <v>1</v>
      </c>
      <c r="J476" s="961"/>
      <c r="K476" s="53">
        <f t="shared" si="89"/>
        <v>1</v>
      </c>
      <c r="L476" s="961"/>
      <c r="M476" s="53">
        <f t="shared" si="90"/>
        <v>0</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0.06</v>
      </c>
      <c r="F477" s="961"/>
      <c r="G477" s="53">
        <f t="shared" si="87"/>
        <v>1</v>
      </c>
      <c r="H477" s="961"/>
      <c r="I477" s="53">
        <f t="shared" si="88"/>
        <v>1</v>
      </c>
      <c r="J477" s="961"/>
      <c r="K477" s="53">
        <f t="shared" si="89"/>
        <v>1</v>
      </c>
      <c r="L477" s="961"/>
      <c r="M477" s="53">
        <f t="shared" si="90"/>
        <v>0</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0.06</v>
      </c>
      <c r="F478" s="961"/>
      <c r="G478" s="53">
        <f t="shared" si="87"/>
        <v>1</v>
      </c>
      <c r="H478" s="961"/>
      <c r="I478" s="53">
        <f t="shared" si="88"/>
        <v>1</v>
      </c>
      <c r="J478" s="961"/>
      <c r="K478" s="53">
        <f t="shared" si="89"/>
        <v>1</v>
      </c>
      <c r="L478" s="961"/>
      <c r="M478" s="53">
        <f t="shared" si="90"/>
        <v>0</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0.06</v>
      </c>
      <c r="F479" s="961"/>
      <c r="G479" s="53">
        <f t="shared" si="87"/>
        <v>1</v>
      </c>
      <c r="H479" s="961"/>
      <c r="I479" s="53">
        <f t="shared" si="88"/>
        <v>1</v>
      </c>
      <c r="J479" s="961"/>
      <c r="K479" s="53">
        <f t="shared" si="89"/>
        <v>1</v>
      </c>
      <c r="L479" s="961"/>
      <c r="M479" s="53">
        <f t="shared" si="90"/>
        <v>0</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0.06</v>
      </c>
      <c r="F480" s="961"/>
      <c r="G480" s="53">
        <f t="shared" si="87"/>
        <v>1</v>
      </c>
      <c r="H480" s="961"/>
      <c r="I480" s="53">
        <f t="shared" si="88"/>
        <v>1</v>
      </c>
      <c r="J480" s="961"/>
      <c r="K480" s="53">
        <f t="shared" si="89"/>
        <v>1</v>
      </c>
      <c r="L480" s="961"/>
      <c r="M480" s="53">
        <f t="shared" si="90"/>
        <v>0</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0.06</v>
      </c>
      <c r="F481" s="961"/>
      <c r="G481" s="53">
        <f t="shared" si="87"/>
        <v>1</v>
      </c>
      <c r="H481" s="961"/>
      <c r="I481" s="53">
        <f t="shared" si="88"/>
        <v>1</v>
      </c>
      <c r="J481" s="961"/>
      <c r="K481" s="53">
        <f t="shared" si="89"/>
        <v>1</v>
      </c>
      <c r="L481" s="961"/>
      <c r="M481" s="53">
        <f t="shared" si="90"/>
        <v>0</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0.06</v>
      </c>
      <c r="F482" s="961"/>
      <c r="G482" s="53">
        <f t="shared" si="87"/>
        <v>1</v>
      </c>
      <c r="H482" s="961"/>
      <c r="I482" s="53">
        <f t="shared" si="88"/>
        <v>1</v>
      </c>
      <c r="J482" s="961"/>
      <c r="K482" s="53">
        <f t="shared" si="89"/>
        <v>1</v>
      </c>
      <c r="L482" s="961"/>
      <c r="M482" s="53">
        <f t="shared" si="90"/>
        <v>0</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0.06</v>
      </c>
      <c r="F483" s="961"/>
      <c r="G483" s="53">
        <f t="shared" si="87"/>
        <v>1</v>
      </c>
      <c r="H483" s="961"/>
      <c r="I483" s="53">
        <f t="shared" si="88"/>
        <v>1</v>
      </c>
      <c r="J483" s="961"/>
      <c r="K483" s="53">
        <f t="shared" si="89"/>
        <v>1</v>
      </c>
      <c r="L483" s="961"/>
      <c r="M483" s="53">
        <f t="shared" si="90"/>
        <v>0</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0.06</v>
      </c>
      <c r="F484" s="961"/>
      <c r="G484" s="53">
        <f t="shared" si="87"/>
        <v>1</v>
      </c>
      <c r="H484" s="961"/>
      <c r="I484" s="53">
        <f t="shared" si="88"/>
        <v>1</v>
      </c>
      <c r="J484" s="961"/>
      <c r="K484" s="53">
        <f t="shared" si="89"/>
        <v>1</v>
      </c>
      <c r="L484" s="961"/>
      <c r="M484" s="53">
        <f t="shared" si="90"/>
        <v>0</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0.06</v>
      </c>
      <c r="F485" s="961"/>
      <c r="G485" s="53">
        <f t="shared" si="87"/>
        <v>1</v>
      </c>
      <c r="H485" s="961"/>
      <c r="I485" s="53">
        <f t="shared" si="88"/>
        <v>1</v>
      </c>
      <c r="J485" s="961"/>
      <c r="K485" s="53">
        <f t="shared" si="89"/>
        <v>1</v>
      </c>
      <c r="L485" s="961"/>
      <c r="M485" s="53">
        <f t="shared" si="90"/>
        <v>0</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0.06</v>
      </c>
      <c r="F486" s="961"/>
      <c r="G486" s="53">
        <f t="shared" si="87"/>
        <v>1</v>
      </c>
      <c r="H486" s="961"/>
      <c r="I486" s="53">
        <f t="shared" si="88"/>
        <v>1</v>
      </c>
      <c r="J486" s="961"/>
      <c r="K486" s="53">
        <f t="shared" si="89"/>
        <v>1</v>
      </c>
      <c r="L486" s="961"/>
      <c r="M486" s="53">
        <f t="shared" si="90"/>
        <v>0</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0.06</v>
      </c>
      <c r="F487" s="961"/>
      <c r="G487" s="53">
        <f t="shared" si="87"/>
        <v>1</v>
      </c>
      <c r="H487" s="961"/>
      <c r="I487" s="53">
        <f t="shared" si="88"/>
        <v>1</v>
      </c>
      <c r="J487" s="961"/>
      <c r="K487" s="53">
        <f t="shared" si="89"/>
        <v>1</v>
      </c>
      <c r="L487" s="961"/>
      <c r="M487" s="53">
        <f t="shared" si="90"/>
        <v>0</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0.06</v>
      </c>
      <c r="F488" s="961"/>
      <c r="G488" s="53">
        <f t="shared" si="87"/>
        <v>1</v>
      </c>
      <c r="H488" s="961"/>
      <c r="I488" s="53">
        <f t="shared" si="88"/>
        <v>1</v>
      </c>
      <c r="J488" s="961"/>
      <c r="K488" s="53">
        <f t="shared" si="89"/>
        <v>1</v>
      </c>
      <c r="L488" s="961"/>
      <c r="M488" s="53">
        <f t="shared" si="90"/>
        <v>0</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0.06</v>
      </c>
      <c r="F489" s="961"/>
      <c r="G489" s="53">
        <f t="shared" si="87"/>
        <v>1</v>
      </c>
      <c r="H489" s="961"/>
      <c r="I489" s="53">
        <f t="shared" si="88"/>
        <v>1</v>
      </c>
      <c r="J489" s="961"/>
      <c r="K489" s="53">
        <f t="shared" si="89"/>
        <v>1</v>
      </c>
      <c r="L489" s="961"/>
      <c r="M489" s="53">
        <f t="shared" si="90"/>
        <v>0</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0.06</v>
      </c>
      <c r="F490" s="961"/>
      <c r="G490" s="53">
        <f t="shared" si="87"/>
        <v>1</v>
      </c>
      <c r="H490" s="961"/>
      <c r="I490" s="53">
        <f t="shared" si="88"/>
        <v>1</v>
      </c>
      <c r="J490" s="961"/>
      <c r="K490" s="53">
        <f t="shared" si="89"/>
        <v>1</v>
      </c>
      <c r="L490" s="961"/>
      <c r="M490" s="53">
        <f t="shared" si="90"/>
        <v>0</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0.06</v>
      </c>
      <c r="F491" s="961"/>
      <c r="G491" s="53">
        <f t="shared" si="87"/>
        <v>1</v>
      </c>
      <c r="H491" s="961"/>
      <c r="I491" s="53">
        <f t="shared" si="88"/>
        <v>1</v>
      </c>
      <c r="J491" s="961"/>
      <c r="K491" s="53">
        <f t="shared" si="89"/>
        <v>1</v>
      </c>
      <c r="L491" s="961"/>
      <c r="M491" s="53">
        <f t="shared" si="90"/>
        <v>0</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0.06</v>
      </c>
      <c r="F492" s="961"/>
      <c r="G492" s="53">
        <f t="shared" si="87"/>
        <v>1</v>
      </c>
      <c r="H492" s="961"/>
      <c r="I492" s="53">
        <f t="shared" si="88"/>
        <v>1</v>
      </c>
      <c r="J492" s="961"/>
      <c r="K492" s="53">
        <f t="shared" si="89"/>
        <v>1</v>
      </c>
      <c r="L492" s="961"/>
      <c r="M492" s="53">
        <f t="shared" si="90"/>
        <v>0</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0.06</v>
      </c>
      <c r="F493" s="961"/>
      <c r="G493" s="53">
        <f t="shared" si="87"/>
        <v>1</v>
      </c>
      <c r="H493" s="961"/>
      <c r="I493" s="53">
        <f t="shared" si="88"/>
        <v>1</v>
      </c>
      <c r="J493" s="961"/>
      <c r="K493" s="53">
        <f t="shared" si="89"/>
        <v>1</v>
      </c>
      <c r="L493" s="961"/>
      <c r="M493" s="53">
        <f t="shared" si="90"/>
        <v>0</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0.06</v>
      </c>
      <c r="F494" s="961"/>
      <c r="G494" s="53">
        <f t="shared" si="87"/>
        <v>1</v>
      </c>
      <c r="H494" s="961"/>
      <c r="I494" s="53">
        <f t="shared" si="88"/>
        <v>1</v>
      </c>
      <c r="J494" s="961"/>
      <c r="K494" s="53">
        <f t="shared" si="89"/>
        <v>1</v>
      </c>
      <c r="L494" s="961"/>
      <c r="M494" s="53">
        <f t="shared" si="90"/>
        <v>0</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0.06</v>
      </c>
      <c r="F495" s="961"/>
      <c r="G495" s="53">
        <f t="shared" si="87"/>
        <v>1</v>
      </c>
      <c r="H495" s="961"/>
      <c r="I495" s="53">
        <f t="shared" si="88"/>
        <v>1</v>
      </c>
      <c r="J495" s="961"/>
      <c r="K495" s="53">
        <f t="shared" si="89"/>
        <v>1</v>
      </c>
      <c r="L495" s="961"/>
      <c r="M495" s="53">
        <f t="shared" si="90"/>
        <v>0</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0.06</v>
      </c>
      <c r="F496" s="961"/>
      <c r="G496" s="53">
        <f t="shared" si="87"/>
        <v>1</v>
      </c>
      <c r="H496" s="961"/>
      <c r="I496" s="53">
        <f t="shared" si="88"/>
        <v>1</v>
      </c>
      <c r="J496" s="961"/>
      <c r="K496" s="53">
        <f t="shared" si="89"/>
        <v>1</v>
      </c>
      <c r="L496" s="961"/>
      <c r="M496" s="53">
        <f t="shared" si="90"/>
        <v>0</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0.06</v>
      </c>
      <c r="F497" s="961"/>
      <c r="G497" s="53">
        <f t="shared" si="87"/>
        <v>1</v>
      </c>
      <c r="H497" s="961"/>
      <c r="I497" s="53">
        <f t="shared" si="88"/>
        <v>1</v>
      </c>
      <c r="J497" s="961"/>
      <c r="K497" s="53">
        <f t="shared" si="89"/>
        <v>1</v>
      </c>
      <c r="L497" s="961"/>
      <c r="M497" s="53">
        <f t="shared" si="90"/>
        <v>0</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0.06</v>
      </c>
      <c r="F498" s="961"/>
      <c r="G498" s="53">
        <f t="shared" si="87"/>
        <v>1</v>
      </c>
      <c r="H498" s="961"/>
      <c r="I498" s="53">
        <f t="shared" si="88"/>
        <v>1</v>
      </c>
      <c r="J498" s="961"/>
      <c r="K498" s="53">
        <f t="shared" si="89"/>
        <v>1</v>
      </c>
      <c r="L498" s="961"/>
      <c r="M498" s="53">
        <f t="shared" si="90"/>
        <v>0</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0.06</v>
      </c>
      <c r="F499" s="961"/>
      <c r="G499" s="53">
        <f t="shared" si="87"/>
        <v>1</v>
      </c>
      <c r="H499" s="961"/>
      <c r="I499" s="53">
        <f t="shared" si="88"/>
        <v>1</v>
      </c>
      <c r="J499" s="961"/>
      <c r="K499" s="53">
        <f t="shared" si="89"/>
        <v>1</v>
      </c>
      <c r="L499" s="961"/>
      <c r="M499" s="53">
        <f t="shared" si="90"/>
        <v>0</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0.06</v>
      </c>
      <c r="F500" s="961"/>
      <c r="G500" s="53">
        <f t="shared" si="87"/>
        <v>1</v>
      </c>
      <c r="H500" s="961"/>
      <c r="I500" s="53">
        <f t="shared" si="88"/>
        <v>1</v>
      </c>
      <c r="J500" s="961"/>
      <c r="K500" s="53">
        <f t="shared" si="89"/>
        <v>1</v>
      </c>
      <c r="L500" s="961"/>
      <c r="M500" s="53">
        <f t="shared" si="90"/>
        <v>0</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0.06</v>
      </c>
      <c r="F501" s="961"/>
      <c r="G501" s="53">
        <f t="shared" si="87"/>
        <v>1</v>
      </c>
      <c r="H501" s="961"/>
      <c r="I501" s="53">
        <f t="shared" si="88"/>
        <v>1</v>
      </c>
      <c r="J501" s="961"/>
      <c r="K501" s="53">
        <f t="shared" si="89"/>
        <v>1</v>
      </c>
      <c r="L501" s="961"/>
      <c r="M501" s="53">
        <f t="shared" si="90"/>
        <v>0</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0.06</v>
      </c>
      <c r="F502" s="961"/>
      <c r="G502" s="53">
        <f t="shared" si="87"/>
        <v>1</v>
      </c>
      <c r="H502" s="961"/>
      <c r="I502" s="53">
        <f t="shared" si="88"/>
        <v>1</v>
      </c>
      <c r="J502" s="961"/>
      <c r="K502" s="53">
        <f t="shared" si="89"/>
        <v>1</v>
      </c>
      <c r="L502" s="961"/>
      <c r="M502" s="53">
        <f t="shared" si="90"/>
        <v>0</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0.06</v>
      </c>
      <c r="F503" s="961"/>
      <c r="G503" s="53">
        <f t="shared" si="87"/>
        <v>1</v>
      </c>
      <c r="H503" s="961"/>
      <c r="I503" s="53">
        <f t="shared" si="88"/>
        <v>1</v>
      </c>
      <c r="J503" s="961"/>
      <c r="K503" s="53">
        <f t="shared" si="89"/>
        <v>1</v>
      </c>
      <c r="L503" s="961"/>
      <c r="M503" s="53">
        <f t="shared" si="90"/>
        <v>0</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0.06</v>
      </c>
      <c r="F504" s="961"/>
      <c r="G504" s="53">
        <f t="shared" si="87"/>
        <v>1</v>
      </c>
      <c r="H504" s="961"/>
      <c r="I504" s="53">
        <f t="shared" si="88"/>
        <v>1</v>
      </c>
      <c r="J504" s="961"/>
      <c r="K504" s="53">
        <f t="shared" si="89"/>
        <v>1</v>
      </c>
      <c r="L504" s="961"/>
      <c r="M504" s="53">
        <f t="shared" si="90"/>
        <v>0</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0.06</v>
      </c>
      <c r="F505" s="961"/>
      <c r="G505" s="53">
        <f t="shared" si="87"/>
        <v>1</v>
      </c>
      <c r="H505" s="961"/>
      <c r="I505" s="53">
        <f t="shared" si="88"/>
        <v>1</v>
      </c>
      <c r="J505" s="961"/>
      <c r="K505" s="53">
        <f t="shared" si="89"/>
        <v>1</v>
      </c>
      <c r="L505" s="961"/>
      <c r="M505" s="53">
        <f t="shared" si="90"/>
        <v>0</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0.06</v>
      </c>
      <c r="F506" s="961"/>
      <c r="G506" s="53">
        <f t="shared" si="87"/>
        <v>1</v>
      </c>
      <c r="H506" s="961"/>
      <c r="I506" s="53">
        <f t="shared" si="88"/>
        <v>1</v>
      </c>
      <c r="J506" s="961"/>
      <c r="K506" s="53">
        <f t="shared" si="89"/>
        <v>1</v>
      </c>
      <c r="L506" s="961"/>
      <c r="M506" s="53">
        <f t="shared" si="90"/>
        <v>0</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0.06</v>
      </c>
      <c r="F507" s="961"/>
      <c r="G507" s="53">
        <f t="shared" si="87"/>
        <v>1</v>
      </c>
      <c r="H507" s="961"/>
      <c r="I507" s="53">
        <f t="shared" si="88"/>
        <v>1</v>
      </c>
      <c r="J507" s="961"/>
      <c r="K507" s="53">
        <f t="shared" si="89"/>
        <v>1</v>
      </c>
      <c r="L507" s="961"/>
      <c r="M507" s="53">
        <f t="shared" si="90"/>
        <v>0</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0.06</v>
      </c>
      <c r="F508" s="961"/>
      <c r="G508" s="53">
        <f t="shared" si="87"/>
        <v>1</v>
      </c>
      <c r="H508" s="961"/>
      <c r="I508" s="53">
        <f t="shared" si="88"/>
        <v>1</v>
      </c>
      <c r="J508" s="961"/>
      <c r="K508" s="53">
        <f t="shared" si="89"/>
        <v>1</v>
      </c>
      <c r="L508" s="961"/>
      <c r="M508" s="53">
        <f t="shared" si="90"/>
        <v>0</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0.06</v>
      </c>
      <c r="F509" s="961"/>
      <c r="G509" s="53">
        <f t="shared" si="87"/>
        <v>1</v>
      </c>
      <c r="H509" s="961"/>
      <c r="I509" s="53">
        <f t="shared" si="88"/>
        <v>1</v>
      </c>
      <c r="J509" s="961"/>
      <c r="K509" s="53">
        <f t="shared" si="89"/>
        <v>1</v>
      </c>
      <c r="L509" s="961"/>
      <c r="M509" s="53">
        <f t="shared" si="90"/>
        <v>0</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0.06</v>
      </c>
      <c r="F510" s="961"/>
      <c r="G510" s="53">
        <f t="shared" si="87"/>
        <v>1</v>
      </c>
      <c r="H510" s="961"/>
      <c r="I510" s="53">
        <f t="shared" si="88"/>
        <v>1</v>
      </c>
      <c r="J510" s="961"/>
      <c r="K510" s="53">
        <f t="shared" si="89"/>
        <v>1</v>
      </c>
      <c r="L510" s="961"/>
      <c r="M510" s="53">
        <f t="shared" si="90"/>
        <v>0</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0.06</v>
      </c>
      <c r="F511" s="961"/>
      <c r="G511" s="53">
        <f t="shared" si="87"/>
        <v>1</v>
      </c>
      <c r="H511" s="961"/>
      <c r="I511" s="53">
        <f t="shared" si="88"/>
        <v>1</v>
      </c>
      <c r="J511" s="961"/>
      <c r="K511" s="53">
        <f t="shared" si="89"/>
        <v>1</v>
      </c>
      <c r="L511" s="961"/>
      <c r="M511" s="53">
        <f t="shared" si="90"/>
        <v>0</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0.06</v>
      </c>
      <c r="F512" s="961"/>
      <c r="G512" s="53">
        <f t="shared" si="87"/>
        <v>1</v>
      </c>
      <c r="H512" s="961"/>
      <c r="I512" s="53">
        <f t="shared" si="88"/>
        <v>1</v>
      </c>
      <c r="J512" s="961"/>
      <c r="K512" s="53">
        <f t="shared" si="89"/>
        <v>1</v>
      </c>
      <c r="L512" s="961"/>
      <c r="M512" s="53">
        <f t="shared" si="90"/>
        <v>0</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0.06</v>
      </c>
      <c r="F513" s="961"/>
      <c r="G513" s="53">
        <f t="shared" si="87"/>
        <v>1</v>
      </c>
      <c r="H513" s="961"/>
      <c r="I513" s="53">
        <f t="shared" si="88"/>
        <v>1</v>
      </c>
      <c r="J513" s="961"/>
      <c r="K513" s="53">
        <f t="shared" si="89"/>
        <v>1</v>
      </c>
      <c r="L513" s="961"/>
      <c r="M513" s="53">
        <f t="shared" si="90"/>
        <v>0</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0.06</v>
      </c>
      <c r="F514" s="961"/>
      <c r="G514" s="53">
        <f t="shared" si="87"/>
        <v>1</v>
      </c>
      <c r="H514" s="961"/>
      <c r="I514" s="53">
        <f t="shared" si="88"/>
        <v>1</v>
      </c>
      <c r="J514" s="961"/>
      <c r="K514" s="53">
        <f t="shared" si="89"/>
        <v>1</v>
      </c>
      <c r="L514" s="961"/>
      <c r="M514" s="53">
        <f t="shared" si="90"/>
        <v>0</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0.06</v>
      </c>
      <c r="F515" s="961"/>
      <c r="G515" s="53">
        <f t="shared" si="87"/>
        <v>1</v>
      </c>
      <c r="H515" s="961"/>
      <c r="I515" s="53">
        <f t="shared" si="88"/>
        <v>1</v>
      </c>
      <c r="J515" s="961"/>
      <c r="K515" s="53">
        <f t="shared" si="89"/>
        <v>1</v>
      </c>
      <c r="L515" s="961"/>
      <c r="M515" s="53">
        <f t="shared" si="90"/>
        <v>0</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0.06</v>
      </c>
      <c r="F516" s="961"/>
      <c r="G516" s="53">
        <f t="shared" si="87"/>
        <v>1</v>
      </c>
      <c r="H516" s="961"/>
      <c r="I516" s="53">
        <f t="shared" si="88"/>
        <v>1</v>
      </c>
      <c r="J516" s="961"/>
      <c r="K516" s="53">
        <f t="shared" si="89"/>
        <v>1</v>
      </c>
      <c r="L516" s="961"/>
      <c r="M516" s="53">
        <f t="shared" si="90"/>
        <v>0</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0.06</v>
      </c>
      <c r="F517" s="961"/>
      <c r="G517" s="53">
        <f t="shared" si="87"/>
        <v>1</v>
      </c>
      <c r="H517" s="961"/>
      <c r="I517" s="53">
        <f t="shared" si="88"/>
        <v>1</v>
      </c>
      <c r="J517" s="961"/>
      <c r="K517" s="53">
        <f t="shared" si="89"/>
        <v>1</v>
      </c>
      <c r="L517" s="961"/>
      <c r="M517" s="53">
        <f t="shared" si="90"/>
        <v>0</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0.06</v>
      </c>
      <c r="F518" s="961"/>
      <c r="G518" s="53">
        <f t="shared" si="87"/>
        <v>1</v>
      </c>
      <c r="H518" s="961"/>
      <c r="I518" s="53">
        <f t="shared" si="88"/>
        <v>1</v>
      </c>
      <c r="J518" s="961"/>
      <c r="K518" s="53">
        <f t="shared" si="89"/>
        <v>1</v>
      </c>
      <c r="L518" s="961"/>
      <c r="M518" s="53">
        <f t="shared" si="90"/>
        <v>0</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0.06</v>
      </c>
      <c r="F519" s="961"/>
      <c r="G519" s="53">
        <f t="shared" si="87"/>
        <v>1</v>
      </c>
      <c r="H519" s="961"/>
      <c r="I519" s="53">
        <f t="shared" si="88"/>
        <v>1</v>
      </c>
      <c r="J519" s="961"/>
      <c r="K519" s="53">
        <f t="shared" si="89"/>
        <v>1</v>
      </c>
      <c r="L519" s="961"/>
      <c r="M519" s="53">
        <f t="shared" si="90"/>
        <v>0</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0.06</v>
      </c>
      <c r="F520" s="961"/>
      <c r="G520" s="53">
        <f t="shared" si="87"/>
        <v>1</v>
      </c>
      <c r="H520" s="961"/>
      <c r="I520" s="53">
        <f t="shared" si="88"/>
        <v>1</v>
      </c>
      <c r="J520" s="961"/>
      <c r="K520" s="53">
        <f t="shared" si="89"/>
        <v>1</v>
      </c>
      <c r="L520" s="961"/>
      <c r="M520" s="53">
        <f t="shared" si="90"/>
        <v>0</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0.06</v>
      </c>
      <c r="F521" s="961"/>
      <c r="G521" s="53">
        <f t="shared" si="87"/>
        <v>1</v>
      </c>
      <c r="H521" s="961"/>
      <c r="I521" s="53">
        <f t="shared" si="88"/>
        <v>1</v>
      </c>
      <c r="J521" s="961"/>
      <c r="K521" s="53">
        <f t="shared" si="89"/>
        <v>1</v>
      </c>
      <c r="L521" s="961"/>
      <c r="M521" s="53">
        <f t="shared" si="90"/>
        <v>0</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0.06</v>
      </c>
      <c r="F522" s="961"/>
      <c r="G522" s="53">
        <f t="shared" si="87"/>
        <v>1</v>
      </c>
      <c r="H522" s="961"/>
      <c r="I522" s="53">
        <f t="shared" si="88"/>
        <v>1</v>
      </c>
      <c r="J522" s="961"/>
      <c r="K522" s="53">
        <f t="shared" si="89"/>
        <v>1</v>
      </c>
      <c r="L522" s="961"/>
      <c r="M522" s="53">
        <f t="shared" si="90"/>
        <v>0</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0.06</v>
      </c>
      <c r="F523" s="961"/>
      <c r="G523" s="53">
        <f t="shared" si="87"/>
        <v>1</v>
      </c>
      <c r="H523" s="961"/>
      <c r="I523" s="53">
        <f t="shared" si="88"/>
        <v>1</v>
      </c>
      <c r="J523" s="961"/>
      <c r="K523" s="53">
        <f t="shared" si="89"/>
        <v>1</v>
      </c>
      <c r="L523" s="961"/>
      <c r="M523" s="53">
        <f t="shared" si="90"/>
        <v>0</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0.06</v>
      </c>
      <c r="F524" s="961"/>
      <c r="G524" s="53">
        <f t="shared" si="87"/>
        <v>1</v>
      </c>
      <c r="H524" s="961"/>
      <c r="I524" s="53">
        <f t="shared" si="88"/>
        <v>1</v>
      </c>
      <c r="J524" s="961"/>
      <c r="K524" s="53">
        <f t="shared" si="89"/>
        <v>1</v>
      </c>
      <c r="L524" s="961"/>
      <c r="M524" s="53">
        <f t="shared" si="90"/>
        <v>0</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B23 B2" xr:uid="{00000000-0002-0000-2300-000007000000}">
      <formula1>"建筑面积,土地面积"</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zoomScale="80" zoomScaleNormal="80" workbookViewId="0">
      <selection activeCell="F1" sqref="F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757</v>
      </c>
      <c r="C1" s="503" t="s">
        <v>720</v>
      </c>
      <c r="D1" s="2331" t="s">
        <v>2996</v>
      </c>
      <c r="E1" s="505"/>
      <c r="F1" s="2643" t="s">
        <v>3283</v>
      </c>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467</v>
      </c>
      <c r="B2" s="849"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519</v>
      </c>
      <c r="B3" s="509" t="e">
        <f>C49</f>
        <v>#DIV/0!</v>
      </c>
      <c r="C3" s="851" t="s">
        <v>722</v>
      </c>
      <c r="D3" s="850">
        <f>SUMIF('数据-汇总表'!$C19:$C33,D1,'数据-汇总表'!$E19:$E33)</f>
        <v>11647.55</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7"/>
    </row>
    <row r="4" spans="1:29" ht="15">
      <c r="A4" s="511" t="s">
        <v>521</v>
      </c>
      <c r="B4" s="512"/>
      <c r="C4" s="3410" t="s">
        <v>522</v>
      </c>
      <c r="D4" s="3411"/>
      <c r="E4" s="3434" t="s">
        <v>523</v>
      </c>
      <c r="F4" s="3435"/>
      <c r="G4" s="3410" t="s">
        <v>524</v>
      </c>
      <c r="H4" s="3411"/>
      <c r="I4" s="3410" t="s">
        <v>525</v>
      </c>
      <c r="J4" s="3411"/>
      <c r="K4" s="513" t="s">
        <v>526</v>
      </c>
      <c r="L4" s="2115"/>
      <c r="M4" s="2116"/>
      <c r="N4" s="2116"/>
      <c r="O4" s="2116"/>
      <c r="P4" s="3412" t="s">
        <v>527</v>
      </c>
      <c r="Q4" s="3413"/>
      <c r="R4" s="3398" t="s">
        <v>523</v>
      </c>
      <c r="S4" s="3399"/>
      <c r="T4" s="3398" t="s">
        <v>524</v>
      </c>
      <c r="U4" s="3399"/>
      <c r="V4" s="3418" t="s">
        <v>525</v>
      </c>
      <c r="W4" s="3418"/>
      <c r="X4" s="1550"/>
      <c r="Y4" s="3398" t="s">
        <v>527</v>
      </c>
      <c r="Z4" s="3399"/>
      <c r="AA4" s="3393" t="s">
        <v>523</v>
      </c>
      <c r="AB4" s="3418" t="s">
        <v>524</v>
      </c>
      <c r="AC4" s="3393" t="s">
        <v>525</v>
      </c>
    </row>
    <row r="5" spans="1:29" ht="15">
      <c r="A5" s="514"/>
      <c r="B5" s="515"/>
      <c r="C5" s="3421" t="s">
        <v>2919</v>
      </c>
      <c r="D5" s="3422"/>
      <c r="E5" s="3436" t="s">
        <v>2920</v>
      </c>
      <c r="F5" s="3437"/>
      <c r="G5" s="3421" t="s">
        <v>2921</v>
      </c>
      <c r="H5" s="3422"/>
      <c r="I5" s="3421" t="s">
        <v>2922</v>
      </c>
      <c r="J5" s="3422"/>
      <c r="K5" s="513"/>
      <c r="L5" s="2115"/>
      <c r="M5" s="2116"/>
      <c r="N5" s="2116"/>
      <c r="O5" s="2116"/>
      <c r="P5" s="3414"/>
      <c r="Q5" s="3415"/>
      <c r="R5" s="3400"/>
      <c r="S5" s="3401"/>
      <c r="T5" s="3400"/>
      <c r="U5" s="3401"/>
      <c r="V5" s="3418"/>
      <c r="W5" s="3418"/>
      <c r="X5" s="1550"/>
      <c r="Y5" s="3400"/>
      <c r="Z5" s="3401"/>
      <c r="AA5" s="3394"/>
      <c r="AB5" s="3418"/>
      <c r="AC5" s="3394"/>
    </row>
    <row r="6" spans="1:29" ht="15.75" thickBot="1">
      <c r="A6" s="516"/>
      <c r="B6" s="517"/>
      <c r="C6" s="3419" t="s">
        <v>2923</v>
      </c>
      <c r="D6" s="3420"/>
      <c r="E6" s="3438" t="s">
        <v>2923</v>
      </c>
      <c r="F6" s="3439"/>
      <c r="G6" s="3419" t="s">
        <v>2923</v>
      </c>
      <c r="H6" s="3420"/>
      <c r="I6" s="3419" t="s">
        <v>2923</v>
      </c>
      <c r="J6" s="3420"/>
      <c r="K6" s="513" t="s">
        <v>528</v>
      </c>
      <c r="L6" s="2115"/>
      <c r="M6" s="2116"/>
      <c r="N6" s="2116"/>
      <c r="O6" s="2116"/>
      <c r="P6" s="3416"/>
      <c r="Q6" s="3417"/>
      <c r="R6" s="3400"/>
      <c r="S6" s="3401"/>
      <c r="T6" s="3402"/>
      <c r="U6" s="3403"/>
      <c r="V6" s="3418"/>
      <c r="W6" s="3418"/>
      <c r="X6" s="1550"/>
      <c r="Y6" s="3402"/>
      <c r="Z6" s="3403"/>
      <c r="AA6" s="3395"/>
      <c r="AB6" s="3418"/>
      <c r="AC6" s="3395"/>
    </row>
    <row r="7" spans="1:29" s="1214" customFormat="1" ht="15.75" thickBot="1">
      <c r="A7" s="2748"/>
      <c r="B7" s="2755" t="s">
        <v>529</v>
      </c>
      <c r="C7" s="518">
        <f>'数据-取费表'!B2</f>
        <v>44050</v>
      </c>
      <c r="D7" s="519">
        <v>100</v>
      </c>
      <c r="E7" s="520"/>
      <c r="F7" s="521">
        <f>SUMIF(58:58,YEAR(E7)&amp;"-"&amp;MONTH(E7),59:59)</f>
        <v>0</v>
      </c>
      <c r="G7" s="520"/>
      <c r="H7" s="519">
        <f>SUMIF(58:58,YEAR(G7)&amp;"-"&amp;MONTH(G7),59:59)</f>
        <v>0</v>
      </c>
      <c r="I7" s="520"/>
      <c r="J7" s="519">
        <f>SUMIF(58:58,YEAR(I7)&amp;"-"&amp;MONTH(I7),59:59)</f>
        <v>0</v>
      </c>
      <c r="K7" s="523"/>
      <c r="L7" s="2117"/>
      <c r="M7" s="2118"/>
      <c r="N7" s="2118"/>
      <c r="O7" s="2118"/>
      <c r="P7" s="3396" t="s">
        <v>530</v>
      </c>
      <c r="Q7" s="3405"/>
      <c r="R7" s="1551" t="s">
        <v>8</v>
      </c>
      <c r="S7" s="1552">
        <f t="shared" ref="S7:S15" si="0">F7</f>
        <v>0</v>
      </c>
      <c r="T7" s="1551" t="s">
        <v>8</v>
      </c>
      <c r="U7" s="1552">
        <f t="shared" ref="U7:U15" si="1">H7</f>
        <v>0</v>
      </c>
      <c r="V7" s="1551" t="s">
        <v>8</v>
      </c>
      <c r="W7" s="1552">
        <f t="shared" ref="W7:W15" si="2">J7</f>
        <v>0</v>
      </c>
      <c r="X7" s="1553"/>
      <c r="Y7" s="3396" t="s">
        <v>530</v>
      </c>
      <c r="Z7" s="3397"/>
      <c r="AA7" s="1554" t="e">
        <f>D7/F7</f>
        <v>#DIV/0!</v>
      </c>
      <c r="AB7" s="1554" t="e">
        <f>D7/H7</f>
        <v>#DIV/0!</v>
      </c>
      <c r="AC7" s="1554" t="e">
        <f>D7/J7</f>
        <v>#DIV/0!</v>
      </c>
    </row>
    <row r="8" spans="1:29" s="1214" customFormat="1" ht="15.75" thickBot="1">
      <c r="A8" s="2749"/>
      <c r="B8" s="2756" t="s">
        <v>531</v>
      </c>
      <c r="C8" s="524" t="s">
        <v>576</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396" t="s">
        <v>533</v>
      </c>
      <c r="Q8" s="3397"/>
      <c r="R8" s="1551" t="s">
        <v>8</v>
      </c>
      <c r="S8" s="1552">
        <f t="shared" si="0"/>
        <v>0</v>
      </c>
      <c r="T8" s="1551" t="s">
        <v>8</v>
      </c>
      <c r="U8" s="1552">
        <f t="shared" si="1"/>
        <v>0</v>
      </c>
      <c r="V8" s="1551" t="s">
        <v>8</v>
      </c>
      <c r="W8" s="1552">
        <f t="shared" si="2"/>
        <v>0</v>
      </c>
      <c r="X8" s="1553"/>
      <c r="Y8" s="3396" t="s">
        <v>533</v>
      </c>
      <c r="Z8" s="3397"/>
      <c r="AA8" s="1554" t="e">
        <f t="shared" ref="AA8:AA46" si="3">D8/F8</f>
        <v>#DIV/0!</v>
      </c>
      <c r="AB8" s="1554" t="e">
        <f t="shared" ref="AB8:AB46" si="4">D8/H8</f>
        <v>#DIV/0!</v>
      </c>
      <c r="AC8" s="1554" t="e">
        <f t="shared" ref="AC8:AC46" si="5">D8/J8</f>
        <v>#DIV/0!</v>
      </c>
    </row>
    <row r="9" spans="1:29" s="1214" customFormat="1" ht="15">
      <c r="A9" s="2750"/>
      <c r="B9" s="2757" t="s">
        <v>2746</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404" t="s">
        <v>535</v>
      </c>
      <c r="Q9" s="1145" t="str">
        <f t="shared" ref="Q9:Q15" si="6">B9</f>
        <v>用途</v>
      </c>
      <c r="R9" s="1551" t="s">
        <v>8</v>
      </c>
      <c r="S9" s="1552">
        <f t="shared" si="0"/>
        <v>100</v>
      </c>
      <c r="T9" s="1551" t="s">
        <v>8</v>
      </c>
      <c r="U9" s="1552">
        <f t="shared" si="1"/>
        <v>100</v>
      </c>
      <c r="V9" s="1551" t="s">
        <v>8</v>
      </c>
      <c r="W9" s="1552">
        <f t="shared" si="2"/>
        <v>100</v>
      </c>
      <c r="X9" s="1553"/>
      <c r="Y9" s="3358" t="s">
        <v>536</v>
      </c>
      <c r="Z9" s="1144" t="str">
        <f t="shared" ref="Z9:Z15" si="7">Q9</f>
        <v>用途</v>
      </c>
      <c r="AA9" s="1554">
        <f t="shared" si="3"/>
        <v>1</v>
      </c>
      <c r="AB9" s="1554">
        <f t="shared" si="4"/>
        <v>1</v>
      </c>
      <c r="AC9" s="1554">
        <f t="shared" si="5"/>
        <v>1</v>
      </c>
    </row>
    <row r="10" spans="1:29" s="1332" customFormat="1" ht="27">
      <c r="A10" s="2751"/>
      <c r="B10" s="2756" t="s">
        <v>2747</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404"/>
      <c r="Q10" s="1145" t="str">
        <f t="shared" si="6"/>
        <v>土地使用年限（年）</v>
      </c>
      <c r="R10" s="1551" t="s">
        <v>8</v>
      </c>
      <c r="S10" s="1552">
        <f t="shared" si="0"/>
        <v>100</v>
      </c>
      <c r="T10" s="1551" t="s">
        <v>8</v>
      </c>
      <c r="U10" s="1552">
        <f t="shared" si="1"/>
        <v>100</v>
      </c>
      <c r="V10" s="1551" t="s">
        <v>8</v>
      </c>
      <c r="W10" s="1552">
        <f t="shared" si="2"/>
        <v>100</v>
      </c>
      <c r="X10" s="1553"/>
      <c r="Y10" s="3358"/>
      <c r="Z10" s="1144" t="str">
        <f t="shared" si="7"/>
        <v>土地使用年限（年）</v>
      </c>
      <c r="AA10" s="1554">
        <f t="shared" si="3"/>
        <v>1</v>
      </c>
      <c r="AB10" s="1554">
        <f t="shared" si="4"/>
        <v>1</v>
      </c>
      <c r="AC10" s="1554">
        <f t="shared" si="5"/>
        <v>1</v>
      </c>
    </row>
    <row r="11" spans="1:29" ht="15">
      <c r="A11" s="2752"/>
      <c r="B11" s="2756" t="s">
        <v>2748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404"/>
      <c r="Q11" s="1145" t="str">
        <f t="shared" si="6"/>
        <v>容积率</v>
      </c>
      <c r="R11" s="1551" t="s">
        <v>8</v>
      </c>
      <c r="S11" s="1552" t="e">
        <f t="shared" si="0"/>
        <v>#N/A</v>
      </c>
      <c r="T11" s="1551" t="s">
        <v>8</v>
      </c>
      <c r="U11" s="1552" t="e">
        <f t="shared" si="1"/>
        <v>#N/A</v>
      </c>
      <c r="V11" s="1551" t="s">
        <v>8</v>
      </c>
      <c r="W11" s="1552" t="e">
        <f t="shared" si="2"/>
        <v>#N/A</v>
      </c>
      <c r="X11" s="1553"/>
      <c r="Y11" s="3358"/>
      <c r="Z11" s="1144" t="str">
        <f t="shared" si="7"/>
        <v>容积率</v>
      </c>
      <c r="AA11" s="1554" t="e">
        <f t="shared" si="3"/>
        <v>#N/A</v>
      </c>
      <c r="AB11" s="1554" t="e">
        <f t="shared" si="4"/>
        <v>#N/A</v>
      </c>
      <c r="AC11" s="1554" t="e">
        <f t="shared" si="5"/>
        <v>#N/A</v>
      </c>
    </row>
    <row r="12" spans="1:29" s="1214" customFormat="1" ht="15">
      <c r="A12" s="2753"/>
      <c r="B12" s="2759">
        <v>111</v>
      </c>
      <c r="C12" s="527"/>
      <c r="D12" s="537">
        <v>100</v>
      </c>
      <c r="E12" s="538"/>
      <c r="F12" s="254">
        <f>SUMIF(70:70,E12,71:71)-SUMIF(70:70,C12,71:71)+100</f>
        <v>100</v>
      </c>
      <c r="G12" s="911"/>
      <c r="H12" s="254">
        <f>SUMIF(70:70,G12,71:71)-SUMIF(70:70,C12,71:71)+100</f>
        <v>100</v>
      </c>
      <c r="I12" s="538"/>
      <c r="J12" s="254">
        <f>SUMIF(70:70,I12,71:71)-SUMIF(70:70,C12,71:71)+100</f>
        <v>100</v>
      </c>
      <c r="K12" s="580"/>
      <c r="L12" s="2117"/>
      <c r="M12" s="2118"/>
      <c r="N12" s="2118"/>
      <c r="O12" s="2119"/>
      <c r="P12" s="3404"/>
      <c r="Q12" s="1145">
        <f t="shared" si="6"/>
        <v>111</v>
      </c>
      <c r="R12" s="1551" t="s">
        <v>8</v>
      </c>
      <c r="S12" s="1552">
        <f t="shared" si="0"/>
        <v>100</v>
      </c>
      <c r="T12" s="1551" t="s">
        <v>8</v>
      </c>
      <c r="U12" s="1552">
        <f t="shared" si="1"/>
        <v>100</v>
      </c>
      <c r="V12" s="1551" t="s">
        <v>8</v>
      </c>
      <c r="W12" s="1552">
        <f t="shared" si="2"/>
        <v>100</v>
      </c>
      <c r="X12" s="1553"/>
      <c r="Y12" s="3358"/>
      <c r="Z12" s="1144">
        <f t="shared" si="7"/>
        <v>111</v>
      </c>
      <c r="AA12" s="1554">
        <f>D12/F12</f>
        <v>1</v>
      </c>
      <c r="AB12" s="1554">
        <f>D12/H12</f>
        <v>1</v>
      </c>
      <c r="AC12" s="1554">
        <f>D12/J12</f>
        <v>1</v>
      </c>
    </row>
    <row r="13" spans="1:29" ht="15">
      <c r="A13" s="2753"/>
      <c r="B13" s="2759">
        <v>111</v>
      </c>
      <c r="C13" s="538"/>
      <c r="D13" s="539">
        <v>100</v>
      </c>
      <c r="E13" s="538"/>
      <c r="F13" s="254">
        <f>SUMIF(72:72,E13,73:73)-SUMIF(72:72,C13,73:73)+100</f>
        <v>100</v>
      </c>
      <c r="G13" s="911"/>
      <c r="H13" s="539">
        <f>SUMIF(72:72,G13,73:73)-SUMIF(72:72,C13,73:73)+100</f>
        <v>100</v>
      </c>
      <c r="I13" s="538"/>
      <c r="J13" s="539">
        <f>SUMIF(72:72,I13,73:73)-SUMIF(72:72,C13,73:73)+100</f>
        <v>100</v>
      </c>
      <c r="K13" s="580"/>
      <c r="L13" s="2124"/>
      <c r="M13" s="2116"/>
      <c r="N13" s="2116"/>
      <c r="O13" s="2123"/>
      <c r="P13" s="3404"/>
      <c r="Q13" s="1145">
        <f t="shared" si="6"/>
        <v>111</v>
      </c>
      <c r="R13" s="1551" t="s">
        <v>8</v>
      </c>
      <c r="S13" s="1552">
        <f t="shared" si="0"/>
        <v>100</v>
      </c>
      <c r="T13" s="1551" t="s">
        <v>8</v>
      </c>
      <c r="U13" s="1552">
        <f t="shared" si="1"/>
        <v>100</v>
      </c>
      <c r="V13" s="1551" t="s">
        <v>8</v>
      </c>
      <c r="W13" s="1552">
        <f t="shared" si="2"/>
        <v>100</v>
      </c>
      <c r="X13" s="1553"/>
      <c r="Y13" s="3358"/>
      <c r="Z13" s="1144">
        <f t="shared" si="7"/>
        <v>111</v>
      </c>
      <c r="AA13" s="1554">
        <f t="shared" si="3"/>
        <v>1</v>
      </c>
      <c r="AB13" s="1554">
        <f t="shared" si="4"/>
        <v>1</v>
      </c>
      <c r="AC13" s="1554">
        <f t="shared" si="5"/>
        <v>1</v>
      </c>
    </row>
    <row r="14" spans="1:29" ht="15.75" thickBot="1">
      <c r="A14" s="2754"/>
      <c r="B14" s="2760">
        <v>111</v>
      </c>
      <c r="C14" s="544"/>
      <c r="D14" s="545">
        <v>100</v>
      </c>
      <c r="E14" s="544"/>
      <c r="F14" s="545">
        <f>SUMIF(74:74,E14,75:75)-SUMIF(74:74,C14,75:75)+100</f>
        <v>100</v>
      </c>
      <c r="G14" s="911"/>
      <c r="H14" s="545">
        <f>SUMIF(74:74,G14,75:75)-SUMIF(74:74,C14,75:75)+100</f>
        <v>100</v>
      </c>
      <c r="I14" s="538"/>
      <c r="J14" s="545">
        <f>SUMIF(74:74,I14,75:75)-SUMIF(74:74,C14,75:75)+100</f>
        <v>100</v>
      </c>
      <c r="K14" s="580"/>
      <c r="L14" s="2124"/>
      <c r="M14" s="2116"/>
      <c r="N14" s="2116"/>
      <c r="O14" s="2123"/>
      <c r="P14" s="3404"/>
      <c r="Q14" s="1145">
        <f t="shared" si="6"/>
        <v>111</v>
      </c>
      <c r="R14" s="1551" t="s">
        <v>8</v>
      </c>
      <c r="S14" s="1552">
        <f t="shared" si="0"/>
        <v>100</v>
      </c>
      <c r="T14" s="1551" t="s">
        <v>8</v>
      </c>
      <c r="U14" s="1552">
        <f t="shared" si="1"/>
        <v>100</v>
      </c>
      <c r="V14" s="1551" t="s">
        <v>8</v>
      </c>
      <c r="W14" s="1552">
        <f t="shared" si="2"/>
        <v>100</v>
      </c>
      <c r="X14" s="1553"/>
      <c r="Y14" s="3358"/>
      <c r="Z14" s="1144">
        <f t="shared" si="7"/>
        <v>111</v>
      </c>
      <c r="AA14" s="1554">
        <f t="shared" si="3"/>
        <v>1</v>
      </c>
      <c r="AB14" s="1554">
        <f t="shared" si="4"/>
        <v>1</v>
      </c>
      <c r="AC14" s="1554">
        <f t="shared" si="5"/>
        <v>1</v>
      </c>
    </row>
    <row r="15" spans="1:29" ht="71.25">
      <c r="A15" s="2746" t="s">
        <v>2744</v>
      </c>
      <c r="B15" s="165"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4"/>
      <c r="M15" s="2116"/>
      <c r="N15" s="2116"/>
      <c r="O15" s="2123"/>
      <c r="P15" s="3406" t="s">
        <v>540</v>
      </c>
      <c r="Q15" s="1555" t="str">
        <f t="shared" si="6"/>
        <v>商业繁华度</v>
      </c>
      <c r="R15" s="1556" t="s">
        <v>8</v>
      </c>
      <c r="S15" s="1557">
        <f t="shared" si="0"/>
        <v>100</v>
      </c>
      <c r="T15" s="1556" t="s">
        <v>8</v>
      </c>
      <c r="U15" s="1557">
        <f t="shared" si="1"/>
        <v>100</v>
      </c>
      <c r="V15" s="1556" t="s">
        <v>8</v>
      </c>
      <c r="W15" s="1557">
        <f t="shared" si="2"/>
        <v>100</v>
      </c>
      <c r="X15" s="1550"/>
      <c r="Y15" s="3406" t="s">
        <v>540</v>
      </c>
      <c r="Z15" s="1558" t="str">
        <f t="shared" si="7"/>
        <v>商业繁华度</v>
      </c>
      <c r="AA15" s="1559">
        <f t="shared" si="3"/>
        <v>1</v>
      </c>
      <c r="AB15" s="1559">
        <f t="shared" si="4"/>
        <v>1</v>
      </c>
      <c r="AC15" s="1559">
        <f t="shared" si="5"/>
        <v>1</v>
      </c>
    </row>
    <row r="16" spans="1:29" ht="15">
      <c r="A16" s="531"/>
      <c r="B16" s="868"/>
      <c r="C16" s="575"/>
      <c r="D16" s="554"/>
      <c r="E16" s="575"/>
      <c r="F16" s="556"/>
      <c r="G16" s="575"/>
      <c r="H16" s="558"/>
      <c r="I16" s="575"/>
      <c r="J16" s="554"/>
      <c r="K16" s="898"/>
      <c r="L16" s="2124"/>
      <c r="M16" s="2116"/>
      <c r="N16" s="2116"/>
      <c r="O16" s="2123"/>
      <c r="P16" s="3407"/>
      <c r="Q16" s="1555"/>
      <c r="R16" s="1556"/>
      <c r="S16" s="1557"/>
      <c r="T16" s="1556"/>
      <c r="U16" s="1557"/>
      <c r="V16" s="1556"/>
      <c r="W16" s="1557"/>
      <c r="X16" s="1550"/>
      <c r="Y16" s="3407"/>
      <c r="Z16" s="1558"/>
      <c r="AA16" s="1559">
        <v>1</v>
      </c>
      <c r="AB16" s="1559">
        <v>1</v>
      </c>
      <c r="AC16" s="1559">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4"/>
      <c r="M17" s="2116"/>
      <c r="N17" s="2116"/>
      <c r="O17" s="2123"/>
      <c r="P17" s="3407"/>
      <c r="Q17" s="1555" t="str">
        <f>B17</f>
        <v>交通便捷度</v>
      </c>
      <c r="R17" s="1556" t="s">
        <v>8</v>
      </c>
      <c r="S17" s="1557">
        <f>F17</f>
        <v>100</v>
      </c>
      <c r="T17" s="1556" t="s">
        <v>8</v>
      </c>
      <c r="U17" s="1557">
        <f>H17</f>
        <v>100</v>
      </c>
      <c r="V17" s="1556" t="s">
        <v>8</v>
      </c>
      <c r="W17" s="1557">
        <f>J17</f>
        <v>100</v>
      </c>
      <c r="X17" s="1550"/>
      <c r="Y17" s="3407"/>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8"/>
      <c r="L18" s="2124"/>
      <c r="M18" s="2116"/>
      <c r="N18" s="2116"/>
      <c r="O18" s="2123"/>
      <c r="P18" s="3407"/>
      <c r="Q18" s="1555"/>
      <c r="R18" s="1556"/>
      <c r="S18" s="1557"/>
      <c r="T18" s="1556"/>
      <c r="U18" s="1557"/>
      <c r="V18" s="1556"/>
      <c r="W18" s="1557"/>
      <c r="X18" s="1550"/>
      <c r="Y18" s="3407"/>
      <c r="Z18" s="1558"/>
      <c r="AA18" s="1559">
        <v>1</v>
      </c>
      <c r="AB18" s="1559">
        <v>1</v>
      </c>
      <c r="AC18" s="1559">
        <v>1</v>
      </c>
    </row>
    <row r="19" spans="1:29" ht="42.75">
      <c r="A19" s="531"/>
      <c r="B19" s="2561" t="s">
        <v>2537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4"/>
      <c r="M19" s="2116"/>
      <c r="N19" s="2116"/>
      <c r="O19" s="2123"/>
      <c r="P19" s="3407"/>
      <c r="Q19" s="1555" t="str">
        <f>B19</f>
        <v>公共配套设施</v>
      </c>
      <c r="R19" s="1556" t="s">
        <v>8</v>
      </c>
      <c r="S19" s="1557">
        <f>F19</f>
        <v>100</v>
      </c>
      <c r="T19" s="1556" t="s">
        <v>8</v>
      </c>
      <c r="U19" s="1557">
        <f>H19</f>
        <v>100</v>
      </c>
      <c r="V19" s="1556" t="s">
        <v>8</v>
      </c>
      <c r="W19" s="1557">
        <f>J19</f>
        <v>100</v>
      </c>
      <c r="X19" s="1550"/>
      <c r="Y19" s="3407"/>
      <c r="Z19" s="1558" t="str">
        <f>Q19</f>
        <v>公共配套设施</v>
      </c>
      <c r="AA19" s="1559">
        <f t="shared" si="3"/>
        <v>1</v>
      </c>
      <c r="AB19" s="1559">
        <f t="shared" si="4"/>
        <v>1</v>
      </c>
      <c r="AC19" s="1559">
        <f t="shared" si="5"/>
        <v>1</v>
      </c>
    </row>
    <row r="20" spans="1:29" ht="15">
      <c r="A20" s="531"/>
      <c r="B20" s="594"/>
      <c r="C20" s="575"/>
      <c r="D20" s="554"/>
      <c r="E20" s="555"/>
      <c r="F20" s="556"/>
      <c r="G20" s="557"/>
      <c r="H20" s="554"/>
      <c r="I20" s="555"/>
      <c r="J20" s="554"/>
      <c r="K20" s="898"/>
      <c r="L20" s="2124"/>
      <c r="M20" s="2116"/>
      <c r="N20" s="2116"/>
      <c r="O20" s="2123"/>
      <c r="P20" s="3407"/>
      <c r="Q20" s="1555"/>
      <c r="R20" s="1556"/>
      <c r="S20" s="1557"/>
      <c r="T20" s="1556"/>
      <c r="U20" s="1557"/>
      <c r="V20" s="1556"/>
      <c r="W20" s="1557"/>
      <c r="X20" s="1550"/>
      <c r="Y20" s="3407"/>
      <c r="Z20" s="1558"/>
      <c r="AA20" s="1559">
        <v>1</v>
      </c>
      <c r="AB20" s="1559">
        <v>1</v>
      </c>
      <c r="AC20" s="1559">
        <v>1</v>
      </c>
    </row>
    <row r="21" spans="1:29" ht="28.5">
      <c r="A21" s="531"/>
      <c r="B21" s="2554" t="s">
        <v>2549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4"/>
      <c r="M21" s="2116"/>
      <c r="N21" s="2116"/>
      <c r="O21" s="2123"/>
      <c r="P21" s="3407"/>
      <c r="Q21" s="2540" t="str">
        <f>B21</f>
        <v>基础设施水平</v>
      </c>
      <c r="R21" s="1556" t="s">
        <v>8</v>
      </c>
      <c r="S21" s="1557">
        <f>F21</f>
        <v>100</v>
      </c>
      <c r="T21" s="1556" t="s">
        <v>8</v>
      </c>
      <c r="U21" s="1557">
        <f>H21</f>
        <v>100</v>
      </c>
      <c r="V21" s="1556" t="s">
        <v>8</v>
      </c>
      <c r="W21" s="1557">
        <f>J21</f>
        <v>100</v>
      </c>
      <c r="X21" s="2542"/>
      <c r="Y21" s="3407"/>
      <c r="Z21" s="2541" t="str">
        <f>Q21</f>
        <v>基础设施水平</v>
      </c>
      <c r="AA21" s="1559">
        <f t="shared" ref="AA21" si="8">D21/F21</f>
        <v>1</v>
      </c>
      <c r="AB21" s="1559">
        <f t="shared" ref="AB21" si="9">D21/H21</f>
        <v>1</v>
      </c>
      <c r="AC21" s="1559">
        <f t="shared" ref="AC21" si="10">D21/J21</f>
        <v>1</v>
      </c>
    </row>
    <row r="22" spans="1:29" ht="15">
      <c r="A22" s="531"/>
      <c r="B22" s="921"/>
      <c r="C22" s="872"/>
      <c r="D22" s="554"/>
      <c r="E22" s="575"/>
      <c r="F22" s="556"/>
      <c r="G22" s="575"/>
      <c r="H22" s="554"/>
      <c r="I22" s="575"/>
      <c r="J22" s="554"/>
      <c r="K22" s="2563"/>
      <c r="L22" s="2124"/>
      <c r="M22" s="2116"/>
      <c r="N22" s="2116"/>
      <c r="O22" s="2123"/>
      <c r="P22" s="3407"/>
      <c r="Q22" s="2540"/>
      <c r="R22" s="1556"/>
      <c r="S22" s="1557"/>
      <c r="T22" s="1556"/>
      <c r="U22" s="1557"/>
      <c r="V22" s="1556"/>
      <c r="W22" s="1557"/>
      <c r="X22" s="2542"/>
      <c r="Y22" s="3407"/>
      <c r="Z22" s="2541"/>
      <c r="AA22" s="1559">
        <v>1</v>
      </c>
      <c r="AB22" s="1559">
        <v>1</v>
      </c>
      <c r="AC22" s="1559">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4"/>
      <c r="M23" s="2116"/>
      <c r="N23" s="2116"/>
      <c r="O23" s="2123"/>
      <c r="P23" s="3407"/>
      <c r="Q23" s="1555" t="str">
        <f>B23</f>
        <v>自然及人文环境</v>
      </c>
      <c r="R23" s="1556" t="s">
        <v>8</v>
      </c>
      <c r="S23" s="1557">
        <f>F23</f>
        <v>100</v>
      </c>
      <c r="T23" s="1556" t="s">
        <v>8</v>
      </c>
      <c r="U23" s="1557">
        <f>H23</f>
        <v>100</v>
      </c>
      <c r="V23" s="1556" t="s">
        <v>8</v>
      </c>
      <c r="W23" s="1557">
        <f>J23</f>
        <v>100</v>
      </c>
      <c r="X23" s="1550"/>
      <c r="Y23" s="3407"/>
      <c r="Z23" s="1558" t="str">
        <f>Q23</f>
        <v>自然及人文环境</v>
      </c>
      <c r="AA23" s="1559">
        <f t="shared" si="3"/>
        <v>1</v>
      </c>
      <c r="AB23" s="1559">
        <f t="shared" si="4"/>
        <v>1</v>
      </c>
      <c r="AC23" s="1559">
        <f t="shared" si="5"/>
        <v>1</v>
      </c>
    </row>
    <row r="24" spans="1:29" ht="15">
      <c r="A24" s="531"/>
      <c r="B24" s="594"/>
      <c r="C24" s="575"/>
      <c r="D24" s="554"/>
      <c r="E24" s="555"/>
      <c r="F24" s="556"/>
      <c r="G24" s="557"/>
      <c r="H24" s="554"/>
      <c r="I24" s="555"/>
      <c r="J24" s="554"/>
      <c r="K24" s="898"/>
      <c r="L24" s="2124"/>
      <c r="M24" s="2116"/>
      <c r="N24" s="2116"/>
      <c r="O24" s="2123"/>
      <c r="P24" s="3407"/>
      <c r="Q24" s="1555"/>
      <c r="R24" s="1556"/>
      <c r="S24" s="1557"/>
      <c r="T24" s="1556"/>
      <c r="U24" s="1557"/>
      <c r="V24" s="1556"/>
      <c r="W24" s="1557"/>
      <c r="X24" s="1550"/>
      <c r="Y24" s="3407"/>
      <c r="Z24" s="1558"/>
      <c r="AA24" s="1559">
        <v>1</v>
      </c>
      <c r="AB24" s="1559">
        <v>1</v>
      </c>
      <c r="AC24" s="1559">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407"/>
      <c r="Q25" s="1555" t="str">
        <f t="shared" ref="Q25:Q46" si="11">B25</f>
        <v>临街状况</v>
      </c>
      <c r="R25" s="1556" t="s">
        <v>8</v>
      </c>
      <c r="S25" s="1557">
        <f>F25</f>
        <v>100</v>
      </c>
      <c r="T25" s="1556" t="s">
        <v>8</v>
      </c>
      <c r="U25" s="1557">
        <f>H25</f>
        <v>100</v>
      </c>
      <c r="V25" s="1556" t="s">
        <v>8</v>
      </c>
      <c r="W25" s="1557">
        <f>J25</f>
        <v>100</v>
      </c>
      <c r="X25" s="1550"/>
      <c r="Y25" s="3407"/>
      <c r="Z25" s="1558" t="str">
        <f>Q25</f>
        <v>临街状况</v>
      </c>
      <c r="AA25" s="1559">
        <f t="shared" si="3"/>
        <v>1</v>
      </c>
      <c r="AB25" s="1559">
        <f t="shared" si="4"/>
        <v>1</v>
      </c>
      <c r="AC25" s="1559">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407"/>
      <c r="Q26" s="1555" t="str">
        <f t="shared" si="11"/>
        <v>平面位置/可视性</v>
      </c>
      <c r="R26" s="1556" t="s">
        <v>8</v>
      </c>
      <c r="S26" s="1557">
        <f>F26</f>
        <v>100</v>
      </c>
      <c r="T26" s="1556" t="s">
        <v>8</v>
      </c>
      <c r="U26" s="1557">
        <f>H26</f>
        <v>100</v>
      </c>
      <c r="V26" s="1556" t="s">
        <v>8</v>
      </c>
      <c r="W26" s="1557">
        <f>J26</f>
        <v>100</v>
      </c>
      <c r="X26" s="1550"/>
      <c r="Y26" s="3407"/>
      <c r="Z26" s="1558" t="str">
        <f>Q26</f>
        <v>平面位置/可视性</v>
      </c>
      <c r="AA26" s="1559">
        <f t="shared" si="3"/>
        <v>1</v>
      </c>
      <c r="AB26" s="1559">
        <f t="shared" si="4"/>
        <v>1</v>
      </c>
      <c r="AC26" s="1559">
        <f t="shared" si="5"/>
        <v>1</v>
      </c>
    </row>
    <row r="27" spans="1:29" s="1214"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7"/>
      <c r="M27" s="2118"/>
      <c r="N27" s="2118"/>
      <c r="O27" s="2119"/>
      <c r="P27" s="3407"/>
      <c r="Q27" s="1145" t="str">
        <f t="shared" si="11"/>
        <v>人流量</v>
      </c>
      <c r="R27" s="1551" t="s">
        <v>8</v>
      </c>
      <c r="S27" s="1552">
        <f>F27</f>
        <v>100</v>
      </c>
      <c r="T27" s="1551" t="s">
        <v>8</v>
      </c>
      <c r="U27" s="1552">
        <f>H27</f>
        <v>100</v>
      </c>
      <c r="V27" s="1551" t="s">
        <v>8</v>
      </c>
      <c r="W27" s="1552">
        <f>J27</f>
        <v>100</v>
      </c>
      <c r="X27" s="1553"/>
      <c r="Y27" s="3407"/>
      <c r="Z27" s="1144" t="str">
        <f>Q27</f>
        <v>人流量</v>
      </c>
      <c r="AA27" s="1559">
        <f>D27/F27</f>
        <v>1</v>
      </c>
      <c r="AB27" s="1559">
        <f>D27/H27</f>
        <v>1</v>
      </c>
      <c r="AC27" s="1559">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407"/>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07"/>
      <c r="Z28" s="1558" t="str">
        <f t="shared" ref="Z28:Z46" si="15">Q28</f>
        <v>楼层</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407"/>
      <c r="Q29" s="1555">
        <f t="shared" si="11"/>
        <v>111</v>
      </c>
      <c r="R29" s="1556" t="s">
        <v>8</v>
      </c>
      <c r="S29" s="1557">
        <f t="shared" si="12"/>
        <v>100</v>
      </c>
      <c r="T29" s="1556" t="s">
        <v>8</v>
      </c>
      <c r="U29" s="1557">
        <f t="shared" si="13"/>
        <v>100</v>
      </c>
      <c r="V29" s="1556" t="s">
        <v>8</v>
      </c>
      <c r="W29" s="1557">
        <f t="shared" si="14"/>
        <v>100</v>
      </c>
      <c r="X29" s="1550"/>
      <c r="Y29" s="3407"/>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407"/>
      <c r="Q30" s="1555">
        <f t="shared" si="11"/>
        <v>111</v>
      </c>
      <c r="R30" s="1556" t="s">
        <v>8</v>
      </c>
      <c r="S30" s="1557">
        <f t="shared" si="12"/>
        <v>100</v>
      </c>
      <c r="T30" s="1556" t="s">
        <v>8</v>
      </c>
      <c r="U30" s="1557">
        <f t="shared" si="13"/>
        <v>100</v>
      </c>
      <c r="V30" s="1556" t="s">
        <v>8</v>
      </c>
      <c r="W30" s="1557">
        <f t="shared" si="14"/>
        <v>100</v>
      </c>
      <c r="X30" s="1550"/>
      <c r="Y30" s="3407"/>
      <c r="Z30" s="1558">
        <f t="shared" si="15"/>
        <v>111</v>
      </c>
      <c r="AA30" s="1559">
        <f t="shared" si="3"/>
        <v>1</v>
      </c>
      <c r="AB30" s="1559">
        <f t="shared" si="4"/>
        <v>1</v>
      </c>
      <c r="AC30" s="1559">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407"/>
      <c r="Q31" s="1555">
        <f t="shared" si="11"/>
        <v>111</v>
      </c>
      <c r="R31" s="1556" t="s">
        <v>8</v>
      </c>
      <c r="S31" s="1557">
        <f t="shared" si="12"/>
        <v>100</v>
      </c>
      <c r="T31" s="1556" t="s">
        <v>8</v>
      </c>
      <c r="U31" s="1557">
        <f t="shared" si="13"/>
        <v>100</v>
      </c>
      <c r="V31" s="1556" t="s">
        <v>8</v>
      </c>
      <c r="W31" s="1557">
        <f t="shared" si="14"/>
        <v>100</v>
      </c>
      <c r="X31" s="1550"/>
      <c r="Y31" s="3407"/>
      <c r="Z31" s="1558">
        <f t="shared" si="15"/>
        <v>111</v>
      </c>
      <c r="AA31" s="1559">
        <f t="shared" si="3"/>
        <v>1</v>
      </c>
      <c r="AB31" s="1559">
        <f t="shared" si="4"/>
        <v>1</v>
      </c>
      <c r="AC31" s="1559">
        <f t="shared" si="5"/>
        <v>1</v>
      </c>
    </row>
    <row r="32" spans="1:29" ht="15">
      <c r="A32" s="2743" t="s">
        <v>2745</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408" t="s">
        <v>550</v>
      </c>
      <c r="Q32" s="1555" t="str">
        <f t="shared" si="11"/>
        <v>商业类型</v>
      </c>
      <c r="R32" s="1556" t="s">
        <v>8</v>
      </c>
      <c r="S32" s="1557">
        <f t="shared" si="12"/>
        <v>100</v>
      </c>
      <c r="T32" s="1556" t="s">
        <v>8</v>
      </c>
      <c r="U32" s="1557">
        <f t="shared" si="13"/>
        <v>100</v>
      </c>
      <c r="V32" s="1556" t="s">
        <v>8</v>
      </c>
      <c r="W32" s="1557">
        <f t="shared" si="14"/>
        <v>100</v>
      </c>
      <c r="X32" s="1550"/>
      <c r="Y32" s="3409" t="s">
        <v>550</v>
      </c>
      <c r="Z32" s="1558" t="str">
        <f t="shared" si="15"/>
        <v>商业类型</v>
      </c>
      <c r="AA32" s="1559">
        <f t="shared" si="3"/>
        <v>1</v>
      </c>
      <c r="AB32" s="1559">
        <f t="shared" si="4"/>
        <v>1</v>
      </c>
      <c r="AC32" s="1559">
        <f t="shared" si="5"/>
        <v>1</v>
      </c>
    </row>
    <row r="33" spans="1:29" s="1333"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409"/>
      <c r="Q33" s="1587" t="str">
        <f t="shared" si="11"/>
        <v>项目建筑规模</v>
      </c>
      <c r="R33" s="1560" t="s">
        <v>8</v>
      </c>
      <c r="S33" s="1561" t="e">
        <f t="shared" si="12"/>
        <v>#N/A</v>
      </c>
      <c r="T33" s="1560" t="s">
        <v>8</v>
      </c>
      <c r="U33" s="1561" t="e">
        <f t="shared" si="13"/>
        <v>#N/A</v>
      </c>
      <c r="V33" s="1560" t="s">
        <v>8</v>
      </c>
      <c r="W33" s="1561" t="e">
        <f t="shared" si="14"/>
        <v>#N/A</v>
      </c>
      <c r="X33" s="1562"/>
      <c r="Y33" s="3409"/>
      <c r="Z33" s="1563" t="str">
        <f t="shared" si="15"/>
        <v>项目建筑规模</v>
      </c>
      <c r="AA33" s="1559" t="e">
        <f t="shared" si="3"/>
        <v>#N/A</v>
      </c>
      <c r="AB33" s="1559" t="e">
        <f t="shared" si="4"/>
        <v>#N/A</v>
      </c>
      <c r="AC33" s="1559"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4"/>
      <c r="M34" s="2116"/>
      <c r="N34" s="2116"/>
      <c r="O34" s="2123"/>
      <c r="P34" s="3409"/>
      <c r="Q34" s="1555" t="str">
        <f t="shared" si="11"/>
        <v>建筑结构</v>
      </c>
      <c r="R34" s="1556" t="s">
        <v>8</v>
      </c>
      <c r="S34" s="1557">
        <f t="shared" si="12"/>
        <v>100</v>
      </c>
      <c r="T34" s="1556" t="s">
        <v>8</v>
      </c>
      <c r="U34" s="1557">
        <f t="shared" si="13"/>
        <v>100</v>
      </c>
      <c r="V34" s="1556" t="s">
        <v>8</v>
      </c>
      <c r="W34" s="1557">
        <f t="shared" si="14"/>
        <v>100</v>
      </c>
      <c r="X34" s="1550"/>
      <c r="Y34" s="3409"/>
      <c r="Z34" s="1558" t="str">
        <f t="shared" si="15"/>
        <v>建筑结构</v>
      </c>
      <c r="AA34" s="1559">
        <f t="shared" si="3"/>
        <v>1</v>
      </c>
      <c r="AB34" s="1559">
        <f t="shared" si="4"/>
        <v>1</v>
      </c>
      <c r="AC34" s="1559">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409"/>
      <c r="Q35" s="1555" t="str">
        <f t="shared" si="11"/>
        <v>公共部分装修</v>
      </c>
      <c r="R35" s="1556" t="s">
        <v>8</v>
      </c>
      <c r="S35" s="1557">
        <f t="shared" si="12"/>
        <v>100</v>
      </c>
      <c r="T35" s="1556" t="s">
        <v>8</v>
      </c>
      <c r="U35" s="1557">
        <f t="shared" si="13"/>
        <v>100</v>
      </c>
      <c r="V35" s="1556" t="s">
        <v>8</v>
      </c>
      <c r="W35" s="1557">
        <f t="shared" si="14"/>
        <v>100</v>
      </c>
      <c r="X35" s="1550"/>
      <c r="Y35" s="3409"/>
      <c r="Z35" s="1558" t="str">
        <f t="shared" si="15"/>
        <v>公共部分装修</v>
      </c>
      <c r="AA35" s="1559">
        <f t="shared" si="3"/>
        <v>1</v>
      </c>
      <c r="AB35" s="1559">
        <f t="shared" si="4"/>
        <v>1</v>
      </c>
      <c r="AC35" s="1559">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4"/>
      <c r="M36" s="2116"/>
      <c r="N36" s="2116"/>
      <c r="O36" s="2123"/>
      <c r="P36" s="3409"/>
      <c r="Q36" s="1555" t="str">
        <f t="shared" si="11"/>
        <v>成新度</v>
      </c>
      <c r="R36" s="1556" t="s">
        <v>8</v>
      </c>
      <c r="S36" s="1557" t="e">
        <f t="shared" si="12"/>
        <v>#N/A</v>
      </c>
      <c r="T36" s="1556" t="s">
        <v>8</v>
      </c>
      <c r="U36" s="1557" t="e">
        <f t="shared" si="13"/>
        <v>#N/A</v>
      </c>
      <c r="V36" s="1556" t="s">
        <v>8</v>
      </c>
      <c r="W36" s="1557" t="e">
        <f t="shared" si="14"/>
        <v>#N/A</v>
      </c>
      <c r="X36" s="1550"/>
      <c r="Y36" s="3409"/>
      <c r="Z36" s="1558" t="str">
        <f t="shared" si="15"/>
        <v>成新度</v>
      </c>
      <c r="AA36" s="1559" t="e">
        <f t="shared" si="3"/>
        <v>#N/A</v>
      </c>
      <c r="AB36" s="1559" t="e">
        <f t="shared" si="4"/>
        <v>#N/A</v>
      </c>
      <c r="AC36" s="1559" t="e">
        <f t="shared" si="5"/>
        <v>#N/A</v>
      </c>
    </row>
    <row r="37" spans="1:29" s="1214" customFormat="1" ht="15">
      <c r="A37" s="599"/>
      <c r="B37" s="1877" t="s">
        <v>2556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409"/>
      <c r="Q37" s="1145" t="str">
        <f t="shared" si="11"/>
        <v>市政基础设施</v>
      </c>
      <c r="R37" s="1551" t="s">
        <v>8</v>
      </c>
      <c r="S37" s="1552">
        <f t="shared" si="12"/>
        <v>100</v>
      </c>
      <c r="T37" s="1551" t="s">
        <v>8</v>
      </c>
      <c r="U37" s="1552">
        <f t="shared" si="13"/>
        <v>100</v>
      </c>
      <c r="V37" s="1551" t="s">
        <v>8</v>
      </c>
      <c r="W37" s="1552">
        <f t="shared" si="14"/>
        <v>100</v>
      </c>
      <c r="X37" s="1553"/>
      <c r="Y37" s="3409"/>
      <c r="Z37" s="1144" t="str">
        <f t="shared" si="15"/>
        <v>市政基础设施</v>
      </c>
      <c r="AA37" s="1554">
        <f t="shared" si="3"/>
        <v>1</v>
      </c>
      <c r="AB37" s="1554">
        <f t="shared" si="4"/>
        <v>1</v>
      </c>
      <c r="AC37" s="1554">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409" t="s">
        <v>766</v>
      </c>
      <c r="Q38" s="1555" t="str">
        <f t="shared" si="11"/>
        <v>业态</v>
      </c>
      <c r="R38" s="1556" t="s">
        <v>8</v>
      </c>
      <c r="S38" s="1557">
        <f t="shared" si="12"/>
        <v>100</v>
      </c>
      <c r="T38" s="1556" t="s">
        <v>8</v>
      </c>
      <c r="U38" s="1557">
        <f t="shared" si="13"/>
        <v>100</v>
      </c>
      <c r="V38" s="1556" t="s">
        <v>8</v>
      </c>
      <c r="W38" s="1557">
        <f t="shared" si="14"/>
        <v>100</v>
      </c>
      <c r="X38" s="1550"/>
      <c r="Y38" s="3409" t="s">
        <v>766</v>
      </c>
      <c r="Z38" s="1558" t="str">
        <f t="shared" si="15"/>
        <v>业态</v>
      </c>
      <c r="AA38" s="1559">
        <f t="shared" si="3"/>
        <v>1</v>
      </c>
      <c r="AB38" s="1559">
        <f t="shared" si="4"/>
        <v>1</v>
      </c>
      <c r="AC38" s="1559">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09"/>
      <c r="Q39" s="1555" t="str">
        <f t="shared" si="11"/>
        <v>层高</v>
      </c>
      <c r="R39" s="1556" t="s">
        <v>8</v>
      </c>
      <c r="S39" s="1557">
        <f t="shared" si="12"/>
        <v>100</v>
      </c>
      <c r="T39" s="1556" t="s">
        <v>8</v>
      </c>
      <c r="U39" s="1557">
        <f t="shared" si="13"/>
        <v>100</v>
      </c>
      <c r="V39" s="1556" t="s">
        <v>8</v>
      </c>
      <c r="W39" s="1557">
        <f t="shared" si="14"/>
        <v>100</v>
      </c>
      <c r="X39" s="1550"/>
      <c r="Y39" s="3409"/>
      <c r="Z39" s="1558" t="str">
        <f t="shared" si="15"/>
        <v>层高</v>
      </c>
      <c r="AA39" s="1559">
        <f t="shared" si="3"/>
        <v>1</v>
      </c>
      <c r="AB39" s="1559">
        <f t="shared" si="4"/>
        <v>1</v>
      </c>
      <c r="AC39" s="1559">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4"/>
      <c r="M40" s="2116"/>
      <c r="N40" s="2116"/>
      <c r="O40" s="2123"/>
      <c r="P40" s="3409"/>
      <c r="Q40" s="1555" t="str">
        <f t="shared" si="11"/>
        <v>单套建筑面积</v>
      </c>
      <c r="R40" s="1556" t="s">
        <v>8</v>
      </c>
      <c r="S40" s="1557">
        <f t="shared" si="12"/>
        <v>100</v>
      </c>
      <c r="T40" s="1556" t="s">
        <v>8</v>
      </c>
      <c r="U40" s="1557">
        <f t="shared" si="13"/>
        <v>100</v>
      </c>
      <c r="V40" s="1556" t="s">
        <v>8</v>
      </c>
      <c r="W40" s="1557">
        <f t="shared" si="14"/>
        <v>100</v>
      </c>
      <c r="X40" s="1550"/>
      <c r="Y40" s="3409"/>
      <c r="Z40" s="1558" t="str">
        <f t="shared" si="15"/>
        <v>单套建筑面积</v>
      </c>
      <c r="AA40" s="1559">
        <f t="shared" si="3"/>
        <v>1</v>
      </c>
      <c r="AB40" s="1559">
        <f t="shared" si="4"/>
        <v>1</v>
      </c>
      <c r="AC40" s="1559">
        <f t="shared" si="5"/>
        <v>1</v>
      </c>
    </row>
    <row r="41" spans="1:29" s="1333"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409"/>
      <c r="Q41" s="1587" t="str">
        <f t="shared" si="11"/>
        <v>进深比</v>
      </c>
      <c r="R41" s="1560" t="s">
        <v>8</v>
      </c>
      <c r="S41" s="1561">
        <f t="shared" si="12"/>
        <v>100</v>
      </c>
      <c r="T41" s="1560" t="s">
        <v>8</v>
      </c>
      <c r="U41" s="1561">
        <f t="shared" si="13"/>
        <v>100</v>
      </c>
      <c r="V41" s="1560" t="s">
        <v>8</v>
      </c>
      <c r="W41" s="1561">
        <f t="shared" si="14"/>
        <v>100</v>
      </c>
      <c r="X41" s="1562"/>
      <c r="Y41" s="3409"/>
      <c r="Z41" s="1563" t="str">
        <f t="shared" si="15"/>
        <v>进深比</v>
      </c>
      <c r="AA41" s="1559">
        <f t="shared" si="3"/>
        <v>1</v>
      </c>
      <c r="AB41" s="1559">
        <f t="shared" si="4"/>
        <v>1</v>
      </c>
      <c r="AC41" s="1559">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409"/>
      <c r="Q42" s="1555" t="str">
        <f t="shared" si="11"/>
        <v>内部装修</v>
      </c>
      <c r="R42" s="1556" t="s">
        <v>8</v>
      </c>
      <c r="S42" s="1557">
        <f t="shared" si="12"/>
        <v>100</v>
      </c>
      <c r="T42" s="1556" t="s">
        <v>8</v>
      </c>
      <c r="U42" s="1557">
        <f t="shared" si="13"/>
        <v>100</v>
      </c>
      <c r="V42" s="1556" t="s">
        <v>8</v>
      </c>
      <c r="W42" s="1557">
        <f t="shared" si="14"/>
        <v>100</v>
      </c>
      <c r="X42" s="1550"/>
      <c r="Y42" s="3409"/>
      <c r="Z42" s="1558" t="str">
        <f t="shared" si="15"/>
        <v>内部装修</v>
      </c>
      <c r="AA42" s="1559">
        <f t="shared" si="3"/>
        <v>1</v>
      </c>
      <c r="AB42" s="1559">
        <f t="shared" si="4"/>
        <v>1</v>
      </c>
      <c r="AC42" s="1559">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409"/>
      <c r="Q43" s="1555" t="str">
        <f t="shared" si="11"/>
        <v>内部装修维护情况</v>
      </c>
      <c r="R43" s="1556" t="s">
        <v>8</v>
      </c>
      <c r="S43" s="1557">
        <f t="shared" si="12"/>
        <v>100</v>
      </c>
      <c r="T43" s="1556" t="s">
        <v>8</v>
      </c>
      <c r="U43" s="1557">
        <f t="shared" si="13"/>
        <v>100</v>
      </c>
      <c r="V43" s="1556" t="s">
        <v>8</v>
      </c>
      <c r="W43" s="1557">
        <f t="shared" si="14"/>
        <v>100</v>
      </c>
      <c r="X43" s="1550"/>
      <c r="Y43" s="3409"/>
      <c r="Z43" s="1558" t="str">
        <f t="shared" si="15"/>
        <v>内部装修维护情况</v>
      </c>
      <c r="AA43" s="1559">
        <f t="shared" si="3"/>
        <v>1</v>
      </c>
      <c r="AB43" s="1559">
        <f t="shared" si="4"/>
        <v>1</v>
      </c>
      <c r="AC43" s="1559">
        <f t="shared" si="5"/>
        <v>1</v>
      </c>
    </row>
    <row r="44" spans="1:29" s="1214"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409"/>
      <c r="Q44" s="1145">
        <f t="shared" si="11"/>
        <v>111</v>
      </c>
      <c r="R44" s="1551" t="s">
        <v>8</v>
      </c>
      <c r="S44" s="1552">
        <f t="shared" si="12"/>
        <v>100</v>
      </c>
      <c r="T44" s="1551" t="s">
        <v>8</v>
      </c>
      <c r="U44" s="1552">
        <f t="shared" si="13"/>
        <v>100</v>
      </c>
      <c r="V44" s="1551" t="s">
        <v>8</v>
      </c>
      <c r="W44" s="1552">
        <f t="shared" si="14"/>
        <v>100</v>
      </c>
      <c r="X44" s="1553"/>
      <c r="Y44" s="3409"/>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409"/>
      <c r="Q45" s="1555">
        <f t="shared" si="11"/>
        <v>111</v>
      </c>
      <c r="R45" s="1556" t="s">
        <v>8</v>
      </c>
      <c r="S45" s="1557">
        <f t="shared" si="12"/>
        <v>100</v>
      </c>
      <c r="T45" s="1556" t="s">
        <v>8</v>
      </c>
      <c r="U45" s="1557">
        <f t="shared" si="13"/>
        <v>100</v>
      </c>
      <c r="V45" s="1556" t="s">
        <v>8</v>
      </c>
      <c r="W45" s="1557">
        <f t="shared" si="14"/>
        <v>100</v>
      </c>
      <c r="X45" s="1550"/>
      <c r="Y45" s="3409"/>
      <c r="Z45" s="1558">
        <f t="shared" si="15"/>
        <v>111</v>
      </c>
      <c r="AA45" s="1559">
        <f t="shared" si="3"/>
        <v>1</v>
      </c>
      <c r="AB45" s="1559">
        <f t="shared" si="4"/>
        <v>1</v>
      </c>
      <c r="AC45" s="1559">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509"/>
      <c r="Q46" s="1555">
        <f t="shared" si="11"/>
        <v>111</v>
      </c>
      <c r="R46" s="1556" t="s">
        <v>8</v>
      </c>
      <c r="S46" s="1557">
        <f t="shared" si="12"/>
        <v>100</v>
      </c>
      <c r="T46" s="1556" t="s">
        <v>8</v>
      </c>
      <c r="U46" s="1557">
        <f t="shared" si="13"/>
        <v>100</v>
      </c>
      <c r="V46" s="1556" t="s">
        <v>8</v>
      </c>
      <c r="W46" s="1557">
        <f t="shared" si="14"/>
        <v>100</v>
      </c>
      <c r="X46" s="1550"/>
      <c r="Y46" s="3509"/>
      <c r="Z46" s="1558">
        <f t="shared" si="15"/>
        <v>111</v>
      </c>
      <c r="AA46" s="1559">
        <f t="shared" si="3"/>
        <v>1</v>
      </c>
      <c r="AB46" s="1559">
        <f t="shared" si="4"/>
        <v>1</v>
      </c>
      <c r="AC46" s="1559">
        <f t="shared" si="5"/>
        <v>1</v>
      </c>
    </row>
    <row r="47" spans="1:29" ht="15">
      <c r="A47" s="606" t="s">
        <v>736</v>
      </c>
      <c r="B47" s="886"/>
      <c r="C47" s="2588" t="s">
        <v>1</v>
      </c>
      <c r="D47" s="2589"/>
      <c r="E47" s="2590"/>
      <c r="F47" s="2591"/>
      <c r="G47" s="2592"/>
      <c r="H47" s="2593"/>
      <c r="I47" s="2590"/>
      <c r="J47" s="2593"/>
      <c r="K47" s="1593"/>
      <c r="L47" s="2126"/>
      <c r="M47" s="2127"/>
      <c r="N47" s="2116"/>
      <c r="O47" s="2127"/>
      <c r="P47" s="3404" t="str">
        <f>A47</f>
        <v>成交单价（元/平方米）</v>
      </c>
      <c r="Q47" s="3404"/>
      <c r="R47" s="3508">
        <f>E47</f>
        <v>0</v>
      </c>
      <c r="S47" s="3508"/>
      <c r="T47" s="3508">
        <f>G47</f>
        <v>0</v>
      </c>
      <c r="U47" s="3508"/>
      <c r="V47" s="3508">
        <f>I47</f>
        <v>0</v>
      </c>
      <c r="W47" s="3508"/>
      <c r="X47" s="1542"/>
      <c r="Y47" s="1564"/>
      <c r="Z47" s="1542"/>
      <c r="AA47" s="1542"/>
      <c r="AB47" s="1542"/>
      <c r="AC47" s="1542"/>
    </row>
    <row r="48" spans="1:29" ht="15.75" thickBot="1">
      <c r="A48" s="614" t="s">
        <v>2750</v>
      </c>
      <c r="B48" s="887"/>
      <c r="C48" s="2594" t="e">
        <f>R49</f>
        <v>#DIV/0!</v>
      </c>
      <c r="D48" s="2595"/>
      <c r="E48" s="2596" t="e">
        <f>R48</f>
        <v>#DIV/0!</v>
      </c>
      <c r="F48" s="2596"/>
      <c r="G48" s="2594" t="e">
        <f>T48</f>
        <v>#DIV/0!</v>
      </c>
      <c r="H48" s="2595"/>
      <c r="I48" s="2596" t="e">
        <f>V48</f>
        <v>#DIV/0!</v>
      </c>
      <c r="J48" s="2595"/>
      <c r="K48" s="1594"/>
      <c r="L48" s="2126"/>
      <c r="M48" s="2127"/>
      <c r="N48" s="2116"/>
      <c r="O48" s="2127"/>
      <c r="P48" s="3404" t="str">
        <f>A48</f>
        <v>比较价格（元/平方米）</v>
      </c>
      <c r="Q48" s="3404"/>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42"/>
      <c r="Y48" s="1542"/>
      <c r="Z48" s="1542"/>
      <c r="AA48" s="1542"/>
      <c r="AB48" s="1542"/>
      <c r="AC48" s="1542"/>
    </row>
    <row r="49" spans="1:29" ht="15.75" thickBot="1">
      <c r="A49" s="620" t="s">
        <v>2925</v>
      </c>
      <c r="B49" s="621"/>
      <c r="C49" s="2597" t="e">
        <f>R49</f>
        <v>#DIV/0!</v>
      </c>
      <c r="D49" s="2597"/>
      <c r="E49" s="2597"/>
      <c r="F49" s="2597"/>
      <c r="G49" s="2597"/>
      <c r="H49" s="2597"/>
      <c r="I49" s="2597"/>
      <c r="J49" s="2597"/>
      <c r="K49" s="1595"/>
      <c r="L49" s="2126"/>
      <c r="M49" s="2127"/>
      <c r="N49" s="2116"/>
      <c r="O49" s="2127"/>
      <c r="P49" s="3425" t="str">
        <f>A49</f>
        <v>估价对象XX用房的比较价格（楼面单价，元/平方米）</v>
      </c>
      <c r="Q49" s="3426"/>
      <c r="R49" s="3507" t="e">
        <f>IF(F1="售价",ROUND(AVERAGE(R48:V48),0),ROUND(AVERAGE(R48:V48),1))</f>
        <v>#DIV/0!</v>
      </c>
      <c r="S49" s="3507"/>
      <c r="T49" s="3507"/>
      <c r="U49" s="3507"/>
      <c r="V49" s="3507"/>
      <c r="W49" s="3507"/>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4" t="s">
        <v>529</v>
      </c>
      <c r="B58" s="645"/>
      <c r="C58" s="2638" t="str">
        <f>YEAR(C7)&amp;"-"&amp;MONTH(C7)</f>
        <v>2020-8</v>
      </c>
      <c r="D58" s="2640">
        <f>EDATE(C58,-1)</f>
        <v>44013</v>
      </c>
      <c r="E58" s="2640">
        <f t="shared" ref="E58:O58" si="16">EDATE(D58,-1)</f>
        <v>43983</v>
      </c>
      <c r="F58" s="2640">
        <f t="shared" si="16"/>
        <v>43952</v>
      </c>
      <c r="G58" s="2640">
        <f t="shared" si="16"/>
        <v>43922</v>
      </c>
      <c r="H58" s="2640">
        <f t="shared" si="16"/>
        <v>43891</v>
      </c>
      <c r="I58" s="2640">
        <f t="shared" si="16"/>
        <v>43862</v>
      </c>
      <c r="J58" s="2640">
        <f t="shared" si="16"/>
        <v>43831</v>
      </c>
      <c r="K58" s="2640">
        <f t="shared" si="16"/>
        <v>43800</v>
      </c>
      <c r="L58" s="2640">
        <f t="shared" si="16"/>
        <v>43770</v>
      </c>
      <c r="M58" s="2640">
        <f t="shared" si="16"/>
        <v>43739</v>
      </c>
      <c r="N58" s="2640">
        <f t="shared" si="16"/>
        <v>43709</v>
      </c>
      <c r="O58" s="2640">
        <f t="shared" si="16"/>
        <v>43678</v>
      </c>
      <c r="P58" s="2142"/>
      <c r="Q58" s="2143"/>
      <c r="R58" s="2143"/>
      <c r="S58" s="2143"/>
      <c r="T58" s="2143"/>
      <c r="U58" s="2143"/>
      <c r="V58" s="2143"/>
      <c r="W58" s="2143"/>
      <c r="X58" s="2143"/>
      <c r="Y58" s="2143"/>
      <c r="Z58" s="2143"/>
      <c r="AA58" s="2143"/>
      <c r="AB58" s="2143"/>
      <c r="AC58" s="2143"/>
    </row>
    <row r="59" spans="1:29" s="1214" customFormat="1" ht="15">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4"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199"/>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2548</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2549</v>
      </c>
      <c r="C82" s="2559" t="s">
        <v>2550</v>
      </c>
      <c r="D82" s="2559" t="s">
        <v>2551</v>
      </c>
      <c r="E82" s="2559" t="s">
        <v>2552</v>
      </c>
      <c r="F82" s="2559" t="s">
        <v>2553</v>
      </c>
      <c r="G82" s="2559" t="s">
        <v>2554</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8"/>
      <c r="B86" s="672" t="s">
        <v>771</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8"/>
      <c r="B88" s="672" t="str">
        <f>B26</f>
        <v>平面位置/可视性</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8"/>
      <c r="B92" s="672" t="str">
        <f>B28</f>
        <v>楼层</v>
      </c>
      <c r="C92" s="687"/>
      <c r="D92" s="687"/>
      <c r="E92" s="687"/>
      <c r="F92" s="687"/>
      <c r="G92" s="687"/>
      <c r="H92" s="687"/>
      <c r="I92" s="687"/>
      <c r="J92" s="687"/>
      <c r="K92" s="687"/>
      <c r="L92" s="889"/>
      <c r="M92" s="89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772</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3">
        <v>0.5</v>
      </c>
      <c r="D110" s="893">
        <v>0.6</v>
      </c>
      <c r="E110" s="893">
        <v>0.7</v>
      </c>
      <c r="F110" s="893">
        <v>0.8</v>
      </c>
      <c r="G110" s="893">
        <v>0.9</v>
      </c>
      <c r="H110" s="893">
        <v>1.0001</v>
      </c>
      <c r="I110" s="904"/>
      <c r="J110" s="904"/>
      <c r="K110" s="905"/>
      <c r="L110" s="906"/>
      <c r="M110" s="907"/>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7"/>
      <c r="B112" s="1878" t="s">
        <v>2547</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8"/>
      <c r="D118" s="908"/>
      <c r="E118" s="908"/>
      <c r="F118" s="908"/>
      <c r="G118" s="908"/>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3">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34 G34 I34" xr:uid="{00000000-0002-0000-2400-000003000000}">
      <formula1>住宅建筑结构</formula1>
    </dataValidation>
    <dataValidation type="list" allowBlank="1" showInputMessage="1" showErrorMessage="1" sqref="C20 G20 I20 E20" xr:uid="{00000000-0002-0000-2400-000004000000}">
      <formula1>公共配套设施</formula1>
    </dataValidation>
    <dataValidation type="list" allowBlank="1" showInputMessage="1" showErrorMessage="1" sqref="E18 G18 I18 C18" xr:uid="{00000000-0002-0000-2400-000005000000}">
      <formula1>交通便捷度</formula1>
    </dataValidation>
    <dataValidation type="list" allowBlank="1" showInputMessage="1" showErrorMessage="1" sqref="E24 G24 I24 C24" xr:uid="{00000000-0002-0000-2400-000006000000}">
      <formula1>环境</formula1>
    </dataValidation>
    <dataValidation type="list" allowBlank="1" showInputMessage="1" showErrorMessage="1" sqref="C25 E25 G25 I25" xr:uid="{00000000-0002-0000-2400-000007000000}">
      <formula1>商业临街状况</formula1>
    </dataValidation>
    <dataValidation type="list" allowBlank="1" showInputMessage="1" showErrorMessage="1" sqref="C27 E27 G27 I27" xr:uid="{00000000-0002-0000-2400-000008000000}">
      <formula1>商业人流量</formula1>
    </dataValidation>
    <dataValidation type="list" allowBlank="1" showInputMessage="1" showErrorMessage="1" sqref="C28 E28 G28 I28" xr:uid="{00000000-0002-0000-2400-000009000000}">
      <formula1>商业楼层</formula1>
    </dataValidation>
    <dataValidation type="list" allowBlank="1" showInputMessage="1" showErrorMessage="1" sqref="C32 E32 G32 I32" xr:uid="{00000000-0002-0000-2400-00000A000000}">
      <formula1>商业类型</formula1>
    </dataValidation>
    <dataValidation type="list" allowBlank="1" showInputMessage="1" showErrorMessage="1" sqref="C34" xr:uid="{00000000-0002-0000-2400-00000B000000}">
      <formula1>商业建筑结构</formula1>
    </dataValidation>
    <dataValidation type="list" allowBlank="1" showInputMessage="1" showErrorMessage="1" sqref="C35 E35 G35 I35" xr:uid="{00000000-0002-0000-2400-00000C000000}">
      <formula1>商业公共部分装修</formula1>
    </dataValidation>
    <dataValidation type="list" allowBlank="1" showInputMessage="1" showErrorMessage="1" sqref="C37 E37 G37 I37" xr:uid="{00000000-0002-0000-2400-00000D000000}">
      <formula1>商业基础设施水平</formula1>
    </dataValidation>
    <dataValidation type="list" allowBlank="1" showInputMessage="1" showErrorMessage="1" sqref="C41 E41 G41 I41" xr:uid="{00000000-0002-0000-2400-00000E000000}">
      <formula1>商业进深比</formula1>
    </dataValidation>
    <dataValidation type="list" allowBlank="1" showInputMessage="1" showErrorMessage="1" sqref="C42 E42 G42 I42" xr:uid="{00000000-0002-0000-2400-00000F000000}">
      <formula1>商业内部装修</formula1>
    </dataValidation>
    <dataValidation type="list" allowBlank="1" showInputMessage="1" showErrorMessage="1" sqref="E9 G9 I9" xr:uid="{00000000-0002-0000-2400-000010000000}">
      <formula1>商业用途</formula1>
    </dataValidation>
    <dataValidation type="list" allowBlank="1" showInputMessage="1" showErrorMessage="1" sqref="C38 E38 G38 I38" xr:uid="{00000000-0002-0000-2400-000011000000}">
      <formula1>商业业态</formula1>
    </dataValidation>
    <dataValidation type="list" allowBlank="1" showInputMessage="1" showErrorMessage="1" sqref="C39 E39 G39 I39" xr:uid="{00000000-0002-0000-2400-000012000000}">
      <formula1>商业层高</formula1>
    </dataValidation>
    <dataValidation type="list" allowBlank="1" showInputMessage="1" showErrorMessage="1" sqref="C8 E8 G8 I8" xr:uid="{00000000-0002-0000-2400-000013000000}">
      <formula1>商业交易情况</formula1>
    </dataValidation>
    <dataValidation type="list" allowBlank="1" showInputMessage="1" showErrorMessage="1" sqref="C16 E16 G16 I16" xr:uid="{00000000-0002-0000-2400-000014000000}">
      <formula1>商业繁华度</formula1>
    </dataValidation>
    <dataValidation type="list" allowBlank="1" showInputMessage="1" showErrorMessage="1" sqref="C22 E22 G22 I22" xr:uid="{00000000-0002-0000-2400-000015000000}">
      <formula1>基础设施水平</formula1>
    </dataValidation>
    <dataValidation type="list" allowBlank="1" showInputMessage="1" showErrorMessage="1" sqref="F1" xr:uid="{00000000-0002-0000-24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3"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777</v>
      </c>
      <c r="C1" s="503" t="s">
        <v>720</v>
      </c>
      <c r="D1" s="848"/>
      <c r="E1" s="505"/>
      <c r="F1" s="2643"/>
      <c r="G1" s="1583" t="s">
        <v>721</v>
      </c>
      <c r="H1" s="505"/>
      <c r="I1" s="505"/>
      <c r="J1" s="505"/>
      <c r="K1" s="506"/>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2" t="s">
        <v>467</v>
      </c>
      <c r="B2" s="849"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1" t="s">
        <v>521</v>
      </c>
      <c r="B4" s="512"/>
      <c r="C4" s="3410" t="s">
        <v>522</v>
      </c>
      <c r="D4" s="3411"/>
      <c r="E4" s="3434" t="s">
        <v>523</v>
      </c>
      <c r="F4" s="3435"/>
      <c r="G4" s="3410" t="s">
        <v>524</v>
      </c>
      <c r="H4" s="3411"/>
      <c r="I4" s="3410" t="s">
        <v>525</v>
      </c>
      <c r="J4" s="3411"/>
      <c r="K4" s="513" t="s">
        <v>526</v>
      </c>
      <c r="L4" s="2115"/>
      <c r="M4" s="2116"/>
      <c r="N4" s="2116"/>
      <c r="O4" s="2116"/>
      <c r="P4" s="3516" t="s">
        <v>527</v>
      </c>
      <c r="Q4" s="3413"/>
      <c r="R4" s="3398" t="s">
        <v>523</v>
      </c>
      <c r="S4" s="3399"/>
      <c r="T4" s="3398" t="s">
        <v>524</v>
      </c>
      <c r="U4" s="3399"/>
      <c r="V4" s="3418" t="s">
        <v>525</v>
      </c>
      <c r="W4" s="3418"/>
      <c r="X4" s="1550"/>
      <c r="Y4" s="3398" t="s">
        <v>527</v>
      </c>
      <c r="Z4" s="3399"/>
      <c r="AA4" s="3393" t="s">
        <v>523</v>
      </c>
      <c r="AB4" s="3393" t="s">
        <v>524</v>
      </c>
      <c r="AC4" s="3393" t="s">
        <v>525</v>
      </c>
    </row>
    <row r="5" spans="1:29" ht="15">
      <c r="A5" s="514"/>
      <c r="B5" s="515"/>
      <c r="C5" s="3421" t="s">
        <v>2919</v>
      </c>
      <c r="D5" s="3422"/>
      <c r="E5" s="3436" t="s">
        <v>2920</v>
      </c>
      <c r="F5" s="3437"/>
      <c r="G5" s="3421" t="s">
        <v>2921</v>
      </c>
      <c r="H5" s="3422"/>
      <c r="I5" s="3421" t="s">
        <v>2922</v>
      </c>
      <c r="J5" s="3422"/>
      <c r="K5" s="513"/>
      <c r="L5" s="2115"/>
      <c r="M5" s="2116"/>
      <c r="N5" s="2116"/>
      <c r="O5" s="2116"/>
      <c r="P5" s="3517"/>
      <c r="Q5" s="3415"/>
      <c r="R5" s="3400"/>
      <c r="S5" s="3401"/>
      <c r="T5" s="3400"/>
      <c r="U5" s="3401"/>
      <c r="V5" s="3418"/>
      <c r="W5" s="3418"/>
      <c r="X5" s="1550"/>
      <c r="Y5" s="3400"/>
      <c r="Z5" s="3401"/>
      <c r="AA5" s="3394"/>
      <c r="AB5" s="3394"/>
      <c r="AC5" s="3394"/>
    </row>
    <row r="6" spans="1:29" ht="15.75" thickBot="1">
      <c r="A6" s="516"/>
      <c r="B6" s="517"/>
      <c r="C6" s="3419" t="s">
        <v>2923</v>
      </c>
      <c r="D6" s="3420"/>
      <c r="E6" s="3438" t="s">
        <v>2923</v>
      </c>
      <c r="F6" s="3439"/>
      <c r="G6" s="3419" t="s">
        <v>2923</v>
      </c>
      <c r="H6" s="3420"/>
      <c r="I6" s="3419" t="s">
        <v>2923</v>
      </c>
      <c r="J6" s="3420"/>
      <c r="K6" s="513" t="s">
        <v>528</v>
      </c>
      <c r="L6" s="2115"/>
      <c r="M6" s="2116"/>
      <c r="N6" s="2116"/>
      <c r="O6" s="2116"/>
      <c r="P6" s="3518"/>
      <c r="Q6" s="3417"/>
      <c r="R6" s="3400"/>
      <c r="S6" s="3401"/>
      <c r="T6" s="3402"/>
      <c r="U6" s="3403"/>
      <c r="V6" s="3418"/>
      <c r="W6" s="3418"/>
      <c r="X6" s="1550"/>
      <c r="Y6" s="3402"/>
      <c r="Z6" s="3403"/>
      <c r="AA6" s="3395"/>
      <c r="AB6" s="3395"/>
      <c r="AC6" s="3395"/>
    </row>
    <row r="7" spans="1:29" s="1214" customFormat="1" ht="15.75" thickBot="1">
      <c r="A7" s="2748"/>
      <c r="B7" s="2755" t="s">
        <v>529</v>
      </c>
      <c r="C7" s="518">
        <f>'数据-取费表'!B2</f>
        <v>44050</v>
      </c>
      <c r="D7" s="519">
        <v>100</v>
      </c>
      <c r="E7" s="520"/>
      <c r="F7" s="521">
        <f>SUMIF(59:59,YEAR(E7)&amp;"-"&amp;MONTH(E7),60:60)</f>
        <v>0</v>
      </c>
      <c r="G7" s="520"/>
      <c r="H7" s="519">
        <f>SUMIF(59:59,YEAR(G7)&amp;"-"&amp;MONTH(G7),60:60)</f>
        <v>0</v>
      </c>
      <c r="I7" s="520"/>
      <c r="J7" s="519">
        <f>SUMIF(59:59,YEAR(I7)&amp;"-"&amp;MONTH(I7),60:60)</f>
        <v>0</v>
      </c>
      <c r="K7" s="523"/>
      <c r="L7" s="2117"/>
      <c r="M7" s="2118"/>
      <c r="N7" s="2118"/>
      <c r="O7" s="2118"/>
      <c r="P7" s="3405" t="s">
        <v>530</v>
      </c>
      <c r="Q7" s="3405"/>
      <c r="R7" s="1551" t="s">
        <v>8</v>
      </c>
      <c r="S7" s="1552">
        <f t="shared" ref="S7:S15" si="0">F7</f>
        <v>0</v>
      </c>
      <c r="T7" s="1551" t="s">
        <v>8</v>
      </c>
      <c r="U7" s="1552">
        <f t="shared" ref="U7:U15" si="1">H7</f>
        <v>0</v>
      </c>
      <c r="V7" s="1551" t="s">
        <v>8</v>
      </c>
      <c r="W7" s="1552">
        <f t="shared" ref="W7:W15" si="2">J7</f>
        <v>0</v>
      </c>
      <c r="X7" s="1553"/>
      <c r="Y7" s="3396" t="s">
        <v>530</v>
      </c>
      <c r="Z7" s="3397"/>
      <c r="AA7" s="1554" t="e">
        <f>D7/F7</f>
        <v>#DIV/0!</v>
      </c>
      <c r="AB7" s="1554" t="e">
        <f>D7/H7</f>
        <v>#DIV/0!</v>
      </c>
      <c r="AC7" s="1554" t="e">
        <f>D7/J7</f>
        <v>#DIV/0!</v>
      </c>
    </row>
    <row r="8" spans="1:29" s="1214" customFormat="1" ht="15.75" thickBot="1">
      <c r="A8" s="2749"/>
      <c r="B8" s="2756"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405" t="s">
        <v>533</v>
      </c>
      <c r="Q8" s="3397"/>
      <c r="R8" s="1551" t="s">
        <v>8</v>
      </c>
      <c r="S8" s="1552">
        <f t="shared" si="0"/>
        <v>0</v>
      </c>
      <c r="T8" s="1551" t="s">
        <v>8</v>
      </c>
      <c r="U8" s="1552">
        <f t="shared" si="1"/>
        <v>0</v>
      </c>
      <c r="V8" s="1551" t="s">
        <v>8</v>
      </c>
      <c r="W8" s="1552">
        <f t="shared" si="2"/>
        <v>0</v>
      </c>
      <c r="X8" s="1553"/>
      <c r="Y8" s="3396" t="s">
        <v>533</v>
      </c>
      <c r="Z8" s="3397"/>
      <c r="AA8" s="1554" t="e">
        <f t="shared" ref="AA8:AA47" si="3">D8/F8</f>
        <v>#DIV/0!</v>
      </c>
      <c r="AB8" s="1554" t="e">
        <f t="shared" ref="AB8:AB47" si="4">D8/H8</f>
        <v>#DIV/0!</v>
      </c>
      <c r="AC8" s="1554" t="e">
        <f t="shared" ref="AC8:AC47" si="5">D8/J8</f>
        <v>#DIV/0!</v>
      </c>
    </row>
    <row r="9" spans="1:29" s="1214" customFormat="1" ht="15">
      <c r="A9" s="2750"/>
      <c r="B9" s="2757" t="s">
        <v>2746</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404" t="s">
        <v>535</v>
      </c>
      <c r="Q9" s="1145" t="str">
        <f t="shared" ref="Q9:Q15" si="6">B9</f>
        <v>用途</v>
      </c>
      <c r="R9" s="1551" t="s">
        <v>8</v>
      </c>
      <c r="S9" s="1552">
        <f t="shared" si="0"/>
        <v>100</v>
      </c>
      <c r="T9" s="1551" t="s">
        <v>8</v>
      </c>
      <c r="U9" s="1552">
        <f t="shared" si="1"/>
        <v>100</v>
      </c>
      <c r="V9" s="1551" t="s">
        <v>8</v>
      </c>
      <c r="W9" s="1552">
        <f t="shared" si="2"/>
        <v>100</v>
      </c>
      <c r="X9" s="1553"/>
      <c r="Y9" s="3358" t="s">
        <v>536</v>
      </c>
      <c r="Z9" s="1144" t="str">
        <f t="shared" ref="Z9:Z15" si="7">Q9</f>
        <v>用途</v>
      </c>
      <c r="AA9" s="1554">
        <f t="shared" si="3"/>
        <v>1</v>
      </c>
      <c r="AB9" s="1554">
        <f t="shared" si="4"/>
        <v>1</v>
      </c>
      <c r="AC9" s="1554">
        <f t="shared" si="5"/>
        <v>1</v>
      </c>
    </row>
    <row r="10" spans="1:29" s="1332" customFormat="1" ht="27">
      <c r="A10" s="2751"/>
      <c r="B10" s="2756" t="s">
        <v>2747</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404"/>
      <c r="Q10" s="1145" t="str">
        <f t="shared" si="6"/>
        <v>土地使用年限（年）</v>
      </c>
      <c r="R10" s="1551" t="s">
        <v>8</v>
      </c>
      <c r="S10" s="1552">
        <f t="shared" si="0"/>
        <v>100</v>
      </c>
      <c r="T10" s="1551" t="s">
        <v>8</v>
      </c>
      <c r="U10" s="1552">
        <f t="shared" si="1"/>
        <v>100</v>
      </c>
      <c r="V10" s="1551" t="s">
        <v>8</v>
      </c>
      <c r="W10" s="1552">
        <f t="shared" si="2"/>
        <v>100</v>
      </c>
      <c r="X10" s="1553"/>
      <c r="Y10" s="3358"/>
      <c r="Z10" s="1144" t="str">
        <f t="shared" si="7"/>
        <v>土地使用年限（年）</v>
      </c>
      <c r="AA10" s="1554">
        <f t="shared" si="3"/>
        <v>1</v>
      </c>
      <c r="AB10" s="1554">
        <f t="shared" si="4"/>
        <v>1</v>
      </c>
      <c r="AC10" s="1554">
        <f t="shared" si="5"/>
        <v>1</v>
      </c>
    </row>
    <row r="11" spans="1:29" ht="15">
      <c r="A11" s="2752"/>
      <c r="B11" s="2756" t="s">
        <v>2748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404"/>
      <c r="Q11" s="1145" t="str">
        <f t="shared" si="6"/>
        <v>容积率</v>
      </c>
      <c r="R11" s="1551" t="s">
        <v>8</v>
      </c>
      <c r="S11" s="1552" t="e">
        <f t="shared" si="0"/>
        <v>#N/A</v>
      </c>
      <c r="T11" s="1551" t="s">
        <v>8</v>
      </c>
      <c r="U11" s="1552" t="e">
        <f t="shared" si="1"/>
        <v>#N/A</v>
      </c>
      <c r="V11" s="1551" t="s">
        <v>8</v>
      </c>
      <c r="W11" s="1552" t="e">
        <f t="shared" si="2"/>
        <v>#N/A</v>
      </c>
      <c r="X11" s="1553"/>
      <c r="Y11" s="3358"/>
      <c r="Z11" s="1144" t="str">
        <f t="shared" si="7"/>
        <v>容积率</v>
      </c>
      <c r="AA11" s="1554" t="e">
        <f t="shared" si="3"/>
        <v>#N/A</v>
      </c>
      <c r="AB11" s="1554" t="e">
        <f t="shared" si="4"/>
        <v>#N/A</v>
      </c>
      <c r="AC11" s="1554" t="e">
        <f t="shared" si="5"/>
        <v>#N/A</v>
      </c>
    </row>
    <row r="12" spans="1:29" s="1214" customFormat="1" ht="15">
      <c r="A12" s="2753"/>
      <c r="B12" s="2759">
        <v>111</v>
      </c>
      <c r="C12" s="527"/>
      <c r="D12" s="537">
        <v>100</v>
      </c>
      <c r="E12" s="527"/>
      <c r="F12" s="254">
        <f>SUMIF(71:71,E12,72:72)-SUMIF(71:71,C12,72:72)+100</f>
        <v>100</v>
      </c>
      <c r="G12" s="909"/>
      <c r="H12" s="254">
        <f>SUMIF(71:71,G12,72:72)-SUMIF(71:71,C12,72:72)+100</f>
        <v>100</v>
      </c>
      <c r="I12" s="527"/>
      <c r="J12" s="254">
        <f>SUMIF(71:71,I12,72:72)-SUMIF(71:71,C12,72:72)+100</f>
        <v>100</v>
      </c>
      <c r="K12" s="580"/>
      <c r="L12" s="2117"/>
      <c r="M12" s="2118"/>
      <c r="N12" s="2118"/>
      <c r="O12" s="2118"/>
      <c r="P12" s="3404"/>
      <c r="Q12" s="1145">
        <f t="shared" si="6"/>
        <v>111</v>
      </c>
      <c r="R12" s="1551" t="s">
        <v>8</v>
      </c>
      <c r="S12" s="1552">
        <f t="shared" si="0"/>
        <v>100</v>
      </c>
      <c r="T12" s="1551" t="s">
        <v>8</v>
      </c>
      <c r="U12" s="1552">
        <f t="shared" si="1"/>
        <v>100</v>
      </c>
      <c r="V12" s="1551" t="s">
        <v>8</v>
      </c>
      <c r="W12" s="1552">
        <f t="shared" si="2"/>
        <v>100</v>
      </c>
      <c r="X12" s="1553"/>
      <c r="Y12" s="3358"/>
      <c r="Z12" s="1144">
        <f t="shared" si="7"/>
        <v>111</v>
      </c>
      <c r="AA12" s="1554">
        <f>D12/F12</f>
        <v>1</v>
      </c>
      <c r="AB12" s="1554">
        <f>D12/H12</f>
        <v>1</v>
      </c>
      <c r="AC12" s="1554">
        <f>D12/J12</f>
        <v>1</v>
      </c>
    </row>
    <row r="13" spans="1:29" ht="15">
      <c r="A13" s="2753"/>
      <c r="B13" s="2759">
        <v>111</v>
      </c>
      <c r="C13" s="538"/>
      <c r="D13" s="539">
        <v>100</v>
      </c>
      <c r="E13" s="527"/>
      <c r="F13" s="254">
        <f>SUMIF(73:73,E13,74:74)-SUMIF(73:73,C13,74:74)+100</f>
        <v>100</v>
      </c>
      <c r="G13" s="909"/>
      <c r="H13" s="539">
        <f>SUMIF(73:73,G13,74:74)-SUMIF(73:73,C13,74:74)+100</f>
        <v>100</v>
      </c>
      <c r="I13" s="527"/>
      <c r="J13" s="539">
        <f>SUMIF(73:73,I13,74:74)-SUMIF(73:73,C13,74:74)+100</f>
        <v>100</v>
      </c>
      <c r="K13" s="580"/>
      <c r="L13" s="2124"/>
      <c r="M13" s="2116"/>
      <c r="N13" s="2116"/>
      <c r="O13" s="2116"/>
      <c r="P13" s="3404"/>
      <c r="Q13" s="1145">
        <f t="shared" si="6"/>
        <v>111</v>
      </c>
      <c r="R13" s="1551" t="s">
        <v>8</v>
      </c>
      <c r="S13" s="1552">
        <f t="shared" si="0"/>
        <v>100</v>
      </c>
      <c r="T13" s="1551" t="s">
        <v>8</v>
      </c>
      <c r="U13" s="1552">
        <f t="shared" si="1"/>
        <v>100</v>
      </c>
      <c r="V13" s="1551" t="s">
        <v>8</v>
      </c>
      <c r="W13" s="1552">
        <f t="shared" si="2"/>
        <v>100</v>
      </c>
      <c r="X13" s="1553"/>
      <c r="Y13" s="3358"/>
      <c r="Z13" s="1144">
        <f t="shared" si="7"/>
        <v>111</v>
      </c>
      <c r="AA13" s="1554">
        <f t="shared" si="3"/>
        <v>1</v>
      </c>
      <c r="AB13" s="1554">
        <f t="shared" si="4"/>
        <v>1</v>
      </c>
      <c r="AC13" s="1554">
        <f t="shared" si="5"/>
        <v>1</v>
      </c>
    </row>
    <row r="14" spans="1:29" ht="15.75" thickBot="1">
      <c r="A14" s="2754"/>
      <c r="B14" s="2760">
        <v>111</v>
      </c>
      <c r="C14" s="544"/>
      <c r="D14" s="545">
        <v>100</v>
      </c>
      <c r="E14" s="910"/>
      <c r="F14" s="545">
        <f>SUMIF(75:75,E14,76:76)-SUMIF(75:75,C14,76:76)+100</f>
        <v>100</v>
      </c>
      <c r="G14" s="909"/>
      <c r="H14" s="545">
        <f>SUMIF(75:75,G14,76:76)-SUMIF(75:75,C14,76:76)+100</f>
        <v>100</v>
      </c>
      <c r="I14" s="527"/>
      <c r="J14" s="545">
        <f>SUMIF(75:75,I14,76:76)-SUMIF(75:75,C14,76:76)+100</f>
        <v>100</v>
      </c>
      <c r="K14" s="580"/>
      <c r="L14" s="2124"/>
      <c r="M14" s="2116"/>
      <c r="N14" s="2116"/>
      <c r="O14" s="2116"/>
      <c r="P14" s="3404"/>
      <c r="Q14" s="1145">
        <f t="shared" si="6"/>
        <v>111</v>
      </c>
      <c r="R14" s="1551" t="s">
        <v>8</v>
      </c>
      <c r="S14" s="1552">
        <f t="shared" si="0"/>
        <v>100</v>
      </c>
      <c r="T14" s="1551" t="s">
        <v>8</v>
      </c>
      <c r="U14" s="1552">
        <f t="shared" si="1"/>
        <v>100</v>
      </c>
      <c r="V14" s="1551" t="s">
        <v>8</v>
      </c>
      <c r="W14" s="1552">
        <f t="shared" si="2"/>
        <v>100</v>
      </c>
      <c r="X14" s="1553"/>
      <c r="Y14" s="3358"/>
      <c r="Z14" s="1144">
        <f t="shared" si="7"/>
        <v>111</v>
      </c>
      <c r="AA14" s="1554">
        <f t="shared" si="3"/>
        <v>1</v>
      </c>
      <c r="AB14" s="1554">
        <f t="shared" si="4"/>
        <v>1</v>
      </c>
      <c r="AC14" s="1554">
        <f t="shared" si="5"/>
        <v>1</v>
      </c>
    </row>
    <row r="15" spans="1:29" ht="71.25">
      <c r="A15" s="2746" t="s">
        <v>2744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4"/>
      <c r="M15" s="2116"/>
      <c r="N15" s="2116"/>
      <c r="O15" s="2116"/>
      <c r="P15" s="3406" t="s">
        <v>540</v>
      </c>
      <c r="Q15" s="1555" t="str">
        <f t="shared" si="6"/>
        <v>办公集聚程度</v>
      </c>
      <c r="R15" s="1556" t="s">
        <v>8</v>
      </c>
      <c r="S15" s="1557">
        <f t="shared" si="0"/>
        <v>100</v>
      </c>
      <c r="T15" s="1556" t="s">
        <v>8</v>
      </c>
      <c r="U15" s="1557">
        <f t="shared" si="1"/>
        <v>100</v>
      </c>
      <c r="V15" s="1556" t="s">
        <v>8</v>
      </c>
      <c r="W15" s="1557">
        <f t="shared" si="2"/>
        <v>100</v>
      </c>
      <c r="X15" s="1550"/>
      <c r="Y15" s="3406" t="s">
        <v>540</v>
      </c>
      <c r="Z15" s="1558" t="str">
        <f t="shared" si="7"/>
        <v>办公集聚程度</v>
      </c>
      <c r="AA15" s="1559">
        <f t="shared" si="3"/>
        <v>1</v>
      </c>
      <c r="AB15" s="1559">
        <f t="shared" si="4"/>
        <v>1</v>
      </c>
      <c r="AC15" s="1559">
        <f t="shared" si="5"/>
        <v>1</v>
      </c>
    </row>
    <row r="16" spans="1:29" ht="15">
      <c r="A16" s="531"/>
      <c r="B16" s="552"/>
      <c r="C16" s="553"/>
      <c r="D16" s="554"/>
      <c r="E16" s="575"/>
      <c r="F16" s="554"/>
      <c r="G16" s="553"/>
      <c r="H16" s="558"/>
      <c r="I16" s="575"/>
      <c r="J16" s="554"/>
      <c r="K16" s="898"/>
      <c r="L16" s="2124"/>
      <c r="M16" s="2116"/>
      <c r="N16" s="2116"/>
      <c r="O16" s="2116"/>
      <c r="P16" s="3407"/>
      <c r="Q16" s="1555"/>
      <c r="R16" s="1556"/>
      <c r="S16" s="1557"/>
      <c r="T16" s="1556"/>
      <c r="U16" s="1557"/>
      <c r="V16" s="1556"/>
      <c r="W16" s="1557"/>
      <c r="X16" s="1550"/>
      <c r="Y16" s="3407"/>
      <c r="Z16" s="1558"/>
      <c r="AA16" s="1559">
        <v>1</v>
      </c>
      <c r="AB16" s="1559">
        <v>1</v>
      </c>
      <c r="AC16" s="1559">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4"/>
      <c r="M17" s="2116"/>
      <c r="N17" s="2116"/>
      <c r="O17" s="2116"/>
      <c r="P17" s="3407"/>
      <c r="Q17" s="1555" t="str">
        <f>B17</f>
        <v>交通便捷度</v>
      </c>
      <c r="R17" s="1556" t="s">
        <v>8</v>
      </c>
      <c r="S17" s="1557">
        <f>F17</f>
        <v>100</v>
      </c>
      <c r="T17" s="1556" t="s">
        <v>8</v>
      </c>
      <c r="U17" s="1557">
        <f>H17</f>
        <v>100</v>
      </c>
      <c r="V17" s="1556" t="s">
        <v>8</v>
      </c>
      <c r="W17" s="1557">
        <f>J17</f>
        <v>100</v>
      </c>
      <c r="X17" s="1550"/>
      <c r="Y17" s="3407"/>
      <c r="Z17" s="1558" t="str">
        <f>Q17</f>
        <v>交通便捷度</v>
      </c>
      <c r="AA17" s="1559">
        <f t="shared" si="3"/>
        <v>1</v>
      </c>
      <c r="AB17" s="1559">
        <f t="shared" si="4"/>
        <v>1</v>
      </c>
      <c r="AC17" s="1559">
        <f t="shared" si="5"/>
        <v>1</v>
      </c>
    </row>
    <row r="18" spans="1:29" ht="15">
      <c r="A18" s="531"/>
      <c r="B18" s="565"/>
      <c r="C18" s="566"/>
      <c r="D18" s="558"/>
      <c r="E18" s="568"/>
      <c r="F18" s="558"/>
      <c r="G18" s="567"/>
      <c r="H18" s="554"/>
      <c r="I18" s="567"/>
      <c r="J18" s="554"/>
      <c r="K18" s="898"/>
      <c r="L18" s="2124"/>
      <c r="M18" s="2116"/>
      <c r="N18" s="2116"/>
      <c r="O18" s="2116"/>
      <c r="P18" s="3407"/>
      <c r="Q18" s="1555"/>
      <c r="R18" s="1556"/>
      <c r="S18" s="1557"/>
      <c r="T18" s="1556"/>
      <c r="U18" s="1557"/>
      <c r="V18" s="1556"/>
      <c r="W18" s="1557"/>
      <c r="X18" s="1550"/>
      <c r="Y18" s="3407"/>
      <c r="Z18" s="1558"/>
      <c r="AA18" s="1559">
        <v>1</v>
      </c>
      <c r="AB18" s="1559">
        <v>1</v>
      </c>
      <c r="AC18" s="1559">
        <v>1</v>
      </c>
    </row>
    <row r="19" spans="1:29" ht="42.75">
      <c r="A19" s="531"/>
      <c r="B19" s="2564" t="s">
        <v>2537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4"/>
      <c r="M19" s="2116"/>
      <c r="N19" s="2116"/>
      <c r="O19" s="2116"/>
      <c r="P19" s="3407"/>
      <c r="Q19" s="1555" t="str">
        <f>B19</f>
        <v>公共配套设施</v>
      </c>
      <c r="R19" s="1556" t="s">
        <v>8</v>
      </c>
      <c r="S19" s="1557">
        <f>F19</f>
        <v>100</v>
      </c>
      <c r="T19" s="1556" t="s">
        <v>8</v>
      </c>
      <c r="U19" s="1557">
        <f>H19</f>
        <v>100</v>
      </c>
      <c r="V19" s="1556" t="s">
        <v>8</v>
      </c>
      <c r="W19" s="1557">
        <f>J19</f>
        <v>100</v>
      </c>
      <c r="X19" s="1550"/>
      <c r="Y19" s="3407"/>
      <c r="Z19" s="1558" t="str">
        <f>Q19</f>
        <v>公共配套设施</v>
      </c>
      <c r="AA19" s="1559">
        <f t="shared" si="3"/>
        <v>1</v>
      </c>
      <c r="AB19" s="1559">
        <f t="shared" si="4"/>
        <v>1</v>
      </c>
      <c r="AC19" s="1559">
        <f t="shared" si="5"/>
        <v>1</v>
      </c>
    </row>
    <row r="20" spans="1:29" ht="15">
      <c r="A20" s="531"/>
      <c r="B20" s="565"/>
      <c r="C20" s="553"/>
      <c r="D20" s="554"/>
      <c r="E20" s="557"/>
      <c r="F20" s="554"/>
      <c r="G20" s="555"/>
      <c r="H20" s="554"/>
      <c r="I20" s="555"/>
      <c r="J20" s="554"/>
      <c r="K20" s="898"/>
      <c r="L20" s="2124"/>
      <c r="M20" s="2116"/>
      <c r="N20" s="2116"/>
      <c r="O20" s="2116"/>
      <c r="P20" s="3407"/>
      <c r="Q20" s="1555"/>
      <c r="R20" s="1556"/>
      <c r="S20" s="1557"/>
      <c r="T20" s="1556"/>
      <c r="U20" s="1557"/>
      <c r="V20" s="1556"/>
      <c r="W20" s="1557"/>
      <c r="X20" s="1550"/>
      <c r="Y20" s="3407"/>
      <c r="Z20" s="1558"/>
      <c r="AA20" s="1559">
        <v>1</v>
      </c>
      <c r="AB20" s="1559">
        <v>1</v>
      </c>
      <c r="AC20" s="1559">
        <v>1</v>
      </c>
    </row>
    <row r="21" spans="1:29" ht="28.5">
      <c r="A21" s="531"/>
      <c r="B21" s="2552" t="s">
        <v>2549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4"/>
      <c r="M21" s="2116"/>
      <c r="N21" s="2116"/>
      <c r="O21" s="2116"/>
      <c r="P21" s="3407"/>
      <c r="Q21" s="2540" t="str">
        <f>B21</f>
        <v>基础设施水平</v>
      </c>
      <c r="R21" s="1556" t="s">
        <v>8</v>
      </c>
      <c r="S21" s="1557">
        <f>F21</f>
        <v>100</v>
      </c>
      <c r="T21" s="1556" t="s">
        <v>8</v>
      </c>
      <c r="U21" s="1557">
        <f>H21</f>
        <v>100</v>
      </c>
      <c r="V21" s="1556" t="s">
        <v>8</v>
      </c>
      <c r="W21" s="1557">
        <f>J21</f>
        <v>100</v>
      </c>
      <c r="X21" s="2542"/>
      <c r="Y21" s="3407"/>
      <c r="Z21" s="2541" t="str">
        <f>Q21</f>
        <v>基础设施水平</v>
      </c>
      <c r="AA21" s="1559">
        <f t="shared" ref="AA21" si="8">D21/F21</f>
        <v>1</v>
      </c>
      <c r="AB21" s="1559">
        <f t="shared" ref="AB21" si="9">D21/H21</f>
        <v>1</v>
      </c>
      <c r="AC21" s="1559">
        <f t="shared" ref="AC21" si="10">D21/J21</f>
        <v>1</v>
      </c>
    </row>
    <row r="22" spans="1:29" ht="15">
      <c r="A22" s="531"/>
      <c r="B22" s="577"/>
      <c r="C22" s="566"/>
      <c r="D22" s="554"/>
      <c r="E22" s="575"/>
      <c r="F22" s="554"/>
      <c r="G22" s="553"/>
      <c r="H22" s="554"/>
      <c r="I22" s="553"/>
      <c r="J22" s="554"/>
      <c r="K22" s="2563"/>
      <c r="L22" s="2124"/>
      <c r="M22" s="2116"/>
      <c r="N22" s="2116"/>
      <c r="O22" s="2116"/>
      <c r="P22" s="3407"/>
      <c r="Q22" s="2540"/>
      <c r="R22" s="1556"/>
      <c r="S22" s="1557"/>
      <c r="T22" s="1556"/>
      <c r="U22" s="1557"/>
      <c r="V22" s="1556"/>
      <c r="W22" s="1557"/>
      <c r="X22" s="2542"/>
      <c r="Y22" s="3407"/>
      <c r="Z22" s="2541"/>
      <c r="AA22" s="1559">
        <v>1</v>
      </c>
      <c r="AB22" s="1559">
        <v>1</v>
      </c>
      <c r="AC22" s="1559">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4"/>
      <c r="M23" s="2116"/>
      <c r="N23" s="2116"/>
      <c r="O23" s="2116"/>
      <c r="P23" s="3407"/>
      <c r="Q23" s="1555" t="str">
        <f>B23</f>
        <v>环境质量</v>
      </c>
      <c r="R23" s="1556" t="s">
        <v>8</v>
      </c>
      <c r="S23" s="1557">
        <f>F23</f>
        <v>100</v>
      </c>
      <c r="T23" s="1556" t="s">
        <v>8</v>
      </c>
      <c r="U23" s="1557">
        <f>H23</f>
        <v>100</v>
      </c>
      <c r="V23" s="1556" t="s">
        <v>8</v>
      </c>
      <c r="W23" s="1557">
        <f>J23</f>
        <v>100</v>
      </c>
      <c r="X23" s="1550"/>
      <c r="Y23" s="3407"/>
      <c r="Z23" s="1558" t="str">
        <f>Q23</f>
        <v>环境质量</v>
      </c>
      <c r="AA23" s="1559">
        <f t="shared" si="3"/>
        <v>1</v>
      </c>
      <c r="AB23" s="1559">
        <f t="shared" si="4"/>
        <v>1</v>
      </c>
      <c r="AC23" s="1559">
        <f t="shared" si="5"/>
        <v>1</v>
      </c>
    </row>
    <row r="24" spans="1:29" ht="15">
      <c r="A24" s="531"/>
      <c r="B24" s="577"/>
      <c r="C24" s="553"/>
      <c r="D24" s="554"/>
      <c r="E24" s="557"/>
      <c r="F24" s="554"/>
      <c r="G24" s="555"/>
      <c r="H24" s="554"/>
      <c r="I24" s="555"/>
      <c r="J24" s="554"/>
      <c r="K24" s="898"/>
      <c r="L24" s="2124"/>
      <c r="M24" s="2116"/>
      <c r="N24" s="2116"/>
      <c r="O24" s="2116"/>
      <c r="P24" s="3407"/>
      <c r="Q24" s="1555"/>
      <c r="R24" s="1556"/>
      <c r="S24" s="1557"/>
      <c r="T24" s="1556"/>
      <c r="U24" s="1557"/>
      <c r="V24" s="1556"/>
      <c r="W24" s="1557"/>
      <c r="X24" s="1550"/>
      <c r="Y24" s="3407"/>
      <c r="Z24" s="1558"/>
      <c r="AA24" s="1559">
        <v>1</v>
      </c>
      <c r="AB24" s="1559">
        <v>1</v>
      </c>
      <c r="AC24" s="1559">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4"/>
      <c r="M25" s="2116"/>
      <c r="N25" s="2116"/>
      <c r="O25" s="2116"/>
      <c r="P25" s="3407"/>
      <c r="Q25" s="1555" t="str">
        <f>B25</f>
        <v>毗邻道路的类型与等级</v>
      </c>
      <c r="R25" s="1556" t="s">
        <v>8</v>
      </c>
      <c r="S25" s="1557">
        <f>F25</f>
        <v>100</v>
      </c>
      <c r="T25" s="1556" t="s">
        <v>8</v>
      </c>
      <c r="U25" s="1557">
        <f>H25</f>
        <v>100</v>
      </c>
      <c r="V25" s="1556" t="s">
        <v>8</v>
      </c>
      <c r="W25" s="1557">
        <f>J25</f>
        <v>100</v>
      </c>
      <c r="X25" s="1550"/>
      <c r="Y25" s="3407"/>
      <c r="Z25" s="1558" t="str">
        <f>Q25</f>
        <v>毗邻道路的类型与等级</v>
      </c>
      <c r="AA25" s="1559">
        <f t="shared" si="3"/>
        <v>1</v>
      </c>
      <c r="AB25" s="1559">
        <f t="shared" si="4"/>
        <v>1</v>
      </c>
      <c r="AC25" s="1559">
        <f t="shared" si="5"/>
        <v>1</v>
      </c>
    </row>
    <row r="26" spans="1:29" ht="15">
      <c r="A26" s="514"/>
      <c r="B26" s="565"/>
      <c r="C26" s="579"/>
      <c r="D26" s="539"/>
      <c r="E26" s="582"/>
      <c r="F26" s="539"/>
      <c r="G26" s="579"/>
      <c r="H26" s="539"/>
      <c r="I26" s="582"/>
      <c r="J26" s="539"/>
      <c r="K26" s="898"/>
      <c r="L26" s="2124"/>
      <c r="M26" s="2116"/>
      <c r="N26" s="2116"/>
      <c r="O26" s="2116"/>
      <c r="P26" s="3407"/>
      <c r="Q26" s="1555"/>
      <c r="R26" s="1556"/>
      <c r="S26" s="1557"/>
      <c r="T26" s="1556"/>
      <c r="U26" s="1557"/>
      <c r="V26" s="1556"/>
      <c r="W26" s="1557"/>
      <c r="X26" s="1550"/>
      <c r="Y26" s="3407"/>
      <c r="Z26" s="1558"/>
      <c r="AA26" s="1559">
        <v>1</v>
      </c>
      <c r="AB26" s="1559">
        <v>1</v>
      </c>
      <c r="AC26" s="1559">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407"/>
      <c r="Q27" s="1555" t="str">
        <f t="shared" ref="Q27:Q47" si="11">B27</f>
        <v>楼层</v>
      </c>
      <c r="R27" s="1556" t="s">
        <v>8</v>
      </c>
      <c r="S27" s="1557">
        <f>F27</f>
        <v>100</v>
      </c>
      <c r="T27" s="1556" t="s">
        <v>8</v>
      </c>
      <c r="U27" s="1557">
        <f>H27</f>
        <v>100</v>
      </c>
      <c r="V27" s="1556" t="s">
        <v>8</v>
      </c>
      <c r="W27" s="1557">
        <f>J27</f>
        <v>100</v>
      </c>
      <c r="X27" s="1550"/>
      <c r="Y27" s="3407"/>
      <c r="Z27" s="1558" t="str">
        <f>Q27</f>
        <v>楼层</v>
      </c>
      <c r="AA27" s="1559">
        <f t="shared" si="3"/>
        <v>1</v>
      </c>
      <c r="AB27" s="1559">
        <f t="shared" si="4"/>
        <v>1</v>
      </c>
      <c r="AC27" s="1559">
        <f t="shared" si="5"/>
        <v>1</v>
      </c>
    </row>
    <row r="28" spans="1:29" s="1214"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7"/>
      <c r="M28" s="2118"/>
      <c r="N28" s="2118"/>
      <c r="O28" s="2118"/>
      <c r="P28" s="3407"/>
      <c r="Q28" s="1145" t="str">
        <f t="shared" si="11"/>
        <v>朝向</v>
      </c>
      <c r="R28" s="1551" t="s">
        <v>8</v>
      </c>
      <c r="S28" s="1552">
        <f>F28</f>
        <v>100</v>
      </c>
      <c r="T28" s="1551" t="s">
        <v>8</v>
      </c>
      <c r="U28" s="1552">
        <f>H28</f>
        <v>100</v>
      </c>
      <c r="V28" s="1551" t="s">
        <v>8</v>
      </c>
      <c r="W28" s="1552">
        <f>J28</f>
        <v>100</v>
      </c>
      <c r="X28" s="1553"/>
      <c r="Y28" s="3407"/>
      <c r="Z28" s="1144" t="str">
        <f>Q28</f>
        <v>朝向</v>
      </c>
      <c r="AA28" s="1559">
        <f>D28/F28</f>
        <v>1</v>
      </c>
      <c r="AB28" s="1559">
        <f>D28/H28</f>
        <v>1</v>
      </c>
      <c r="AC28" s="1559">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4"/>
      <c r="M29" s="2116"/>
      <c r="N29" s="2116"/>
      <c r="O29" s="2116"/>
      <c r="P29" s="3407"/>
      <c r="Q29" s="1555">
        <f t="shared" si="11"/>
        <v>111</v>
      </c>
      <c r="R29" s="1556" t="s">
        <v>8</v>
      </c>
      <c r="S29" s="1557">
        <f t="shared" ref="S29:S47" si="12">F29</f>
        <v>100</v>
      </c>
      <c r="T29" s="1556" t="s">
        <v>8</v>
      </c>
      <c r="U29" s="1557">
        <f t="shared" ref="U29:U47" si="13">H29</f>
        <v>100</v>
      </c>
      <c r="V29" s="1556" t="s">
        <v>8</v>
      </c>
      <c r="W29" s="1557">
        <f t="shared" ref="W29:W47" si="14">J29</f>
        <v>100</v>
      </c>
      <c r="X29" s="1550"/>
      <c r="Y29" s="3407"/>
      <c r="Z29" s="1558">
        <f t="shared" ref="Z29:Z47" si="15">Q29</f>
        <v>111</v>
      </c>
      <c r="AA29" s="1559">
        <f t="shared" si="3"/>
        <v>1</v>
      </c>
      <c r="AB29" s="1559">
        <f t="shared" si="4"/>
        <v>1</v>
      </c>
      <c r="AC29" s="1559">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4"/>
      <c r="M30" s="2116"/>
      <c r="N30" s="2116"/>
      <c r="O30" s="2116"/>
      <c r="P30" s="3407"/>
      <c r="Q30" s="1555">
        <f t="shared" si="11"/>
        <v>111</v>
      </c>
      <c r="R30" s="1556" t="s">
        <v>8</v>
      </c>
      <c r="S30" s="1557">
        <f t="shared" si="12"/>
        <v>100</v>
      </c>
      <c r="T30" s="1556" t="s">
        <v>8</v>
      </c>
      <c r="U30" s="1557">
        <f t="shared" si="13"/>
        <v>100</v>
      </c>
      <c r="V30" s="1556" t="s">
        <v>8</v>
      </c>
      <c r="W30" s="1557">
        <f t="shared" si="14"/>
        <v>100</v>
      </c>
      <c r="X30" s="1550"/>
      <c r="Y30" s="3407"/>
      <c r="Z30" s="1558">
        <f t="shared" si="15"/>
        <v>111</v>
      </c>
      <c r="AA30" s="1559">
        <f t="shared" si="3"/>
        <v>1</v>
      </c>
      <c r="AB30" s="1559">
        <f t="shared" si="4"/>
        <v>1</v>
      </c>
      <c r="AC30" s="1559">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4"/>
      <c r="M31" s="2116"/>
      <c r="N31" s="2116"/>
      <c r="O31" s="2116"/>
      <c r="P31" s="3407"/>
      <c r="Q31" s="1555">
        <f t="shared" si="11"/>
        <v>111</v>
      </c>
      <c r="R31" s="1556" t="s">
        <v>8</v>
      </c>
      <c r="S31" s="1557">
        <f t="shared" si="12"/>
        <v>100</v>
      </c>
      <c r="T31" s="1556" t="s">
        <v>8</v>
      </c>
      <c r="U31" s="1557">
        <f t="shared" si="13"/>
        <v>100</v>
      </c>
      <c r="V31" s="1556" t="s">
        <v>8</v>
      </c>
      <c r="W31" s="1557">
        <f t="shared" si="14"/>
        <v>100</v>
      </c>
      <c r="X31" s="1550"/>
      <c r="Y31" s="3407"/>
      <c r="Z31" s="1558">
        <f t="shared" si="15"/>
        <v>111</v>
      </c>
      <c r="AA31" s="1559">
        <f t="shared" si="3"/>
        <v>1</v>
      </c>
      <c r="AB31" s="1559">
        <f t="shared" si="4"/>
        <v>1</v>
      </c>
      <c r="AC31" s="1559">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4"/>
      <c r="M32" s="2116"/>
      <c r="N32" s="2116"/>
      <c r="O32" s="2116"/>
      <c r="P32" s="3407"/>
      <c r="Q32" s="1555">
        <f t="shared" si="11"/>
        <v>111</v>
      </c>
      <c r="R32" s="1556" t="s">
        <v>8</v>
      </c>
      <c r="S32" s="1557">
        <f t="shared" si="12"/>
        <v>100</v>
      </c>
      <c r="T32" s="1556" t="s">
        <v>8</v>
      </c>
      <c r="U32" s="1557">
        <f t="shared" si="13"/>
        <v>100</v>
      </c>
      <c r="V32" s="1556" t="s">
        <v>8</v>
      </c>
      <c r="W32" s="1557">
        <f t="shared" si="14"/>
        <v>100</v>
      </c>
      <c r="X32" s="1550"/>
      <c r="Y32" s="3407"/>
      <c r="Z32" s="1558">
        <f t="shared" si="15"/>
        <v>111</v>
      </c>
      <c r="AA32" s="1559">
        <f t="shared" si="3"/>
        <v>1</v>
      </c>
      <c r="AB32" s="1559">
        <f t="shared" si="4"/>
        <v>1</v>
      </c>
      <c r="AC32" s="1559">
        <f t="shared" si="5"/>
        <v>1</v>
      </c>
    </row>
    <row r="33" spans="1:29" ht="15">
      <c r="A33" s="2743" t="s">
        <v>2745</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4"/>
      <c r="M33" s="2116"/>
      <c r="N33" s="2116"/>
      <c r="O33" s="2116"/>
      <c r="P33" s="3408" t="s">
        <v>550</v>
      </c>
      <c r="Q33" s="1555" t="str">
        <f t="shared" si="11"/>
        <v>建筑类型</v>
      </c>
      <c r="R33" s="1556" t="s">
        <v>8</v>
      </c>
      <c r="S33" s="1557">
        <f t="shared" si="12"/>
        <v>100</v>
      </c>
      <c r="T33" s="1556" t="s">
        <v>8</v>
      </c>
      <c r="U33" s="1557">
        <f t="shared" si="13"/>
        <v>100</v>
      </c>
      <c r="V33" s="1556" t="s">
        <v>8</v>
      </c>
      <c r="W33" s="1557">
        <f t="shared" si="14"/>
        <v>100</v>
      </c>
      <c r="X33" s="1550"/>
      <c r="Y33" s="3409" t="s">
        <v>550</v>
      </c>
      <c r="Z33" s="1558" t="str">
        <f t="shared" si="15"/>
        <v>建筑类型</v>
      </c>
      <c r="AA33" s="1559">
        <f t="shared" si="3"/>
        <v>1</v>
      </c>
      <c r="AB33" s="1559">
        <f t="shared" si="4"/>
        <v>1</v>
      </c>
      <c r="AC33" s="1559">
        <f t="shared" si="5"/>
        <v>1</v>
      </c>
    </row>
    <row r="34" spans="1:29" s="1333"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409"/>
      <c r="Q34" s="1587" t="str">
        <f t="shared" si="11"/>
        <v>项目建筑规模</v>
      </c>
      <c r="R34" s="1560" t="s">
        <v>8</v>
      </c>
      <c r="S34" s="1561" t="e">
        <f t="shared" si="12"/>
        <v>#N/A</v>
      </c>
      <c r="T34" s="1560" t="s">
        <v>8</v>
      </c>
      <c r="U34" s="1561" t="e">
        <f t="shared" si="13"/>
        <v>#N/A</v>
      </c>
      <c r="V34" s="1560" t="s">
        <v>8</v>
      </c>
      <c r="W34" s="1561" t="e">
        <f t="shared" si="14"/>
        <v>#N/A</v>
      </c>
      <c r="X34" s="1562"/>
      <c r="Y34" s="3409"/>
      <c r="Z34" s="1563" t="str">
        <f t="shared" si="15"/>
        <v>项目建筑规模</v>
      </c>
      <c r="AA34" s="1559" t="e">
        <f t="shared" si="3"/>
        <v>#N/A</v>
      </c>
      <c r="AB34" s="1559" t="e">
        <f t="shared" si="4"/>
        <v>#N/A</v>
      </c>
      <c r="AC34" s="1559"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409"/>
      <c r="Q35" s="1555" t="str">
        <f t="shared" si="11"/>
        <v>建筑结构</v>
      </c>
      <c r="R35" s="1556" t="s">
        <v>8</v>
      </c>
      <c r="S35" s="1557">
        <f t="shared" si="12"/>
        <v>100</v>
      </c>
      <c r="T35" s="1556" t="s">
        <v>8</v>
      </c>
      <c r="U35" s="1557">
        <f t="shared" si="13"/>
        <v>100</v>
      </c>
      <c r="V35" s="1556" t="s">
        <v>8</v>
      </c>
      <c r="W35" s="1557">
        <f t="shared" si="14"/>
        <v>100</v>
      </c>
      <c r="X35" s="1550"/>
      <c r="Y35" s="3409"/>
      <c r="Z35" s="1558" t="str">
        <f t="shared" si="15"/>
        <v>建筑结构</v>
      </c>
      <c r="AA35" s="1559">
        <f t="shared" si="3"/>
        <v>1</v>
      </c>
      <c r="AB35" s="1559">
        <f t="shared" si="4"/>
        <v>1</v>
      </c>
      <c r="AC35" s="1559">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409"/>
      <c r="Q36" s="1555" t="str">
        <f t="shared" si="11"/>
        <v>公共部分装修</v>
      </c>
      <c r="R36" s="1556" t="s">
        <v>8</v>
      </c>
      <c r="S36" s="1557">
        <f t="shared" si="12"/>
        <v>100</v>
      </c>
      <c r="T36" s="1556" t="s">
        <v>8</v>
      </c>
      <c r="U36" s="1557">
        <f t="shared" si="13"/>
        <v>100</v>
      </c>
      <c r="V36" s="1556" t="s">
        <v>8</v>
      </c>
      <c r="W36" s="1557">
        <f t="shared" si="14"/>
        <v>100</v>
      </c>
      <c r="X36" s="1550"/>
      <c r="Y36" s="3409"/>
      <c r="Z36" s="1558" t="str">
        <f t="shared" si="15"/>
        <v>公共部分装修</v>
      </c>
      <c r="AA36" s="1559">
        <f t="shared" si="3"/>
        <v>1</v>
      </c>
      <c r="AB36" s="1559">
        <f t="shared" si="4"/>
        <v>1</v>
      </c>
      <c r="AC36" s="1559">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4"/>
      <c r="M37" s="2116"/>
      <c r="N37" s="2116"/>
      <c r="O37" s="2116"/>
      <c r="P37" s="3409"/>
      <c r="Q37" s="1555" t="str">
        <f t="shared" si="11"/>
        <v>成新度</v>
      </c>
      <c r="R37" s="1556" t="s">
        <v>8</v>
      </c>
      <c r="S37" s="1557" t="e">
        <f t="shared" si="12"/>
        <v>#N/A</v>
      </c>
      <c r="T37" s="1556" t="s">
        <v>8</v>
      </c>
      <c r="U37" s="1557" t="e">
        <f t="shared" si="13"/>
        <v>#N/A</v>
      </c>
      <c r="V37" s="1556" t="s">
        <v>8</v>
      </c>
      <c r="W37" s="1557" t="e">
        <f t="shared" si="14"/>
        <v>#N/A</v>
      </c>
      <c r="X37" s="1550"/>
      <c r="Y37" s="3409"/>
      <c r="Z37" s="1558" t="str">
        <f t="shared" si="15"/>
        <v>成新度</v>
      </c>
      <c r="AA37" s="1559" t="e">
        <f t="shared" si="3"/>
        <v>#N/A</v>
      </c>
      <c r="AB37" s="1559" t="e">
        <f t="shared" si="4"/>
        <v>#N/A</v>
      </c>
      <c r="AC37" s="1559"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409"/>
      <c r="Q38" s="1145" t="str">
        <f t="shared" si="11"/>
        <v>写字楼等级</v>
      </c>
      <c r="R38" s="1551" t="s">
        <v>8</v>
      </c>
      <c r="S38" s="1552">
        <f t="shared" si="12"/>
        <v>100</v>
      </c>
      <c r="T38" s="1551" t="s">
        <v>8</v>
      </c>
      <c r="U38" s="1552">
        <f t="shared" si="13"/>
        <v>100</v>
      </c>
      <c r="V38" s="1551" t="s">
        <v>8</v>
      </c>
      <c r="W38" s="1552">
        <f t="shared" si="14"/>
        <v>100</v>
      </c>
      <c r="X38" s="1553"/>
      <c r="Y38" s="3409"/>
      <c r="Z38" s="1144" t="str">
        <f t="shared" si="15"/>
        <v>写字楼等级</v>
      </c>
      <c r="AA38" s="1554">
        <f t="shared" si="3"/>
        <v>1</v>
      </c>
      <c r="AB38" s="1554">
        <f t="shared" si="4"/>
        <v>1</v>
      </c>
      <c r="AC38" s="1554">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409" t="s">
        <v>550</v>
      </c>
      <c r="Q39" s="1555" t="str">
        <f t="shared" si="11"/>
        <v>物业管理</v>
      </c>
      <c r="R39" s="1556" t="s">
        <v>8</v>
      </c>
      <c r="S39" s="1557">
        <f t="shared" si="12"/>
        <v>100</v>
      </c>
      <c r="T39" s="1556" t="s">
        <v>8</v>
      </c>
      <c r="U39" s="1557">
        <f t="shared" si="13"/>
        <v>100</v>
      </c>
      <c r="V39" s="1556" t="s">
        <v>8</v>
      </c>
      <c r="W39" s="1557">
        <f t="shared" si="14"/>
        <v>100</v>
      </c>
      <c r="X39" s="1550"/>
      <c r="Y39" s="3409" t="s">
        <v>550</v>
      </c>
      <c r="Z39" s="1558" t="str">
        <f t="shared" si="15"/>
        <v>物业管理</v>
      </c>
      <c r="AA39" s="1559">
        <f t="shared" si="3"/>
        <v>1</v>
      </c>
      <c r="AB39" s="1559">
        <f t="shared" si="4"/>
        <v>1</v>
      </c>
      <c r="AC39" s="1559">
        <f t="shared" si="5"/>
        <v>1</v>
      </c>
    </row>
    <row r="40" spans="1:29" ht="15">
      <c r="A40" s="593"/>
      <c r="B40" s="1877" t="s">
        <v>2556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409"/>
      <c r="Q40" s="1555" t="str">
        <f t="shared" si="11"/>
        <v>市政基础设施</v>
      </c>
      <c r="R40" s="1556" t="s">
        <v>8</v>
      </c>
      <c r="S40" s="1557">
        <f t="shared" si="12"/>
        <v>100</v>
      </c>
      <c r="T40" s="1556" t="s">
        <v>8</v>
      </c>
      <c r="U40" s="1557">
        <f t="shared" si="13"/>
        <v>100</v>
      </c>
      <c r="V40" s="1556" t="s">
        <v>8</v>
      </c>
      <c r="W40" s="1557">
        <f t="shared" si="14"/>
        <v>100</v>
      </c>
      <c r="X40" s="1550"/>
      <c r="Y40" s="3409"/>
      <c r="Z40" s="1558" t="str">
        <f t="shared" si="15"/>
        <v>市政基础设施</v>
      </c>
      <c r="AA40" s="1559">
        <f t="shared" si="3"/>
        <v>1</v>
      </c>
      <c r="AB40" s="1559">
        <f t="shared" si="4"/>
        <v>1</v>
      </c>
      <c r="AC40" s="1559">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409"/>
      <c r="Q41" s="1555" t="str">
        <f t="shared" si="11"/>
        <v>层高</v>
      </c>
      <c r="R41" s="1556" t="s">
        <v>8</v>
      </c>
      <c r="S41" s="1557">
        <f t="shared" si="12"/>
        <v>100</v>
      </c>
      <c r="T41" s="1556" t="s">
        <v>8</v>
      </c>
      <c r="U41" s="1557">
        <f t="shared" si="13"/>
        <v>100</v>
      </c>
      <c r="V41" s="1556" t="s">
        <v>8</v>
      </c>
      <c r="W41" s="1557">
        <f t="shared" si="14"/>
        <v>100</v>
      </c>
      <c r="X41" s="1550"/>
      <c r="Y41" s="3409"/>
      <c r="Z41" s="1558" t="str">
        <f t="shared" si="15"/>
        <v>层高</v>
      </c>
      <c r="AA41" s="1559">
        <f t="shared" si="3"/>
        <v>1</v>
      </c>
      <c r="AB41" s="1559">
        <f t="shared" si="4"/>
        <v>1</v>
      </c>
      <c r="AC41" s="1559">
        <f t="shared" si="5"/>
        <v>1</v>
      </c>
    </row>
    <row r="42" spans="1:29" s="1333"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409"/>
      <c r="Q42" s="1587" t="str">
        <f t="shared" si="11"/>
        <v>单套建筑面积</v>
      </c>
      <c r="R42" s="1560" t="s">
        <v>8</v>
      </c>
      <c r="S42" s="1561">
        <f t="shared" si="12"/>
        <v>100</v>
      </c>
      <c r="T42" s="1560" t="s">
        <v>8</v>
      </c>
      <c r="U42" s="1561">
        <f t="shared" si="13"/>
        <v>100</v>
      </c>
      <c r="V42" s="1560" t="s">
        <v>8</v>
      </c>
      <c r="W42" s="1561">
        <f t="shared" si="14"/>
        <v>100</v>
      </c>
      <c r="X42" s="1562"/>
      <c r="Y42" s="3409"/>
      <c r="Z42" s="1563" t="str">
        <f t="shared" si="15"/>
        <v>单套建筑面积</v>
      </c>
      <c r="AA42" s="1559">
        <f t="shared" si="3"/>
        <v>1</v>
      </c>
      <c r="AB42" s="1559">
        <f t="shared" si="4"/>
        <v>1</v>
      </c>
      <c r="AC42" s="1559">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409"/>
      <c r="Q43" s="1555" t="str">
        <f t="shared" si="11"/>
        <v>内部装修</v>
      </c>
      <c r="R43" s="1556" t="s">
        <v>8</v>
      </c>
      <c r="S43" s="1557">
        <f t="shared" si="12"/>
        <v>100</v>
      </c>
      <c r="T43" s="1556" t="s">
        <v>8</v>
      </c>
      <c r="U43" s="1557">
        <f t="shared" si="13"/>
        <v>100</v>
      </c>
      <c r="V43" s="1556" t="s">
        <v>8</v>
      </c>
      <c r="W43" s="1557">
        <f t="shared" si="14"/>
        <v>100</v>
      </c>
      <c r="X43" s="1550"/>
      <c r="Y43" s="3409"/>
      <c r="Z43" s="1558" t="str">
        <f t="shared" si="15"/>
        <v>内部装修</v>
      </c>
      <c r="AA43" s="1559">
        <f t="shared" si="3"/>
        <v>1</v>
      </c>
      <c r="AB43" s="1559">
        <f t="shared" si="4"/>
        <v>1</v>
      </c>
      <c r="AC43" s="1559">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409"/>
      <c r="Q44" s="1555" t="str">
        <f t="shared" si="11"/>
        <v>内部装修维护情况</v>
      </c>
      <c r="R44" s="1556" t="s">
        <v>8</v>
      </c>
      <c r="S44" s="1557">
        <f t="shared" si="12"/>
        <v>100</v>
      </c>
      <c r="T44" s="1556" t="s">
        <v>8</v>
      </c>
      <c r="U44" s="1557">
        <f t="shared" si="13"/>
        <v>100</v>
      </c>
      <c r="V44" s="1556" t="s">
        <v>8</v>
      </c>
      <c r="W44" s="1557">
        <f t="shared" si="14"/>
        <v>100</v>
      </c>
      <c r="X44" s="1550"/>
      <c r="Y44" s="3409"/>
      <c r="Z44" s="1558" t="str">
        <f t="shared" si="15"/>
        <v>内部装修维护情况</v>
      </c>
      <c r="AA44" s="1559">
        <f t="shared" si="3"/>
        <v>1</v>
      </c>
      <c r="AB44" s="1559">
        <f t="shared" si="4"/>
        <v>1</v>
      </c>
      <c r="AC44" s="1559">
        <f t="shared" si="5"/>
        <v>1</v>
      </c>
    </row>
    <row r="45" spans="1:29" s="1214"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409"/>
      <c r="Q45" s="1145">
        <f t="shared" si="11"/>
        <v>111</v>
      </c>
      <c r="R45" s="1551" t="s">
        <v>8</v>
      </c>
      <c r="S45" s="1552">
        <f t="shared" si="12"/>
        <v>100</v>
      </c>
      <c r="T45" s="1551" t="s">
        <v>8</v>
      </c>
      <c r="U45" s="1552">
        <f t="shared" si="13"/>
        <v>100</v>
      </c>
      <c r="V45" s="1551" t="s">
        <v>8</v>
      </c>
      <c r="W45" s="1552">
        <f t="shared" si="14"/>
        <v>100</v>
      </c>
      <c r="X45" s="1553"/>
      <c r="Y45" s="3409"/>
      <c r="Z45" s="1144">
        <f t="shared" si="15"/>
        <v>111</v>
      </c>
      <c r="AA45" s="1554">
        <f t="shared" si="3"/>
        <v>1</v>
      </c>
      <c r="AB45" s="1554">
        <f t="shared" si="4"/>
        <v>1</v>
      </c>
      <c r="AC45" s="1554">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409"/>
      <c r="Q46" s="1555">
        <f t="shared" si="11"/>
        <v>111</v>
      </c>
      <c r="R46" s="1556" t="s">
        <v>8</v>
      </c>
      <c r="S46" s="1557">
        <f t="shared" si="12"/>
        <v>100</v>
      </c>
      <c r="T46" s="1556" t="s">
        <v>8</v>
      </c>
      <c r="U46" s="1557">
        <f t="shared" si="13"/>
        <v>100</v>
      </c>
      <c r="V46" s="1556" t="s">
        <v>8</v>
      </c>
      <c r="W46" s="1557">
        <f t="shared" si="14"/>
        <v>100</v>
      </c>
      <c r="X46" s="1550"/>
      <c r="Y46" s="3409"/>
      <c r="Z46" s="1558">
        <f t="shared" si="15"/>
        <v>111</v>
      </c>
      <c r="AA46" s="1559">
        <f t="shared" si="3"/>
        <v>1</v>
      </c>
      <c r="AB46" s="1559">
        <f t="shared" si="4"/>
        <v>1</v>
      </c>
      <c r="AC46" s="1559">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509"/>
      <c r="Q47" s="1555">
        <f t="shared" si="11"/>
        <v>111</v>
      </c>
      <c r="R47" s="1556" t="s">
        <v>8</v>
      </c>
      <c r="S47" s="1557">
        <f t="shared" si="12"/>
        <v>100</v>
      </c>
      <c r="T47" s="1556" t="s">
        <v>8</v>
      </c>
      <c r="U47" s="1557">
        <f t="shared" si="13"/>
        <v>100</v>
      </c>
      <c r="V47" s="1556" t="s">
        <v>8</v>
      </c>
      <c r="W47" s="1557">
        <f t="shared" si="14"/>
        <v>100</v>
      </c>
      <c r="X47" s="1550"/>
      <c r="Y47" s="3509"/>
      <c r="Z47" s="1558">
        <f t="shared" si="15"/>
        <v>111</v>
      </c>
      <c r="AA47" s="1559">
        <f t="shared" si="3"/>
        <v>1</v>
      </c>
      <c r="AB47" s="1559">
        <f t="shared" si="4"/>
        <v>1</v>
      </c>
      <c r="AC47" s="1559">
        <f t="shared" si="5"/>
        <v>1</v>
      </c>
    </row>
    <row r="48" spans="1:29" ht="15">
      <c r="A48" s="606" t="s">
        <v>736</v>
      </c>
      <c r="B48" s="886"/>
      <c r="C48" s="2588" t="s">
        <v>1</v>
      </c>
      <c r="D48" s="2589"/>
      <c r="E48" s="2590"/>
      <c r="F48" s="2591"/>
      <c r="G48" s="2592"/>
      <c r="H48" s="2593"/>
      <c r="I48" s="2590"/>
      <c r="J48" s="2593"/>
      <c r="K48" s="1593"/>
      <c r="L48" s="2126"/>
      <c r="M48" s="2116"/>
      <c r="N48" s="2116"/>
      <c r="O48" s="2116"/>
      <c r="P48" s="3426" t="str">
        <f>A48</f>
        <v>成交单价（元/平方米）</v>
      </c>
      <c r="Q48" s="3404"/>
      <c r="R48" s="3508">
        <f>E48</f>
        <v>0</v>
      </c>
      <c r="S48" s="3508"/>
      <c r="T48" s="3508">
        <f>G48</f>
        <v>0</v>
      </c>
      <c r="U48" s="3508"/>
      <c r="V48" s="3508">
        <f>I48</f>
        <v>0</v>
      </c>
      <c r="W48" s="3508"/>
      <c r="X48" s="1542"/>
      <c r="Y48" s="1564"/>
      <c r="Z48" s="1542"/>
      <c r="AA48" s="1542"/>
      <c r="AB48" s="1542"/>
      <c r="AC48" s="1542"/>
    </row>
    <row r="49" spans="1:29" ht="15.75" thickBot="1">
      <c r="A49" s="614" t="s">
        <v>2750</v>
      </c>
      <c r="B49" s="887"/>
      <c r="C49" s="2594" t="e">
        <f>R50</f>
        <v>#DIV/0!</v>
      </c>
      <c r="D49" s="2595"/>
      <c r="E49" s="2596" t="e">
        <f>R49</f>
        <v>#DIV/0!</v>
      </c>
      <c r="F49" s="2596"/>
      <c r="G49" s="2594" t="e">
        <f>T49</f>
        <v>#DIV/0!</v>
      </c>
      <c r="H49" s="2595"/>
      <c r="I49" s="2596" t="e">
        <f>V49</f>
        <v>#DIV/0!</v>
      </c>
      <c r="J49" s="2595"/>
      <c r="K49" s="1594"/>
      <c r="L49" s="2126"/>
      <c r="M49" s="2116"/>
      <c r="N49" s="2116"/>
      <c r="O49" s="2116"/>
      <c r="P49" s="3426" t="str">
        <f>A49</f>
        <v>比较价格（元/平方米）</v>
      </c>
      <c r="Q49" s="3404"/>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1542"/>
      <c r="Y49" s="1542"/>
      <c r="Z49" s="1542"/>
      <c r="AA49" s="1542"/>
      <c r="AB49" s="1542"/>
      <c r="AC49" s="1542"/>
    </row>
    <row r="50" spans="1:29" ht="15.75" thickBot="1">
      <c r="A50" s="620" t="s">
        <v>2925</v>
      </c>
      <c r="B50" s="621"/>
      <c r="C50" s="2597" t="e">
        <f>R50</f>
        <v>#DIV/0!</v>
      </c>
      <c r="D50" s="2597"/>
      <c r="E50" s="2597"/>
      <c r="F50" s="2597"/>
      <c r="G50" s="2597"/>
      <c r="H50" s="2597"/>
      <c r="I50" s="2597"/>
      <c r="J50" s="2597"/>
      <c r="K50" s="1595"/>
      <c r="L50" s="2126"/>
      <c r="M50" s="2116"/>
      <c r="N50" s="2116"/>
      <c r="O50" s="2116"/>
      <c r="P50" s="3519" t="str">
        <f>A50</f>
        <v>估价对象XX用房的比较价格（楼面单价，元/平方米）</v>
      </c>
      <c r="Q50" s="3426"/>
      <c r="R50" s="3507" t="e">
        <f>IF(F1="售价",ROUND(AVERAGE(R49:V49),0),ROUND(AVERAGE(R49:V49),1))</f>
        <v>#DIV/0!</v>
      </c>
      <c r="S50" s="3507"/>
      <c r="T50" s="3507"/>
      <c r="U50" s="3507"/>
      <c r="V50" s="3507"/>
      <c r="W50" s="3507"/>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5">
      <c r="A59" s="644" t="s">
        <v>529</v>
      </c>
      <c r="B59" s="645"/>
      <c r="C59" s="2638" t="str">
        <f>YEAR(C7)&amp;"-"&amp;MONTH(C7)</f>
        <v>2020-8</v>
      </c>
      <c r="D59" s="2640">
        <f>EDATE(C59,-1)</f>
        <v>44013</v>
      </c>
      <c r="E59" s="2640">
        <f t="shared" ref="E59:O59" si="16">EDATE(D59,-1)</f>
        <v>43983</v>
      </c>
      <c r="F59" s="2640">
        <f t="shared" si="16"/>
        <v>43952</v>
      </c>
      <c r="G59" s="2640">
        <f t="shared" si="16"/>
        <v>43922</v>
      </c>
      <c r="H59" s="2640">
        <f t="shared" si="16"/>
        <v>43891</v>
      </c>
      <c r="I59" s="2640">
        <f t="shared" si="16"/>
        <v>43862</v>
      </c>
      <c r="J59" s="2640">
        <f t="shared" si="16"/>
        <v>43831</v>
      </c>
      <c r="K59" s="2640">
        <f t="shared" si="16"/>
        <v>43800</v>
      </c>
      <c r="L59" s="2640">
        <f t="shared" si="16"/>
        <v>43770</v>
      </c>
      <c r="M59" s="2640">
        <f t="shared" si="16"/>
        <v>43739</v>
      </c>
      <c r="N59" s="2640">
        <f t="shared" si="16"/>
        <v>43709</v>
      </c>
      <c r="O59" s="2640">
        <f t="shared" si="16"/>
        <v>43678</v>
      </c>
      <c r="P59" s="2193"/>
      <c r="Q59" s="2143"/>
      <c r="R59" s="2143"/>
      <c r="S59" s="2143"/>
      <c r="T59" s="2143"/>
      <c r="U59" s="2143"/>
      <c r="V59" s="2143"/>
      <c r="W59" s="2143"/>
      <c r="X59" s="2143"/>
      <c r="Y59" s="2143"/>
      <c r="Z59" s="2143"/>
      <c r="AA59" s="2143"/>
      <c r="AB59" s="2143"/>
      <c r="AC59" s="2143"/>
    </row>
    <row r="60" spans="1:29" s="1214" customFormat="1" ht="15">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4" customFormat="1" ht="15.7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4" customFormat="1" ht="15">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4" customFormat="1" ht="15.75" thickBot="1">
      <c r="A63" s="658"/>
      <c r="B63" s="647"/>
      <c r="C63" s="888">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5.75"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3" customFormat="1" ht="15.75"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3" customFormat="1" ht="15.75"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3" customFormat="1" ht="15.75"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3" customFormat="1" ht="15.75"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3" customFormat="1" ht="15.75"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3" customFormat="1" ht="15.75"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7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75" thickTop="1">
      <c r="A81" s="668"/>
      <c r="B81" s="1878" t="s">
        <v>2548</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75" thickTop="1">
      <c r="A83" s="668"/>
      <c r="B83" s="2558" t="s">
        <v>2549</v>
      </c>
      <c r="C83" s="2559" t="s">
        <v>2550</v>
      </c>
      <c r="D83" s="2559" t="s">
        <v>2551</v>
      </c>
      <c r="E83" s="2559" t="s">
        <v>2552</v>
      </c>
      <c r="F83" s="2559" t="s">
        <v>2553</v>
      </c>
      <c r="G83" s="2559" t="s">
        <v>2554</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48"/>
      <c r="O84" s="2148"/>
      <c r="P84" s="2196"/>
      <c r="Q84" s="2140"/>
      <c r="R84" s="2127"/>
      <c r="S84" s="2127"/>
      <c r="T84" s="2127"/>
      <c r="U84" s="2127"/>
      <c r="V84" s="2127"/>
      <c r="W84" s="2127"/>
      <c r="X84" s="2127"/>
      <c r="Y84" s="2127"/>
      <c r="Z84" s="2127"/>
      <c r="AA84" s="2127"/>
      <c r="AB84" s="2127"/>
      <c r="AC84" s="2127"/>
    </row>
    <row r="85" spans="1:29" ht="15.7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4" customFormat="1" ht="27.75" thickTop="1">
      <c r="A87" s="708"/>
      <c r="B87" s="672" t="s">
        <v>785</v>
      </c>
      <c r="C87" s="687"/>
      <c r="D87" s="687"/>
      <c r="E87" s="687"/>
      <c r="F87" s="687"/>
      <c r="G87" s="687"/>
      <c r="H87" s="687"/>
      <c r="I87" s="687"/>
      <c r="J87" s="687"/>
      <c r="K87" s="687"/>
      <c r="L87" s="889"/>
      <c r="M87" s="890"/>
      <c r="N87" s="2144"/>
      <c r="O87" s="2144"/>
      <c r="P87" s="2196"/>
      <c r="Q87" s="2140"/>
      <c r="R87" s="1975"/>
      <c r="S87" s="1975"/>
      <c r="T87" s="1975"/>
      <c r="U87" s="1975"/>
      <c r="V87" s="1975"/>
      <c r="W87" s="1975"/>
      <c r="X87" s="1975"/>
      <c r="Y87" s="1975"/>
      <c r="Z87" s="1975"/>
      <c r="AA87" s="1975"/>
      <c r="AB87" s="1975"/>
      <c r="AC87" s="1975"/>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4" customFormat="1" ht="15.75" thickTop="1">
      <c r="A89" s="708"/>
      <c r="B89" s="672" t="str">
        <f>B27</f>
        <v>楼层</v>
      </c>
      <c r="C89" s="687"/>
      <c r="D89" s="687"/>
      <c r="E89" s="687"/>
      <c r="F89" s="891"/>
      <c r="G89" s="687"/>
      <c r="H89" s="687"/>
      <c r="I89" s="687"/>
      <c r="J89" s="687"/>
      <c r="K89" s="687"/>
      <c r="L89" s="687"/>
      <c r="M89" s="890"/>
      <c r="N89" s="2144"/>
      <c r="O89" s="2144"/>
      <c r="P89" s="2196"/>
      <c r="Q89" s="2140"/>
      <c r="R89" s="1975"/>
      <c r="S89" s="1975"/>
      <c r="T89" s="1975"/>
      <c r="U89" s="1975"/>
      <c r="V89" s="1975"/>
      <c r="W89" s="1975"/>
      <c r="X89" s="1975"/>
      <c r="Y89" s="1975"/>
      <c r="Z89" s="1975"/>
      <c r="AA89" s="1975"/>
      <c r="AB89" s="1975"/>
      <c r="AC89" s="1975"/>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3" customFormat="1" ht="15.75"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8"/>
      <c r="B93" s="672">
        <f>B29</f>
        <v>111</v>
      </c>
      <c r="C93" s="687"/>
      <c r="D93" s="687"/>
      <c r="E93" s="687"/>
      <c r="F93" s="687"/>
      <c r="G93" s="687"/>
      <c r="H93" s="687"/>
      <c r="I93" s="687"/>
      <c r="J93" s="687"/>
      <c r="K93" s="687"/>
      <c r="L93" s="889"/>
      <c r="M93" s="890"/>
      <c r="N93" s="2146"/>
      <c r="O93" s="2146"/>
      <c r="P93" s="2196"/>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5.75"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5.75"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5.75"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5.75"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5.75"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5.75" thickBot="1">
      <c r="A100" s="892"/>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3" customFormat="1" ht="15.75"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3">
        <v>0.5</v>
      </c>
      <c r="D111" s="893">
        <v>0.6</v>
      </c>
      <c r="E111" s="893">
        <v>0.7</v>
      </c>
      <c r="F111" s="893">
        <v>0.8</v>
      </c>
      <c r="G111" s="893">
        <v>0.9</v>
      </c>
      <c r="H111" s="893">
        <v>1.0001</v>
      </c>
      <c r="I111" s="904"/>
      <c r="J111" s="904"/>
      <c r="K111" s="905"/>
      <c r="L111" s="906"/>
      <c r="M111" s="907"/>
      <c r="N111" s="2146"/>
      <c r="O111" s="2146"/>
      <c r="P111" s="2196"/>
      <c r="Q111" s="2140"/>
      <c r="R111" s="2127"/>
      <c r="S111" s="2127"/>
      <c r="T111" s="2127"/>
      <c r="U111" s="2127"/>
      <c r="V111" s="2127"/>
      <c r="W111" s="2127"/>
      <c r="X111" s="2127"/>
      <c r="Y111" s="2127"/>
      <c r="Z111" s="2127"/>
      <c r="AA111" s="2127"/>
      <c r="AB111" s="2127"/>
      <c r="AC111" s="2127"/>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2547</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6" t="s">
        <v>787</v>
      </c>
      <c r="C119" s="717"/>
      <c r="D119" s="717"/>
      <c r="E119" s="717"/>
      <c r="F119" s="717"/>
      <c r="G119" s="717"/>
      <c r="H119" s="717"/>
      <c r="I119" s="717"/>
      <c r="J119" s="717"/>
      <c r="K119" s="717"/>
      <c r="L119" s="917"/>
      <c r="M119" s="918"/>
      <c r="N119" s="2148"/>
      <c r="O119" s="2148"/>
      <c r="P119" s="2201"/>
      <c r="Q119" s="2188"/>
      <c r="R119" s="2127"/>
      <c r="S119" s="2127"/>
      <c r="T119" s="2127"/>
      <c r="U119" s="2127"/>
      <c r="V119" s="2127"/>
      <c r="W119" s="2127"/>
      <c r="X119" s="2127"/>
      <c r="Y119" s="2127"/>
      <c r="Z119" s="2127"/>
      <c r="AA119" s="2127"/>
      <c r="AB119" s="2127"/>
      <c r="AC119" s="2127"/>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3" customFormat="1" ht="15.75"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3" customFormat="1" ht="15"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3" customFormat="1" ht="15.75"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5"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5"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5.75" thickBot="1">
      <c r="A132" s="892"/>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788</v>
      </c>
      <c r="C1" s="503" t="s">
        <v>720</v>
      </c>
      <c r="D1" s="848"/>
      <c r="E1" s="505"/>
      <c r="F1" s="2643"/>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427"/>
    </row>
    <row r="2" spans="1:29" s="1330" customFormat="1" ht="28.5" customHeight="1">
      <c r="A2" s="422" t="s">
        <v>467</v>
      </c>
      <c r="B2" s="849"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7"/>
    </row>
    <row r="3" spans="1:29" s="1330"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521</v>
      </c>
      <c r="B4" s="512"/>
      <c r="C4" s="3410" t="s">
        <v>522</v>
      </c>
      <c r="D4" s="3411"/>
      <c r="E4" s="3434" t="s">
        <v>523</v>
      </c>
      <c r="F4" s="3435"/>
      <c r="G4" s="3410" t="s">
        <v>524</v>
      </c>
      <c r="H4" s="3411"/>
      <c r="I4" s="3410" t="s">
        <v>525</v>
      </c>
      <c r="J4" s="3411"/>
      <c r="K4" s="513" t="s">
        <v>526</v>
      </c>
      <c r="L4" s="2115"/>
      <c r="M4" s="2116"/>
      <c r="N4" s="2116"/>
      <c r="O4" s="2116"/>
      <c r="P4" s="3412" t="s">
        <v>527</v>
      </c>
      <c r="Q4" s="3413"/>
      <c r="R4" s="3398" t="s">
        <v>523</v>
      </c>
      <c r="S4" s="3399"/>
      <c r="T4" s="3398" t="s">
        <v>524</v>
      </c>
      <c r="U4" s="3399"/>
      <c r="V4" s="3418" t="s">
        <v>525</v>
      </c>
      <c r="W4" s="3418"/>
      <c r="X4" s="1550"/>
      <c r="Y4" s="3398" t="s">
        <v>527</v>
      </c>
      <c r="Z4" s="3399"/>
      <c r="AA4" s="3393" t="s">
        <v>523</v>
      </c>
      <c r="AB4" s="3394" t="s">
        <v>524</v>
      </c>
      <c r="AC4" s="3393" t="s">
        <v>525</v>
      </c>
    </row>
    <row r="5" spans="1:29" ht="15">
      <c r="A5" s="514"/>
      <c r="B5" s="515"/>
      <c r="C5" s="3421" t="s">
        <v>2919</v>
      </c>
      <c r="D5" s="3422"/>
      <c r="E5" s="3436" t="s">
        <v>2920</v>
      </c>
      <c r="F5" s="3437"/>
      <c r="G5" s="3421" t="s">
        <v>2921</v>
      </c>
      <c r="H5" s="3422"/>
      <c r="I5" s="3421" t="s">
        <v>2922</v>
      </c>
      <c r="J5" s="3422"/>
      <c r="K5" s="513"/>
      <c r="L5" s="2115"/>
      <c r="M5" s="2116"/>
      <c r="N5" s="2116"/>
      <c r="O5" s="2116"/>
      <c r="P5" s="3414"/>
      <c r="Q5" s="3415"/>
      <c r="R5" s="3400"/>
      <c r="S5" s="3401"/>
      <c r="T5" s="3400"/>
      <c r="U5" s="3401"/>
      <c r="V5" s="3418"/>
      <c r="W5" s="3418"/>
      <c r="X5" s="1550"/>
      <c r="Y5" s="3400"/>
      <c r="Z5" s="3401"/>
      <c r="AA5" s="3394"/>
      <c r="AB5" s="3394"/>
      <c r="AC5" s="3394"/>
    </row>
    <row r="6" spans="1:29" ht="15.75" thickBot="1">
      <c r="A6" s="516"/>
      <c r="B6" s="517"/>
      <c r="C6" s="3419" t="s">
        <v>2923</v>
      </c>
      <c r="D6" s="3420"/>
      <c r="E6" s="3438" t="s">
        <v>2923</v>
      </c>
      <c r="F6" s="3439"/>
      <c r="G6" s="3419" t="s">
        <v>2923</v>
      </c>
      <c r="H6" s="3420"/>
      <c r="I6" s="3419" t="s">
        <v>2923</v>
      </c>
      <c r="J6" s="3420"/>
      <c r="K6" s="513" t="s">
        <v>528</v>
      </c>
      <c r="L6" s="2115"/>
      <c r="M6" s="2116"/>
      <c r="N6" s="2116"/>
      <c r="O6" s="2116"/>
      <c r="P6" s="3416"/>
      <c r="Q6" s="3417"/>
      <c r="R6" s="3400"/>
      <c r="S6" s="3401"/>
      <c r="T6" s="3402"/>
      <c r="U6" s="3403"/>
      <c r="V6" s="3418"/>
      <c r="W6" s="3418"/>
      <c r="X6" s="1550"/>
      <c r="Y6" s="3402"/>
      <c r="Z6" s="3403"/>
      <c r="AA6" s="3395"/>
      <c r="AB6" s="3395"/>
      <c r="AC6" s="3395"/>
    </row>
    <row r="7" spans="1:29" s="1214" customFormat="1" ht="15.75" thickBot="1">
      <c r="A7" s="2748"/>
      <c r="B7" s="2755" t="s">
        <v>529</v>
      </c>
      <c r="C7" s="518">
        <f>'数据-取费表'!B2</f>
        <v>44050</v>
      </c>
      <c r="D7" s="519">
        <v>100</v>
      </c>
      <c r="E7" s="520"/>
      <c r="F7" s="521">
        <f>SUMIF(52:52,YEAR(E7)&amp;"-"&amp;MONTH(E7),53:53)</f>
        <v>0</v>
      </c>
      <c r="G7" s="520"/>
      <c r="H7" s="519">
        <f>SUMIF(52:52,YEAR(G7)&amp;"-"&amp;MONTH(G7),53:53)</f>
        <v>0</v>
      </c>
      <c r="I7" s="520"/>
      <c r="J7" s="519">
        <f>SUMIF(52:52,YEAR(I7)&amp;"-"&amp;MONTH(I7),53:53)</f>
        <v>0</v>
      </c>
      <c r="K7" s="523"/>
      <c r="L7" s="2117"/>
      <c r="M7" s="2118"/>
      <c r="N7" s="2118"/>
      <c r="O7" s="2118"/>
      <c r="P7" s="3396" t="s">
        <v>530</v>
      </c>
      <c r="Q7" s="3405"/>
      <c r="R7" s="1551" t="s">
        <v>8</v>
      </c>
      <c r="S7" s="1552">
        <f t="shared" ref="S7:S15" si="0">F7</f>
        <v>0</v>
      </c>
      <c r="T7" s="1551" t="s">
        <v>8</v>
      </c>
      <c r="U7" s="1552">
        <f t="shared" ref="U7:U15" si="1">H7</f>
        <v>0</v>
      </c>
      <c r="V7" s="1551" t="s">
        <v>8</v>
      </c>
      <c r="W7" s="1552">
        <f t="shared" ref="W7:W15" si="2">J7</f>
        <v>0</v>
      </c>
      <c r="X7" s="1553"/>
      <c r="Y7" s="3396" t="s">
        <v>530</v>
      </c>
      <c r="Z7" s="3397"/>
      <c r="AA7" s="1554" t="e">
        <f>D7/F7</f>
        <v>#DIV/0!</v>
      </c>
      <c r="AB7" s="1554" t="e">
        <f>D7/H7</f>
        <v>#DIV/0!</v>
      </c>
      <c r="AC7" s="1554" t="e">
        <f>D7/J7</f>
        <v>#DIV/0!</v>
      </c>
    </row>
    <row r="8" spans="1:29" s="1214" customFormat="1" ht="15.75" thickBot="1">
      <c r="A8" s="2749"/>
      <c r="B8" s="2756"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396" t="s">
        <v>533</v>
      </c>
      <c r="Q8" s="3397"/>
      <c r="R8" s="1551" t="s">
        <v>8</v>
      </c>
      <c r="S8" s="1552">
        <f t="shared" si="0"/>
        <v>0</v>
      </c>
      <c r="T8" s="1551" t="s">
        <v>8</v>
      </c>
      <c r="U8" s="1552">
        <f t="shared" si="1"/>
        <v>0</v>
      </c>
      <c r="V8" s="1551" t="s">
        <v>8</v>
      </c>
      <c r="W8" s="1552">
        <f t="shared" si="2"/>
        <v>0</v>
      </c>
      <c r="X8" s="1553"/>
      <c r="Y8" s="3396" t="s">
        <v>533</v>
      </c>
      <c r="Z8" s="3397"/>
      <c r="AA8" s="1554" t="e">
        <f t="shared" ref="AA8:AA40" si="3">D8/F8</f>
        <v>#DIV/0!</v>
      </c>
      <c r="AB8" s="1554" t="e">
        <f t="shared" ref="AB8:AB40" si="4">D8/H8</f>
        <v>#DIV/0!</v>
      </c>
      <c r="AC8" s="1554" t="e">
        <f t="shared" ref="AC8:AC40" si="5">D8/J8</f>
        <v>#DIV/0!</v>
      </c>
    </row>
    <row r="9" spans="1:29" s="1214" customFormat="1" ht="15">
      <c r="A9" s="2750"/>
      <c r="B9" s="2757" t="s">
        <v>2746</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404" t="s">
        <v>535</v>
      </c>
      <c r="Q9" s="1145" t="str">
        <f t="shared" ref="Q9:Q15" si="6">B9</f>
        <v>用途</v>
      </c>
      <c r="R9" s="1551" t="s">
        <v>8</v>
      </c>
      <c r="S9" s="1552">
        <f t="shared" si="0"/>
        <v>100</v>
      </c>
      <c r="T9" s="1551" t="s">
        <v>8</v>
      </c>
      <c r="U9" s="1552">
        <f t="shared" si="1"/>
        <v>100</v>
      </c>
      <c r="V9" s="1551" t="s">
        <v>8</v>
      </c>
      <c r="W9" s="1552">
        <f t="shared" si="2"/>
        <v>100</v>
      </c>
      <c r="X9" s="1553"/>
      <c r="Y9" s="3358" t="s">
        <v>536</v>
      </c>
      <c r="Z9" s="1144" t="str">
        <f t="shared" ref="Z9:Z15" si="7">Q9</f>
        <v>用途</v>
      </c>
      <c r="AA9" s="1554">
        <f t="shared" si="3"/>
        <v>1</v>
      </c>
      <c r="AB9" s="1554">
        <f t="shared" si="4"/>
        <v>1</v>
      </c>
      <c r="AC9" s="1554">
        <f t="shared" si="5"/>
        <v>1</v>
      </c>
    </row>
    <row r="10" spans="1:29" s="1332" customFormat="1" ht="27">
      <c r="A10" s="2751"/>
      <c r="B10" s="2756" t="s">
        <v>2747</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404"/>
      <c r="Q10" s="1145" t="str">
        <f t="shared" si="6"/>
        <v>土地使用年限（年）</v>
      </c>
      <c r="R10" s="1551" t="s">
        <v>8</v>
      </c>
      <c r="S10" s="1552">
        <f t="shared" si="0"/>
        <v>100</v>
      </c>
      <c r="T10" s="1551" t="s">
        <v>8</v>
      </c>
      <c r="U10" s="1552">
        <f t="shared" si="1"/>
        <v>100</v>
      </c>
      <c r="V10" s="1551" t="s">
        <v>8</v>
      </c>
      <c r="W10" s="1552">
        <f t="shared" si="2"/>
        <v>100</v>
      </c>
      <c r="X10" s="1553"/>
      <c r="Y10" s="3358"/>
      <c r="Z10" s="1144" t="str">
        <f t="shared" si="7"/>
        <v>土地使用年限（年）</v>
      </c>
      <c r="AA10" s="1554">
        <f t="shared" si="3"/>
        <v>1</v>
      </c>
      <c r="AB10" s="1554">
        <f t="shared" si="4"/>
        <v>1</v>
      </c>
      <c r="AC10" s="1554">
        <f t="shared" si="5"/>
        <v>1</v>
      </c>
    </row>
    <row r="11" spans="1:29" ht="15">
      <c r="A11" s="2752"/>
      <c r="B11" s="2756" t="s">
        <v>2748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404"/>
      <c r="Q11" s="1145" t="str">
        <f t="shared" si="6"/>
        <v>容积率</v>
      </c>
      <c r="R11" s="1551" t="s">
        <v>8</v>
      </c>
      <c r="S11" s="1552" t="e">
        <f t="shared" si="0"/>
        <v>#N/A</v>
      </c>
      <c r="T11" s="1551" t="s">
        <v>8</v>
      </c>
      <c r="U11" s="1552" t="e">
        <f t="shared" si="1"/>
        <v>#N/A</v>
      </c>
      <c r="V11" s="1551" t="s">
        <v>8</v>
      </c>
      <c r="W11" s="1552" t="e">
        <f t="shared" si="2"/>
        <v>#N/A</v>
      </c>
      <c r="X11" s="1553"/>
      <c r="Y11" s="3358"/>
      <c r="Z11" s="1144" t="str">
        <f t="shared" si="7"/>
        <v>容积率</v>
      </c>
      <c r="AA11" s="1554" t="e">
        <f t="shared" si="3"/>
        <v>#N/A</v>
      </c>
      <c r="AB11" s="1554" t="e">
        <f t="shared" si="4"/>
        <v>#N/A</v>
      </c>
      <c r="AC11" s="1554" t="e">
        <f t="shared" si="5"/>
        <v>#N/A</v>
      </c>
    </row>
    <row r="12" spans="1:29" s="1214" customFormat="1" ht="15">
      <c r="A12" s="2753"/>
      <c r="B12" s="2759">
        <v>111</v>
      </c>
      <c r="C12" s="527"/>
      <c r="D12" s="537">
        <v>100</v>
      </c>
      <c r="E12" s="538"/>
      <c r="F12" s="254">
        <f>SUMIF(64:64,E12,65:65)-SUMIF(64:64,C12,65:65)+100</f>
        <v>100</v>
      </c>
      <c r="G12" s="919"/>
      <c r="H12" s="254">
        <f>SUMIF(64:64,G12,65:65)-SUMIF(64:64,C12,65:65)+100</f>
        <v>100</v>
      </c>
      <c r="I12" s="879"/>
      <c r="J12" s="254">
        <f>SUMIF(64:64,I12,65:65)-SUMIF(64:64,C12,65:65)+100</f>
        <v>100</v>
      </c>
      <c r="K12" s="580"/>
      <c r="L12" s="2117"/>
      <c r="M12" s="2118"/>
      <c r="N12" s="2118"/>
      <c r="O12" s="2119"/>
      <c r="P12" s="3404"/>
      <c r="Q12" s="1145">
        <f t="shared" si="6"/>
        <v>111</v>
      </c>
      <c r="R12" s="1551" t="s">
        <v>8</v>
      </c>
      <c r="S12" s="1552">
        <f t="shared" si="0"/>
        <v>100</v>
      </c>
      <c r="T12" s="1551" t="s">
        <v>8</v>
      </c>
      <c r="U12" s="1552">
        <f t="shared" si="1"/>
        <v>100</v>
      </c>
      <c r="V12" s="1551" t="s">
        <v>8</v>
      </c>
      <c r="W12" s="1552">
        <f t="shared" si="2"/>
        <v>100</v>
      </c>
      <c r="X12" s="1553"/>
      <c r="Y12" s="3358"/>
      <c r="Z12" s="1144">
        <f t="shared" si="7"/>
        <v>111</v>
      </c>
      <c r="AA12" s="1554">
        <f>D12/F12</f>
        <v>1</v>
      </c>
      <c r="AB12" s="1554">
        <f>D12/H12</f>
        <v>1</v>
      </c>
      <c r="AC12" s="1554">
        <f>D12/J12</f>
        <v>1</v>
      </c>
    </row>
    <row r="13" spans="1:29" ht="15">
      <c r="A13" s="2753"/>
      <c r="B13" s="2759">
        <v>111</v>
      </c>
      <c r="C13" s="538"/>
      <c r="D13" s="539">
        <v>100</v>
      </c>
      <c r="E13" s="538"/>
      <c r="F13" s="254">
        <f>SUMIF(66:66,E13,67:67)-SUMIF(66:66,C13,67:67)+100</f>
        <v>100</v>
      </c>
      <c r="G13" s="919"/>
      <c r="H13" s="539">
        <f>SUMIF(66:66,G13,67:67)-SUMIF(66:66,C13,67:67)+100</f>
        <v>100</v>
      </c>
      <c r="I13" s="879"/>
      <c r="J13" s="539">
        <f>SUMIF(66:66,I13,67:67)-SUMIF(66:66,C13,67:67)+100</f>
        <v>100</v>
      </c>
      <c r="K13" s="580"/>
      <c r="L13" s="2124"/>
      <c r="M13" s="2116"/>
      <c r="N13" s="2116"/>
      <c r="O13" s="2123"/>
      <c r="P13" s="3404"/>
      <c r="Q13" s="1145">
        <f t="shared" si="6"/>
        <v>111</v>
      </c>
      <c r="R13" s="1551" t="s">
        <v>8</v>
      </c>
      <c r="S13" s="1552">
        <f t="shared" si="0"/>
        <v>100</v>
      </c>
      <c r="T13" s="1551" t="s">
        <v>8</v>
      </c>
      <c r="U13" s="1552">
        <f t="shared" si="1"/>
        <v>100</v>
      </c>
      <c r="V13" s="1551" t="s">
        <v>8</v>
      </c>
      <c r="W13" s="1552">
        <f t="shared" si="2"/>
        <v>100</v>
      </c>
      <c r="X13" s="1553"/>
      <c r="Y13" s="3358"/>
      <c r="Z13" s="1144">
        <f t="shared" si="7"/>
        <v>111</v>
      </c>
      <c r="AA13" s="1554">
        <f t="shared" si="3"/>
        <v>1</v>
      </c>
      <c r="AB13" s="1554">
        <f t="shared" si="4"/>
        <v>1</v>
      </c>
      <c r="AC13" s="1554">
        <f t="shared" si="5"/>
        <v>1</v>
      </c>
    </row>
    <row r="14" spans="1:29" ht="15.75" thickBot="1">
      <c r="A14" s="2754"/>
      <c r="B14" s="2760">
        <v>111</v>
      </c>
      <c r="C14" s="544"/>
      <c r="D14" s="545">
        <v>100</v>
      </c>
      <c r="E14" s="544"/>
      <c r="F14" s="545">
        <f>SUMIF(68:68,E14,69:69)-SUMIF(68:68,C14,69:69)+100</f>
        <v>100</v>
      </c>
      <c r="G14" s="919"/>
      <c r="H14" s="545">
        <f>SUMIF(68:68,G14,69:69)-SUMIF(68:68,C14,69:69)+100</f>
        <v>100</v>
      </c>
      <c r="I14" s="879"/>
      <c r="J14" s="545">
        <f>SUMIF(68:68,I14,69:69)-SUMIF(68:68,C14,69:69)+100</f>
        <v>100</v>
      </c>
      <c r="K14" s="580"/>
      <c r="L14" s="2124"/>
      <c r="M14" s="2116"/>
      <c r="N14" s="2116"/>
      <c r="O14" s="2123"/>
      <c r="P14" s="3404"/>
      <c r="Q14" s="1145">
        <f t="shared" si="6"/>
        <v>111</v>
      </c>
      <c r="R14" s="1551" t="s">
        <v>8</v>
      </c>
      <c r="S14" s="1552">
        <f t="shared" si="0"/>
        <v>100</v>
      </c>
      <c r="T14" s="1551" t="s">
        <v>8</v>
      </c>
      <c r="U14" s="1552">
        <f t="shared" si="1"/>
        <v>100</v>
      </c>
      <c r="V14" s="1551" t="s">
        <v>8</v>
      </c>
      <c r="W14" s="1552">
        <f t="shared" si="2"/>
        <v>100</v>
      </c>
      <c r="X14" s="1553"/>
      <c r="Y14" s="3358"/>
      <c r="Z14" s="1144">
        <f t="shared" si="7"/>
        <v>111</v>
      </c>
      <c r="AA14" s="1554">
        <f t="shared" si="3"/>
        <v>1</v>
      </c>
      <c r="AB14" s="1554">
        <f t="shared" si="4"/>
        <v>1</v>
      </c>
      <c r="AC14" s="1554">
        <f t="shared" si="5"/>
        <v>1</v>
      </c>
    </row>
    <row r="15" spans="1:29" ht="57">
      <c r="A15" s="2746" t="s">
        <v>2744</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4"/>
      <c r="M15" s="2116"/>
      <c r="N15" s="2116"/>
      <c r="O15" s="2123"/>
      <c r="P15" s="3406" t="s">
        <v>540</v>
      </c>
      <c r="Q15" s="1555" t="str">
        <f t="shared" si="6"/>
        <v>产业集聚程度</v>
      </c>
      <c r="R15" s="1556" t="s">
        <v>8</v>
      </c>
      <c r="S15" s="1557">
        <f t="shared" si="0"/>
        <v>100</v>
      </c>
      <c r="T15" s="1556" t="s">
        <v>8</v>
      </c>
      <c r="U15" s="1557">
        <f t="shared" si="1"/>
        <v>100</v>
      </c>
      <c r="V15" s="1556" t="s">
        <v>8</v>
      </c>
      <c r="W15" s="1557">
        <f t="shared" si="2"/>
        <v>100</v>
      </c>
      <c r="X15" s="1550"/>
      <c r="Y15" s="3406" t="s">
        <v>540</v>
      </c>
      <c r="Z15" s="1558" t="str">
        <f t="shared" si="7"/>
        <v>产业集聚程度</v>
      </c>
      <c r="AA15" s="1559">
        <f t="shared" si="3"/>
        <v>1</v>
      </c>
      <c r="AB15" s="1559">
        <f t="shared" si="4"/>
        <v>1</v>
      </c>
      <c r="AC15" s="1559">
        <f t="shared" si="5"/>
        <v>1</v>
      </c>
    </row>
    <row r="16" spans="1:29" ht="15">
      <c r="A16" s="531"/>
      <c r="B16" s="868"/>
      <c r="C16" s="575"/>
      <c r="D16" s="554"/>
      <c r="E16" s="575"/>
      <c r="F16" s="556"/>
      <c r="G16" s="575"/>
      <c r="H16" s="558"/>
      <c r="I16" s="575"/>
      <c r="J16" s="554"/>
      <c r="K16" s="898"/>
      <c r="L16" s="2124"/>
      <c r="M16" s="2116"/>
      <c r="N16" s="2116"/>
      <c r="O16" s="2123"/>
      <c r="P16" s="3407"/>
      <c r="Q16" s="1555"/>
      <c r="R16" s="1556"/>
      <c r="S16" s="1557"/>
      <c r="T16" s="1556"/>
      <c r="U16" s="1557"/>
      <c r="V16" s="1556"/>
      <c r="W16" s="1557"/>
      <c r="X16" s="1550"/>
      <c r="Y16" s="3407"/>
      <c r="Z16" s="1558"/>
      <c r="AA16" s="1559">
        <v>1</v>
      </c>
      <c r="AB16" s="1559">
        <v>1</v>
      </c>
      <c r="AC16" s="1559">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4"/>
      <c r="M17" s="2116"/>
      <c r="N17" s="2116"/>
      <c r="O17" s="2123"/>
      <c r="P17" s="3407"/>
      <c r="Q17" s="1555" t="str">
        <f>B17</f>
        <v>交通便捷度</v>
      </c>
      <c r="R17" s="1556" t="s">
        <v>8</v>
      </c>
      <c r="S17" s="1557">
        <f>F17</f>
        <v>100</v>
      </c>
      <c r="T17" s="1556" t="s">
        <v>8</v>
      </c>
      <c r="U17" s="1557">
        <f>H17</f>
        <v>100</v>
      </c>
      <c r="V17" s="1556" t="s">
        <v>8</v>
      </c>
      <c r="W17" s="1557">
        <f>J17</f>
        <v>100</v>
      </c>
      <c r="X17" s="1550"/>
      <c r="Y17" s="3407"/>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8"/>
      <c r="L18" s="2124"/>
      <c r="M18" s="2116"/>
      <c r="N18" s="2116"/>
      <c r="O18" s="2123"/>
      <c r="P18" s="3407"/>
      <c r="Q18" s="1555"/>
      <c r="R18" s="1556"/>
      <c r="S18" s="1557"/>
      <c r="T18" s="1556"/>
      <c r="U18" s="1557"/>
      <c r="V18" s="1556"/>
      <c r="W18" s="1557"/>
      <c r="X18" s="1550"/>
      <c r="Y18" s="3407"/>
      <c r="Z18" s="1558"/>
      <c r="AA18" s="1559">
        <v>1</v>
      </c>
      <c r="AB18" s="1559">
        <v>1</v>
      </c>
      <c r="AC18" s="1559">
        <v>1</v>
      </c>
    </row>
    <row r="19" spans="1:29" ht="42.75">
      <c r="A19" s="531"/>
      <c r="B19" s="2564" t="s">
        <v>2537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4"/>
      <c r="M19" s="2116"/>
      <c r="N19" s="2116"/>
      <c r="O19" s="2123"/>
      <c r="P19" s="3407"/>
      <c r="Q19" s="1555" t="str">
        <f>B19</f>
        <v>公共配套设施</v>
      </c>
      <c r="R19" s="1556" t="s">
        <v>8</v>
      </c>
      <c r="S19" s="1557">
        <f>F19</f>
        <v>100</v>
      </c>
      <c r="T19" s="1556" t="s">
        <v>8</v>
      </c>
      <c r="U19" s="1557">
        <f>H19</f>
        <v>100</v>
      </c>
      <c r="V19" s="1556" t="s">
        <v>8</v>
      </c>
      <c r="W19" s="1557">
        <f>J19</f>
        <v>100</v>
      </c>
      <c r="X19" s="1550"/>
      <c r="Y19" s="3407"/>
      <c r="Z19" s="1558" t="str">
        <f>Q19</f>
        <v>公共配套设施</v>
      </c>
      <c r="AA19" s="1559">
        <f t="shared" si="3"/>
        <v>1</v>
      </c>
      <c r="AB19" s="1559">
        <f t="shared" si="4"/>
        <v>1</v>
      </c>
      <c r="AC19" s="1559">
        <f t="shared" si="5"/>
        <v>1</v>
      </c>
    </row>
    <row r="20" spans="1:29" ht="15">
      <c r="A20" s="531"/>
      <c r="B20" s="565"/>
      <c r="C20" s="575"/>
      <c r="D20" s="554"/>
      <c r="E20" s="555"/>
      <c r="F20" s="556"/>
      <c r="G20" s="557"/>
      <c r="H20" s="554"/>
      <c r="I20" s="555"/>
      <c r="J20" s="554"/>
      <c r="K20" s="898"/>
      <c r="L20" s="2124"/>
      <c r="M20" s="2116"/>
      <c r="N20" s="2116"/>
      <c r="O20" s="2123"/>
      <c r="P20" s="3407"/>
      <c r="Q20" s="1555"/>
      <c r="R20" s="1556"/>
      <c r="S20" s="1557"/>
      <c r="T20" s="1556"/>
      <c r="U20" s="1557"/>
      <c r="V20" s="1556"/>
      <c r="W20" s="1557"/>
      <c r="X20" s="1550"/>
      <c r="Y20" s="3407"/>
      <c r="Z20" s="1558"/>
      <c r="AA20" s="1559">
        <v>1</v>
      </c>
      <c r="AB20" s="1559">
        <v>1</v>
      </c>
      <c r="AC20" s="1559">
        <v>1</v>
      </c>
    </row>
    <row r="21" spans="1:29" ht="28.5">
      <c r="A21" s="531"/>
      <c r="B21" s="2552" t="s">
        <v>2549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4"/>
      <c r="M21" s="2116"/>
      <c r="N21" s="2116"/>
      <c r="O21" s="2123"/>
      <c r="P21" s="3407"/>
      <c r="Q21" s="2540" t="str">
        <f>B21</f>
        <v>基础设施水平</v>
      </c>
      <c r="R21" s="1556" t="s">
        <v>8</v>
      </c>
      <c r="S21" s="1557">
        <f>F21</f>
        <v>100</v>
      </c>
      <c r="T21" s="1556" t="s">
        <v>8</v>
      </c>
      <c r="U21" s="1557">
        <f>H21</f>
        <v>100</v>
      </c>
      <c r="V21" s="1556" t="s">
        <v>8</v>
      </c>
      <c r="W21" s="1557">
        <f>J21</f>
        <v>100</v>
      </c>
      <c r="X21" s="2542"/>
      <c r="Y21" s="3407"/>
      <c r="Z21" s="2541" t="str">
        <f>Q21</f>
        <v>基础设施水平</v>
      </c>
      <c r="AA21" s="1559">
        <f t="shared" ref="AA21" si="8">D21/F21</f>
        <v>1</v>
      </c>
      <c r="AB21" s="1559">
        <f t="shared" ref="AB21" si="9">D21/H21</f>
        <v>1</v>
      </c>
      <c r="AC21" s="1559">
        <f t="shared" ref="AC21" si="10">D21/J21</f>
        <v>1</v>
      </c>
    </row>
    <row r="22" spans="1:29" ht="15">
      <c r="A22" s="531"/>
      <c r="B22" s="577"/>
      <c r="C22" s="872"/>
      <c r="D22" s="554"/>
      <c r="E22" s="575"/>
      <c r="F22" s="556"/>
      <c r="G22" s="575"/>
      <c r="H22" s="554"/>
      <c r="I22" s="575"/>
      <c r="J22" s="554"/>
      <c r="K22" s="2563"/>
      <c r="L22" s="2124"/>
      <c r="M22" s="2116"/>
      <c r="N22" s="2116"/>
      <c r="O22" s="2123"/>
      <c r="P22" s="3407"/>
      <c r="Q22" s="2540"/>
      <c r="R22" s="1556"/>
      <c r="S22" s="1557"/>
      <c r="T22" s="1556"/>
      <c r="U22" s="1557"/>
      <c r="V22" s="1556"/>
      <c r="W22" s="1557"/>
      <c r="X22" s="2542"/>
      <c r="Y22" s="3407"/>
      <c r="Z22" s="2541"/>
      <c r="AA22" s="1559">
        <v>1</v>
      </c>
      <c r="AB22" s="1559">
        <v>1</v>
      </c>
      <c r="AC22" s="1559">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4"/>
      <c r="M23" s="2116"/>
      <c r="N23" s="2116"/>
      <c r="O23" s="2123"/>
      <c r="P23" s="3407"/>
      <c r="Q23" s="1555" t="str">
        <f>B23</f>
        <v>环境质量</v>
      </c>
      <c r="R23" s="1556" t="s">
        <v>8</v>
      </c>
      <c r="S23" s="1557">
        <f>F23</f>
        <v>100</v>
      </c>
      <c r="T23" s="1556" t="s">
        <v>8</v>
      </c>
      <c r="U23" s="1557">
        <f>H23</f>
        <v>100</v>
      </c>
      <c r="V23" s="1556" t="s">
        <v>8</v>
      </c>
      <c r="W23" s="1557">
        <f>J23</f>
        <v>100</v>
      </c>
      <c r="X23" s="1550"/>
      <c r="Y23" s="3407"/>
      <c r="Z23" s="1558" t="str">
        <f>Q23</f>
        <v>环境质量</v>
      </c>
      <c r="AA23" s="1559">
        <f t="shared" si="3"/>
        <v>1</v>
      </c>
      <c r="AB23" s="1559">
        <f t="shared" si="4"/>
        <v>1</v>
      </c>
      <c r="AC23" s="1559">
        <f t="shared" si="5"/>
        <v>1</v>
      </c>
    </row>
    <row r="24" spans="1:29" ht="15">
      <c r="A24" s="531"/>
      <c r="B24" s="921"/>
      <c r="C24" s="575"/>
      <c r="D24" s="554"/>
      <c r="E24" s="555"/>
      <c r="F24" s="556"/>
      <c r="G24" s="557"/>
      <c r="H24" s="554"/>
      <c r="I24" s="555"/>
      <c r="J24" s="554"/>
      <c r="K24" s="898"/>
      <c r="L24" s="2124"/>
      <c r="M24" s="2116"/>
      <c r="N24" s="2116"/>
      <c r="O24" s="2123"/>
      <c r="P24" s="3407"/>
      <c r="Q24" s="1555"/>
      <c r="R24" s="1556"/>
      <c r="S24" s="1557"/>
      <c r="T24" s="1556"/>
      <c r="U24" s="1557"/>
      <c r="V24" s="1556"/>
      <c r="W24" s="1557"/>
      <c r="X24" s="1550"/>
      <c r="Y24" s="3407"/>
      <c r="Z24" s="1558"/>
      <c r="AA24" s="1559">
        <v>1</v>
      </c>
      <c r="AB24" s="1559">
        <v>1</v>
      </c>
      <c r="AC24" s="1559">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407"/>
      <c r="Q25" s="1555">
        <f>B25</f>
        <v>111</v>
      </c>
      <c r="R25" s="1556" t="s">
        <v>8</v>
      </c>
      <c r="S25" s="1557">
        <f>F25</f>
        <v>100</v>
      </c>
      <c r="T25" s="1556" t="s">
        <v>8</v>
      </c>
      <c r="U25" s="1557">
        <f>H25</f>
        <v>100</v>
      </c>
      <c r="V25" s="1556" t="s">
        <v>8</v>
      </c>
      <c r="W25" s="1557">
        <f>J25</f>
        <v>100</v>
      </c>
      <c r="X25" s="1550"/>
      <c r="Y25" s="3407"/>
      <c r="Z25" s="1558">
        <f>Q25</f>
        <v>111</v>
      </c>
      <c r="AA25" s="1559">
        <f t="shared" si="3"/>
        <v>1</v>
      </c>
      <c r="AB25" s="1559">
        <f t="shared" si="4"/>
        <v>1</v>
      </c>
      <c r="AC25" s="1559">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407"/>
      <c r="Q26" s="1555">
        <f t="shared" ref="Q26:Q40" si="11">B26</f>
        <v>111</v>
      </c>
      <c r="R26" s="1556" t="s">
        <v>8</v>
      </c>
      <c r="S26" s="1557">
        <f>F26</f>
        <v>100</v>
      </c>
      <c r="T26" s="1556" t="s">
        <v>8</v>
      </c>
      <c r="U26" s="1557">
        <f>H26</f>
        <v>100</v>
      </c>
      <c r="V26" s="1556" t="s">
        <v>8</v>
      </c>
      <c r="W26" s="1557">
        <f>J26</f>
        <v>100</v>
      </c>
      <c r="X26" s="1550"/>
      <c r="Y26" s="3407"/>
      <c r="Z26" s="1558">
        <f>Q26</f>
        <v>111</v>
      </c>
      <c r="AA26" s="1559">
        <f t="shared" si="3"/>
        <v>1</v>
      </c>
      <c r="AB26" s="1559">
        <f t="shared" si="4"/>
        <v>1</v>
      </c>
      <c r="AC26" s="1559">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407"/>
      <c r="Q27" s="1145">
        <f t="shared" si="11"/>
        <v>111</v>
      </c>
      <c r="R27" s="1551" t="s">
        <v>8</v>
      </c>
      <c r="S27" s="1552">
        <f>F27</f>
        <v>100</v>
      </c>
      <c r="T27" s="1551" t="s">
        <v>8</v>
      </c>
      <c r="U27" s="1552">
        <f>H27</f>
        <v>100</v>
      </c>
      <c r="V27" s="1551" t="s">
        <v>8</v>
      </c>
      <c r="W27" s="1552">
        <f>J27</f>
        <v>100</v>
      </c>
      <c r="X27" s="1553"/>
      <c r="Y27" s="3407"/>
      <c r="Z27" s="1144">
        <f>Q27</f>
        <v>111</v>
      </c>
      <c r="AA27" s="1559">
        <f>D27/F27</f>
        <v>1</v>
      </c>
      <c r="AB27" s="1559">
        <f>D27/H27</f>
        <v>1</v>
      </c>
      <c r="AC27" s="1559">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4"/>
      <c r="M28" s="2116"/>
      <c r="N28" s="2116"/>
      <c r="O28" s="2123"/>
      <c r="P28" s="3407"/>
      <c r="Q28" s="1555">
        <f t="shared" si="11"/>
        <v>111</v>
      </c>
      <c r="R28" s="1556" t="s">
        <v>8</v>
      </c>
      <c r="S28" s="1557">
        <f t="shared" ref="S28:S40" si="12">F28</f>
        <v>100</v>
      </c>
      <c r="T28" s="1556" t="s">
        <v>8</v>
      </c>
      <c r="U28" s="1557">
        <f t="shared" ref="U28:U40" si="13">H28</f>
        <v>100</v>
      </c>
      <c r="V28" s="1556" t="s">
        <v>8</v>
      </c>
      <c r="W28" s="1557">
        <f t="shared" ref="W28:W40" si="14">J28</f>
        <v>100</v>
      </c>
      <c r="X28" s="1550"/>
      <c r="Y28" s="3407"/>
      <c r="Z28" s="1558">
        <f t="shared" ref="Z28:Z40" si="15">Q28</f>
        <v>111</v>
      </c>
      <c r="AA28" s="1559">
        <f t="shared" si="3"/>
        <v>1</v>
      </c>
      <c r="AB28" s="1559">
        <f t="shared" si="4"/>
        <v>1</v>
      </c>
      <c r="AC28" s="1559">
        <f t="shared" si="5"/>
        <v>1</v>
      </c>
    </row>
    <row r="29" spans="1:29" ht="15">
      <c r="A29" s="2743" t="s">
        <v>2745</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24"/>
      <c r="M29" s="2116"/>
      <c r="N29" s="2116"/>
      <c r="O29" s="2123"/>
      <c r="P29" s="3408" t="s">
        <v>550</v>
      </c>
      <c r="Q29" s="1555" t="str">
        <f t="shared" si="11"/>
        <v>建筑类型</v>
      </c>
      <c r="R29" s="1556" t="s">
        <v>8</v>
      </c>
      <c r="S29" s="1557">
        <f t="shared" si="12"/>
        <v>100</v>
      </c>
      <c r="T29" s="1556" t="s">
        <v>8</v>
      </c>
      <c r="U29" s="1557">
        <f t="shared" si="13"/>
        <v>100</v>
      </c>
      <c r="V29" s="1556" t="s">
        <v>8</v>
      </c>
      <c r="W29" s="1557">
        <f t="shared" si="14"/>
        <v>100</v>
      </c>
      <c r="X29" s="1550"/>
      <c r="Y29" s="3409" t="s">
        <v>550</v>
      </c>
      <c r="Z29" s="1558" t="str">
        <f t="shared" si="15"/>
        <v>建筑类型</v>
      </c>
      <c r="AA29" s="1559">
        <f t="shared" si="3"/>
        <v>1</v>
      </c>
      <c r="AB29" s="1559">
        <f t="shared" si="4"/>
        <v>1</v>
      </c>
      <c r="AC29" s="1559">
        <f t="shared" si="5"/>
        <v>1</v>
      </c>
    </row>
    <row r="30" spans="1:29" s="1333"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409"/>
      <c r="Q30" s="1587" t="str">
        <f t="shared" si="11"/>
        <v>项目建筑规模</v>
      </c>
      <c r="R30" s="1560" t="s">
        <v>8</v>
      </c>
      <c r="S30" s="1561" t="e">
        <f t="shared" si="12"/>
        <v>#N/A</v>
      </c>
      <c r="T30" s="1560" t="s">
        <v>8</v>
      </c>
      <c r="U30" s="1561" t="e">
        <f t="shared" si="13"/>
        <v>#N/A</v>
      </c>
      <c r="V30" s="1560" t="s">
        <v>8</v>
      </c>
      <c r="W30" s="1561" t="e">
        <f t="shared" si="14"/>
        <v>#N/A</v>
      </c>
      <c r="X30" s="1562"/>
      <c r="Y30" s="3409"/>
      <c r="Z30" s="1563" t="str">
        <f t="shared" si="15"/>
        <v>项目建筑规模</v>
      </c>
      <c r="AA30" s="1559" t="e">
        <f t="shared" si="3"/>
        <v>#N/A</v>
      </c>
      <c r="AB30" s="1559" t="e">
        <f t="shared" si="4"/>
        <v>#N/A</v>
      </c>
      <c r="AC30" s="1559"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409"/>
      <c r="Q31" s="1555" t="str">
        <f t="shared" si="11"/>
        <v>建筑结构</v>
      </c>
      <c r="R31" s="1556" t="s">
        <v>8</v>
      </c>
      <c r="S31" s="1557">
        <f t="shared" si="12"/>
        <v>100</v>
      </c>
      <c r="T31" s="1556" t="s">
        <v>8</v>
      </c>
      <c r="U31" s="1557">
        <f t="shared" si="13"/>
        <v>100</v>
      </c>
      <c r="V31" s="1556" t="s">
        <v>8</v>
      </c>
      <c r="W31" s="1557">
        <f t="shared" si="14"/>
        <v>100</v>
      </c>
      <c r="X31" s="1550"/>
      <c r="Y31" s="3409"/>
      <c r="Z31" s="1558" t="str">
        <f t="shared" si="15"/>
        <v>建筑结构</v>
      </c>
      <c r="AA31" s="1559">
        <f t="shared" si="3"/>
        <v>1</v>
      </c>
      <c r="AB31" s="1559">
        <f t="shared" si="4"/>
        <v>1</v>
      </c>
      <c r="AC31" s="1559">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409"/>
      <c r="Q32" s="1555" t="str">
        <f t="shared" si="11"/>
        <v>公共部分装修</v>
      </c>
      <c r="R32" s="1556" t="s">
        <v>8</v>
      </c>
      <c r="S32" s="1557">
        <f t="shared" si="12"/>
        <v>100</v>
      </c>
      <c r="T32" s="1556" t="s">
        <v>8</v>
      </c>
      <c r="U32" s="1557">
        <f t="shared" si="13"/>
        <v>100</v>
      </c>
      <c r="V32" s="1556" t="s">
        <v>8</v>
      </c>
      <c r="W32" s="1557">
        <f t="shared" si="14"/>
        <v>100</v>
      </c>
      <c r="X32" s="1550"/>
      <c r="Y32" s="3409"/>
      <c r="Z32" s="1558" t="str">
        <f t="shared" si="15"/>
        <v>公共部分装修</v>
      </c>
      <c r="AA32" s="1559">
        <f t="shared" si="3"/>
        <v>1</v>
      </c>
      <c r="AB32" s="1559">
        <f t="shared" si="4"/>
        <v>1</v>
      </c>
      <c r="AC32" s="1559">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4"/>
      <c r="M33" s="2116"/>
      <c r="N33" s="2116"/>
      <c r="O33" s="2123"/>
      <c r="P33" s="3409"/>
      <c r="Q33" s="1555" t="str">
        <f t="shared" si="11"/>
        <v>成新度</v>
      </c>
      <c r="R33" s="1556" t="s">
        <v>8</v>
      </c>
      <c r="S33" s="1557" t="e">
        <f t="shared" si="12"/>
        <v>#N/A</v>
      </c>
      <c r="T33" s="1556" t="s">
        <v>8</v>
      </c>
      <c r="U33" s="1557" t="e">
        <f t="shared" si="13"/>
        <v>#N/A</v>
      </c>
      <c r="V33" s="1556" t="s">
        <v>8</v>
      </c>
      <c r="W33" s="1557" t="e">
        <f t="shared" si="14"/>
        <v>#N/A</v>
      </c>
      <c r="X33" s="1550"/>
      <c r="Y33" s="3409"/>
      <c r="Z33" s="1558" t="str">
        <f t="shared" si="15"/>
        <v>成新度</v>
      </c>
      <c r="AA33" s="1559" t="e">
        <f t="shared" si="3"/>
        <v>#N/A</v>
      </c>
      <c r="AB33" s="1559" t="e">
        <f t="shared" si="4"/>
        <v>#N/A</v>
      </c>
      <c r="AC33" s="1559"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409"/>
      <c r="Q34" s="1145" t="str">
        <f t="shared" si="11"/>
        <v>物业管理</v>
      </c>
      <c r="R34" s="1551" t="s">
        <v>8</v>
      </c>
      <c r="S34" s="1552">
        <f t="shared" si="12"/>
        <v>100</v>
      </c>
      <c r="T34" s="1551" t="s">
        <v>8</v>
      </c>
      <c r="U34" s="1552">
        <f t="shared" si="13"/>
        <v>100</v>
      </c>
      <c r="V34" s="1551" t="s">
        <v>8</v>
      </c>
      <c r="W34" s="1552">
        <f t="shared" si="14"/>
        <v>100</v>
      </c>
      <c r="X34" s="1553"/>
      <c r="Y34" s="3409"/>
      <c r="Z34" s="1144" t="str">
        <f t="shared" si="15"/>
        <v>物业管理</v>
      </c>
      <c r="AA34" s="1554">
        <f t="shared" si="3"/>
        <v>1</v>
      </c>
      <c r="AB34" s="1554">
        <f t="shared" si="4"/>
        <v>1</v>
      </c>
      <c r="AC34" s="1554">
        <f t="shared" si="5"/>
        <v>1</v>
      </c>
    </row>
    <row r="35" spans="1:29" ht="15">
      <c r="A35" s="593"/>
      <c r="B35" s="1877" t="s">
        <v>2556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409" t="s">
        <v>550</v>
      </c>
      <c r="Q35" s="1555" t="str">
        <f t="shared" si="11"/>
        <v>市政基础设施</v>
      </c>
      <c r="R35" s="1556" t="s">
        <v>8</v>
      </c>
      <c r="S35" s="1557">
        <f t="shared" si="12"/>
        <v>100</v>
      </c>
      <c r="T35" s="1556" t="s">
        <v>8</v>
      </c>
      <c r="U35" s="1557">
        <f t="shared" si="13"/>
        <v>100</v>
      </c>
      <c r="V35" s="1556" t="s">
        <v>8</v>
      </c>
      <c r="W35" s="1557">
        <f t="shared" si="14"/>
        <v>100</v>
      </c>
      <c r="X35" s="1550"/>
      <c r="Y35" s="3409" t="s">
        <v>550</v>
      </c>
      <c r="Z35" s="1558" t="str">
        <f t="shared" si="15"/>
        <v>市政基础设施</v>
      </c>
      <c r="AA35" s="1559">
        <f t="shared" si="3"/>
        <v>1</v>
      </c>
      <c r="AB35" s="1559">
        <f t="shared" si="4"/>
        <v>1</v>
      </c>
      <c r="AC35" s="1559">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409"/>
      <c r="Q36" s="1555" t="str">
        <f t="shared" si="11"/>
        <v>内部装修</v>
      </c>
      <c r="R36" s="1556" t="s">
        <v>8</v>
      </c>
      <c r="S36" s="1557">
        <f t="shared" si="12"/>
        <v>100</v>
      </c>
      <c r="T36" s="1556" t="s">
        <v>8</v>
      </c>
      <c r="U36" s="1557">
        <f t="shared" si="13"/>
        <v>100</v>
      </c>
      <c r="V36" s="1556" t="s">
        <v>8</v>
      </c>
      <c r="W36" s="1557">
        <f t="shared" si="14"/>
        <v>100</v>
      </c>
      <c r="X36" s="1550"/>
      <c r="Y36" s="3409"/>
      <c r="Z36" s="1558" t="str">
        <f t="shared" si="15"/>
        <v>内部装修</v>
      </c>
      <c r="AA36" s="1559">
        <f t="shared" si="3"/>
        <v>1</v>
      </c>
      <c r="AB36" s="1559">
        <f t="shared" si="4"/>
        <v>1</v>
      </c>
      <c r="AC36" s="1559">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409"/>
      <c r="Q37" s="1555" t="str">
        <f t="shared" si="11"/>
        <v>内部装修状况</v>
      </c>
      <c r="R37" s="1556" t="s">
        <v>8</v>
      </c>
      <c r="S37" s="1557">
        <f t="shared" si="12"/>
        <v>100</v>
      </c>
      <c r="T37" s="1556" t="s">
        <v>8</v>
      </c>
      <c r="U37" s="1557">
        <f t="shared" si="13"/>
        <v>100</v>
      </c>
      <c r="V37" s="1556" t="s">
        <v>8</v>
      </c>
      <c r="W37" s="1557">
        <f t="shared" si="14"/>
        <v>100</v>
      </c>
      <c r="X37" s="1550"/>
      <c r="Y37" s="3409"/>
      <c r="Z37" s="1558" t="str">
        <f t="shared" si="15"/>
        <v>内部装修状况</v>
      </c>
      <c r="AA37" s="1559">
        <f t="shared" si="3"/>
        <v>1</v>
      </c>
      <c r="AB37" s="1559">
        <f t="shared" si="4"/>
        <v>1</v>
      </c>
      <c r="AC37" s="1559">
        <f t="shared" si="5"/>
        <v>1</v>
      </c>
    </row>
    <row r="38" spans="1:29" s="1333"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2"/>
      <c r="M38" s="2153"/>
      <c r="N38" s="2153"/>
      <c r="O38" s="2125"/>
      <c r="P38" s="3409"/>
      <c r="Q38" s="1587">
        <f t="shared" si="11"/>
        <v>111</v>
      </c>
      <c r="R38" s="1560" t="s">
        <v>8</v>
      </c>
      <c r="S38" s="1561">
        <f t="shared" si="12"/>
        <v>100</v>
      </c>
      <c r="T38" s="1560" t="s">
        <v>8</v>
      </c>
      <c r="U38" s="1561">
        <f t="shared" si="13"/>
        <v>100</v>
      </c>
      <c r="V38" s="1560" t="s">
        <v>8</v>
      </c>
      <c r="W38" s="1561">
        <f t="shared" si="14"/>
        <v>100</v>
      </c>
      <c r="X38" s="1562"/>
      <c r="Y38" s="3409"/>
      <c r="Z38" s="1563">
        <f t="shared" si="15"/>
        <v>111</v>
      </c>
      <c r="AA38" s="1559">
        <f t="shared" si="3"/>
        <v>1</v>
      </c>
      <c r="AB38" s="1559">
        <f t="shared" si="4"/>
        <v>1</v>
      </c>
      <c r="AC38" s="1559">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4"/>
      <c r="M39" s="2116"/>
      <c r="N39" s="2116"/>
      <c r="O39" s="2123"/>
      <c r="P39" s="3409"/>
      <c r="Q39" s="1555">
        <f t="shared" si="11"/>
        <v>111</v>
      </c>
      <c r="R39" s="1556" t="s">
        <v>8</v>
      </c>
      <c r="S39" s="1557">
        <f t="shared" si="12"/>
        <v>100</v>
      </c>
      <c r="T39" s="1556" t="s">
        <v>8</v>
      </c>
      <c r="U39" s="1557">
        <f t="shared" si="13"/>
        <v>100</v>
      </c>
      <c r="V39" s="1556" t="s">
        <v>8</v>
      </c>
      <c r="W39" s="1557">
        <f t="shared" si="14"/>
        <v>100</v>
      </c>
      <c r="X39" s="1550"/>
      <c r="Y39" s="3409"/>
      <c r="Z39" s="1558">
        <f t="shared" si="15"/>
        <v>111</v>
      </c>
      <c r="AA39" s="1559">
        <f t="shared" si="3"/>
        <v>1</v>
      </c>
      <c r="AB39" s="1559">
        <f t="shared" si="4"/>
        <v>1</v>
      </c>
      <c r="AC39" s="1559">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4"/>
      <c r="M40" s="2116"/>
      <c r="N40" s="2116"/>
      <c r="O40" s="2123"/>
      <c r="P40" s="3509"/>
      <c r="Q40" s="1555">
        <f t="shared" si="11"/>
        <v>111</v>
      </c>
      <c r="R40" s="1556" t="s">
        <v>8</v>
      </c>
      <c r="S40" s="1557">
        <f t="shared" si="12"/>
        <v>100</v>
      </c>
      <c r="T40" s="1556" t="s">
        <v>8</v>
      </c>
      <c r="U40" s="1557">
        <f t="shared" si="13"/>
        <v>100</v>
      </c>
      <c r="V40" s="1556" t="s">
        <v>8</v>
      </c>
      <c r="W40" s="1557">
        <f t="shared" si="14"/>
        <v>100</v>
      </c>
      <c r="X40" s="1550"/>
      <c r="Y40" s="3509"/>
      <c r="Z40" s="1558">
        <f t="shared" si="15"/>
        <v>111</v>
      </c>
      <c r="AA40" s="1559">
        <f t="shared" si="3"/>
        <v>1</v>
      </c>
      <c r="AB40" s="1559">
        <f t="shared" si="4"/>
        <v>1</v>
      </c>
      <c r="AC40" s="1559">
        <f t="shared" si="5"/>
        <v>1</v>
      </c>
    </row>
    <row r="41" spans="1:29" ht="15">
      <c r="A41" s="606" t="s">
        <v>736</v>
      </c>
      <c r="B41" s="886"/>
      <c r="C41" s="2588" t="s">
        <v>1</v>
      </c>
      <c r="D41" s="2589"/>
      <c r="E41" s="2590"/>
      <c r="F41" s="2591"/>
      <c r="G41" s="2592"/>
      <c r="H41" s="2593"/>
      <c r="I41" s="2590"/>
      <c r="J41" s="2593"/>
      <c r="K41" s="1593"/>
      <c r="L41" s="2126"/>
      <c r="M41" s="2127"/>
      <c r="N41" s="2116"/>
      <c r="O41" s="2127"/>
      <c r="P41" s="3404" t="str">
        <f>A41</f>
        <v>成交单价（元/平方米）</v>
      </c>
      <c r="Q41" s="3404"/>
      <c r="R41" s="3508">
        <f>E41</f>
        <v>0</v>
      </c>
      <c r="S41" s="3508"/>
      <c r="T41" s="3508">
        <f>G41</f>
        <v>0</v>
      </c>
      <c r="U41" s="3508"/>
      <c r="V41" s="3508">
        <f>I41</f>
        <v>0</v>
      </c>
      <c r="W41" s="3508"/>
      <c r="X41" s="1542"/>
      <c r="Y41" s="1564"/>
      <c r="Z41" s="1542"/>
      <c r="AA41" s="1542"/>
      <c r="AB41" s="1542"/>
      <c r="AC41" s="1542"/>
    </row>
    <row r="42" spans="1:29" ht="15.75" thickBot="1">
      <c r="A42" s="614" t="s">
        <v>2750</v>
      </c>
      <c r="B42" s="887"/>
      <c r="C42" s="2594" t="e">
        <f>R43</f>
        <v>#DIV/0!</v>
      </c>
      <c r="D42" s="2595"/>
      <c r="E42" s="2596" t="e">
        <f>R42</f>
        <v>#DIV/0!</v>
      </c>
      <c r="F42" s="2596"/>
      <c r="G42" s="2594" t="e">
        <f>T42</f>
        <v>#DIV/0!</v>
      </c>
      <c r="H42" s="2595"/>
      <c r="I42" s="2596" t="e">
        <f>V42</f>
        <v>#DIV/0!</v>
      </c>
      <c r="J42" s="2595"/>
      <c r="K42" s="1594"/>
      <c r="L42" s="2126"/>
      <c r="M42" s="2127"/>
      <c r="N42" s="2116"/>
      <c r="O42" s="2127"/>
      <c r="P42" s="3404" t="str">
        <f>A42</f>
        <v>比较价格（元/平方米）</v>
      </c>
      <c r="Q42" s="3404"/>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42"/>
      <c r="Y42" s="1542"/>
      <c r="Z42" s="1542"/>
      <c r="AA42" s="1542"/>
      <c r="AB42" s="1542"/>
      <c r="AC42" s="1542"/>
    </row>
    <row r="43" spans="1:29" ht="15.75" thickBot="1">
      <c r="A43" s="620" t="s">
        <v>2925</v>
      </c>
      <c r="B43" s="621"/>
      <c r="C43" s="2597" t="e">
        <f>R43</f>
        <v>#DIV/0!</v>
      </c>
      <c r="D43" s="2597"/>
      <c r="E43" s="2597"/>
      <c r="F43" s="2597"/>
      <c r="G43" s="2597"/>
      <c r="H43" s="2597"/>
      <c r="I43" s="2597"/>
      <c r="J43" s="2597"/>
      <c r="K43" s="1595"/>
      <c r="L43" s="2126"/>
      <c r="M43" s="2127"/>
      <c r="N43" s="2127"/>
      <c r="O43" s="2127"/>
      <c r="P43" s="3425" t="str">
        <f>A43</f>
        <v>估价对象XX用房的比较价格（楼面单价，元/平方米）</v>
      </c>
      <c r="Q43" s="3426"/>
      <c r="R43" s="3507" t="e">
        <f>IF(F1="售价",ROUND(AVERAGE(R42:V42),0),ROUND(AVERAGE(R42:V42),1))</f>
        <v>#DIV/0!</v>
      </c>
      <c r="S43" s="3507"/>
      <c r="T43" s="3507"/>
      <c r="U43" s="3507"/>
      <c r="V43" s="3507"/>
      <c r="W43" s="3507"/>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5">
      <c r="A52" s="644" t="s">
        <v>529</v>
      </c>
      <c r="B52" s="645"/>
      <c r="C52" s="2638" t="str">
        <f>YEAR(C7)&amp;"-"&amp;MONTH(C7)</f>
        <v>2020-8</v>
      </c>
      <c r="D52" s="2640">
        <f>EDATE(C52,-1)</f>
        <v>44013</v>
      </c>
      <c r="E52" s="2640">
        <f t="shared" ref="E52:O52" si="16">EDATE(D52,-1)</f>
        <v>43983</v>
      </c>
      <c r="F52" s="2640">
        <f t="shared" si="16"/>
        <v>43952</v>
      </c>
      <c r="G52" s="2640">
        <f t="shared" si="16"/>
        <v>43922</v>
      </c>
      <c r="H52" s="2640">
        <f t="shared" si="16"/>
        <v>43891</v>
      </c>
      <c r="I52" s="2640">
        <f t="shared" si="16"/>
        <v>43862</v>
      </c>
      <c r="J52" s="2640">
        <f t="shared" si="16"/>
        <v>43831</v>
      </c>
      <c r="K52" s="2640">
        <f t="shared" si="16"/>
        <v>43800</v>
      </c>
      <c r="L52" s="2640">
        <f t="shared" si="16"/>
        <v>43770</v>
      </c>
      <c r="M52" s="2640">
        <f t="shared" si="16"/>
        <v>43739</v>
      </c>
      <c r="N52" s="2640">
        <f t="shared" si="16"/>
        <v>43709</v>
      </c>
      <c r="O52" s="2640">
        <f t="shared" si="16"/>
        <v>43678</v>
      </c>
      <c r="P52" s="2142"/>
      <c r="Q52" s="2143"/>
      <c r="R52" s="2143"/>
      <c r="S52" s="2143"/>
      <c r="T52" s="2143"/>
      <c r="U52" s="2143"/>
      <c r="V52" s="2143"/>
      <c r="W52" s="2143"/>
      <c r="X52" s="2143"/>
      <c r="Y52" s="2143"/>
      <c r="Z52" s="2143"/>
      <c r="AA52" s="2143"/>
      <c r="AB52" s="2143"/>
      <c r="AC52" s="2143"/>
    </row>
    <row r="53" spans="1:29" s="1214" customFormat="1" ht="15">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4" customFormat="1" ht="15.7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4" customFormat="1" ht="15">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4" customFormat="1" ht="15.75"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3" customFormat="1" ht="15.75"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3" customFormat="1" ht="15.75"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3" customFormat="1" ht="15.75"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3" customFormat="1" ht="15.75"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3" customFormat="1" ht="15.75"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3" customFormat="1" ht="15.75"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7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75" thickTop="1">
      <c r="A74" s="668"/>
      <c r="B74" s="1878" t="s">
        <v>2548</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2558" t="s">
        <v>2549</v>
      </c>
      <c r="C76" s="2559" t="s">
        <v>2550</v>
      </c>
      <c r="D76" s="2559" t="s">
        <v>2551</v>
      </c>
      <c r="E76" s="2559" t="s">
        <v>2552</v>
      </c>
      <c r="F76" s="2559" t="s">
        <v>2553</v>
      </c>
      <c r="G76" s="2559" t="s">
        <v>2554</v>
      </c>
      <c r="H76" s="934"/>
      <c r="I76" s="934"/>
      <c r="J76" s="934"/>
      <c r="K76" s="934"/>
      <c r="L76" s="934"/>
      <c r="M76" s="558"/>
      <c r="N76" s="2148"/>
      <c r="O76" s="2148"/>
      <c r="P76" s="2147"/>
      <c r="Q76" s="2140"/>
      <c r="R76" s="2127"/>
      <c r="S76" s="2127"/>
      <c r="T76" s="2127"/>
      <c r="U76" s="2127"/>
      <c r="V76" s="2127"/>
      <c r="W76" s="2127"/>
      <c r="X76" s="2127"/>
      <c r="Y76" s="2127"/>
      <c r="Z76" s="2127"/>
      <c r="AA76" s="2127"/>
      <c r="AB76" s="2127"/>
      <c r="AC76" s="2127"/>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4" customFormat="1" ht="15.75" thickTop="1">
      <c r="A80" s="708"/>
      <c r="B80" s="672">
        <f>B25</f>
        <v>111</v>
      </c>
      <c r="C80" s="687"/>
      <c r="D80" s="687"/>
      <c r="E80" s="687"/>
      <c r="F80" s="687"/>
      <c r="G80" s="687"/>
      <c r="H80" s="687"/>
      <c r="I80" s="687"/>
      <c r="J80" s="687"/>
      <c r="K80" s="687"/>
      <c r="L80" s="889"/>
      <c r="M80" s="890"/>
      <c r="N80" s="2144"/>
      <c r="O80" s="2144"/>
      <c r="P80" s="2147"/>
      <c r="Q80" s="2140"/>
      <c r="R80" s="1975"/>
      <c r="S80" s="1975"/>
      <c r="T80" s="1975"/>
      <c r="U80" s="1975"/>
      <c r="V80" s="1975"/>
      <c r="W80" s="1975"/>
      <c r="X80" s="1975"/>
      <c r="Y80" s="1975"/>
      <c r="Z80" s="1975"/>
      <c r="AA80" s="1975"/>
      <c r="AB80" s="1975"/>
      <c r="AC80" s="1975"/>
    </row>
    <row r="81" spans="1:29" s="1214" customFormat="1" ht="15.75"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4" customFormat="1" ht="15.75" thickTop="1">
      <c r="A82" s="708"/>
      <c r="B82" s="672">
        <f>B26</f>
        <v>111</v>
      </c>
      <c r="C82" s="687"/>
      <c r="D82" s="687"/>
      <c r="E82" s="687"/>
      <c r="F82" s="687"/>
      <c r="G82" s="687"/>
      <c r="H82" s="687"/>
      <c r="I82" s="687"/>
      <c r="J82" s="687"/>
      <c r="K82" s="687"/>
      <c r="L82" s="889"/>
      <c r="M82" s="890"/>
      <c r="N82" s="2144"/>
      <c r="O82" s="2144"/>
      <c r="P82" s="2147"/>
      <c r="Q82" s="2140"/>
      <c r="R82" s="1975"/>
      <c r="S82" s="1975"/>
      <c r="T82" s="1975"/>
      <c r="U82" s="1975"/>
      <c r="V82" s="1975"/>
      <c r="W82" s="1975"/>
      <c r="X82" s="1975"/>
      <c r="Y82" s="1975"/>
      <c r="Z82" s="1975"/>
      <c r="AA82" s="1975"/>
      <c r="AB82" s="1975"/>
      <c r="AC82" s="1975"/>
    </row>
    <row r="83" spans="1:29" s="1214" customFormat="1" ht="15.75"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3" customFormat="1" ht="15.75" thickTop="1">
      <c r="A84" s="686"/>
      <c r="B84" s="672">
        <f>B27</f>
        <v>111</v>
      </c>
      <c r="C84" s="687"/>
      <c r="D84" s="687"/>
      <c r="E84" s="687"/>
      <c r="F84" s="687"/>
      <c r="G84" s="687"/>
      <c r="H84" s="687"/>
      <c r="I84" s="687"/>
      <c r="J84" s="687"/>
      <c r="K84" s="687"/>
      <c r="L84" s="889"/>
      <c r="M84" s="890"/>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5.75"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5.75" thickBot="1">
      <c r="A87" s="892"/>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3">
        <v>0.5</v>
      </c>
      <c r="D98" s="893">
        <v>0.6</v>
      </c>
      <c r="E98" s="893">
        <v>0.7</v>
      </c>
      <c r="F98" s="893">
        <v>0.8</v>
      </c>
      <c r="G98" s="893">
        <v>0.9</v>
      </c>
      <c r="H98" s="893">
        <v>1.0001</v>
      </c>
      <c r="I98" s="904"/>
      <c r="J98" s="904"/>
      <c r="K98" s="905"/>
      <c r="L98" s="906"/>
      <c r="M98" s="907"/>
      <c r="N98" s="2146"/>
      <c r="O98" s="2146"/>
      <c r="P98" s="2147"/>
      <c r="Q98" s="2140"/>
      <c r="R98" s="2127"/>
      <c r="S98" s="2127"/>
      <c r="T98" s="2127"/>
      <c r="U98" s="2127"/>
      <c r="V98" s="2127"/>
      <c r="W98" s="2127"/>
      <c r="X98" s="2127"/>
      <c r="Y98" s="2127"/>
      <c r="Z98" s="2127"/>
      <c r="AA98" s="2127"/>
      <c r="AB98" s="2127"/>
      <c r="AC98" s="2127"/>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2547</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5"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3" customFormat="1" ht="15.75"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5"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892"/>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I20 E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1898</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1899</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177193.01平方米。根据《建设工程规划许可证》[]、《出让合同》[]，估价对象规划建筑面积为472085.52平方米。</v>
      </c>
    </row>
    <row r="7" spans="1:4" ht="93.75">
      <c r="A7" s="2709" t="s">
        <v>2738</v>
      </c>
    </row>
    <row r="8" spans="1:4" ht="18.75">
      <c r="A8" s="1776" t="s">
        <v>1900</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2018</v>
      </c>
    </row>
    <row r="11" spans="1:4" ht="18.75">
      <c r="A11" s="1762" t="str">
        <f>TEXT(项目基本情况!D3,"yyyy年m月d日;;")&amp;IF(项目基本情况!B3=项目基本情况!D3,"（评估专业人员勘察现场之日）","")</f>
        <v>2020年8月7日（评估专业人员勘察现场之日）</v>
      </c>
    </row>
    <row r="12" spans="1:4" ht="18.75">
      <c r="A12" s="1779" t="s">
        <v>2017</v>
      </c>
    </row>
    <row r="13" spans="1:4" ht="18.75">
      <c r="A13" s="1773" t="s">
        <v>2063</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2064</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2065</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根据《国有土地使用证》[]，估价对象（分摊）出让国有建设用地使用权面积为177193.01平方米。根据《建设工程规划许可证》[]、《出让合同》[]，估价对象规划建筑面积为472085.52平方米。</v>
      </c>
    </row>
    <row r="21" spans="1:1" ht="93.75">
      <c r="A21" s="27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2066</v>
      </c>
    </row>
    <row r="23" spans="1:1" ht="18.75">
      <c r="A23" s="2711" t="s">
        <v>2739</v>
      </c>
    </row>
    <row r="24" spans="1:1" ht="18.75">
      <c r="A24" s="1773" t="s">
        <v>2067</v>
      </c>
    </row>
    <row r="25" spans="1:1" ht="75">
      <c r="A25" s="1773" t="str">
        <f>定义!C53</f>
        <v>本次估价的“出让国有建设用地使用权价格”是指在估价对象土地所有权为国家所有，使用权性质为出让，在公开市场条件下、于估价期日2020年8月7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2019</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2020</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76"/>
  <sheetViews>
    <sheetView zoomScale="80" zoomScaleNormal="80" workbookViewId="0">
      <selection activeCell="D1" sqref="D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1719</v>
      </c>
      <c r="B1" s="737"/>
      <c r="C1" s="772" t="s">
        <v>2996</v>
      </c>
      <c r="D1" s="3527" t="s">
        <v>949</v>
      </c>
      <c r="E1" s="2348" t="s">
        <v>867</v>
      </c>
      <c r="F1" s="2349">
        <f ca="1">J53</f>
        <v>31.66</v>
      </c>
      <c r="G1" s="773">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467</v>
      </c>
      <c r="B2" s="774">
        <f ca="1">C40+J29+L46</f>
        <v>17896</v>
      </c>
      <c r="C2" s="2039"/>
      <c r="D2" s="2037"/>
      <c r="E2" s="2038"/>
      <c r="F2" s="2038"/>
      <c r="G2" s="1573"/>
      <c r="H2" s="2039"/>
      <c r="I2" s="2039"/>
      <c r="J2" s="2039"/>
      <c r="K2" s="2040"/>
      <c r="L2" s="2039"/>
      <c r="M2" s="2039"/>
    </row>
    <row r="3" spans="1:33" ht="18" customHeight="1" thickBot="1">
      <c r="A3" s="832" t="s">
        <v>519</v>
      </c>
      <c r="B3" s="833">
        <f ca="1">IF(ISERROR(B2*10000/F43),0,ROUND(B2*10000/F43,0))</f>
        <v>15365</v>
      </c>
      <c r="C3" s="2039"/>
      <c r="D3" s="2037"/>
      <c r="E3" s="2038"/>
      <c r="F3" s="2038"/>
      <c r="G3" s="1573"/>
      <c r="H3" s="775" t="s">
        <v>695</v>
      </c>
      <c r="I3" s="1357"/>
      <c r="J3" s="1357"/>
      <c r="K3" s="1574"/>
      <c r="L3" s="1357"/>
      <c r="M3" s="1357"/>
    </row>
    <row r="4" spans="1:33" ht="18" customHeight="1">
      <c r="A4" s="776" t="s">
        <v>698</v>
      </c>
      <c r="B4" s="777" t="s">
        <v>631</v>
      </c>
      <c r="C4" s="777" t="s">
        <v>632</v>
      </c>
      <c r="D4" s="777" t="s">
        <v>633</v>
      </c>
      <c r="E4" s="778" t="s">
        <v>1725</v>
      </c>
      <c r="F4" s="779"/>
      <c r="G4" s="1575"/>
      <c r="H4" s="776" t="s">
        <v>698</v>
      </c>
      <c r="I4" s="777" t="s">
        <v>631</v>
      </c>
      <c r="J4" s="777" t="s">
        <v>632</v>
      </c>
      <c r="K4" s="777" t="s">
        <v>633</v>
      </c>
      <c r="L4" s="778" t="s">
        <v>1725</v>
      </c>
      <c r="M4" s="779"/>
    </row>
    <row r="5" spans="1:33" ht="18" customHeight="1">
      <c r="A5" s="780">
        <v>1</v>
      </c>
      <c r="B5" s="781" t="s">
        <v>2449</v>
      </c>
      <c r="C5" s="55">
        <f ca="1">C6+C10+C12</f>
        <v>1149</v>
      </c>
      <c r="D5" s="2457" t="s">
        <v>2452</v>
      </c>
      <c r="E5" s="2451"/>
      <c r="F5" s="2452"/>
      <c r="G5" s="1575"/>
      <c r="H5" s="780">
        <v>1</v>
      </c>
      <c r="I5" s="781" t="s">
        <v>2449</v>
      </c>
      <c r="J5" s="55">
        <f ca="1">J6+J10+J12</f>
        <v>0</v>
      </c>
      <c r="K5" s="2457" t="s">
        <v>2452</v>
      </c>
      <c r="L5" s="2451"/>
      <c r="M5" s="2452"/>
    </row>
    <row r="6" spans="1:33" ht="18" customHeight="1">
      <c r="A6" s="1812" t="s">
        <v>1818</v>
      </c>
      <c r="B6" s="3478" t="s">
        <v>2454</v>
      </c>
      <c r="C6" s="782">
        <f ca="1">ROUND(F6*F8*F7*(1-F9)/10000,0)</f>
        <v>1148</v>
      </c>
      <c r="D6" s="2458" t="s">
        <v>2453</v>
      </c>
      <c r="E6" s="783" t="s">
        <v>637</v>
      </c>
      <c r="F6" s="784">
        <f ca="1">INDIRECT("'数据-取费表'!u"&amp;$G$1)</f>
        <v>3</v>
      </c>
      <c r="G6" s="1575"/>
      <c r="H6" s="2465" t="s">
        <v>1818</v>
      </c>
      <c r="I6" s="3478" t="s">
        <v>2454</v>
      </c>
      <c r="J6" s="782">
        <f ca="1">ROUND(M6*M8*M7*(1-M9)/10000,0)</f>
        <v>0</v>
      </c>
      <c r="K6" s="340" t="s">
        <v>1731</v>
      </c>
      <c r="L6" s="783" t="s">
        <v>637</v>
      </c>
      <c r="M6" s="784">
        <f ca="1">INDIRECT("'数据-取费表'!z"&amp;$G$1)</f>
        <v>0</v>
      </c>
    </row>
    <row r="7" spans="1:33" ht="18" customHeight="1">
      <c r="A7" s="2461"/>
      <c r="B7" s="3479"/>
      <c r="C7" s="787"/>
      <c r="D7" s="788"/>
      <c r="E7" s="783" t="s">
        <v>638</v>
      </c>
      <c r="F7" s="784">
        <f ca="1">IF(INDIRECT("'数据-取费表'!ah"&amp;$G$1)="",INDIRECT("'数据-取费表'!k"&amp;$G$1),INDIRECT("'数据-取费表'!ah"&amp;$G$1))</f>
        <v>11647.55</v>
      </c>
      <c r="G7" s="1575"/>
      <c r="H7" s="2450"/>
      <c r="I7" s="3479"/>
      <c r="J7" s="787"/>
      <c r="K7" s="788"/>
      <c r="L7" s="783" t="s">
        <v>638</v>
      </c>
      <c r="M7" s="784">
        <f ca="1">F7</f>
        <v>11647.55</v>
      </c>
    </row>
    <row r="8" spans="1:33" ht="18" customHeight="1">
      <c r="A8" s="2454"/>
      <c r="B8" s="3480"/>
      <c r="C8" s="787"/>
      <c r="D8" s="788"/>
      <c r="E8" s="783" t="s">
        <v>639</v>
      </c>
      <c r="F8" s="784">
        <f ca="1">INDIRECT("'数据-取费表'!ai"&amp;$G$1)</f>
        <v>365</v>
      </c>
      <c r="G8" s="1575"/>
      <c r="H8" s="2450"/>
      <c r="I8" s="3480"/>
      <c r="J8" s="787"/>
      <c r="K8" s="788"/>
      <c r="L8" s="783" t="s">
        <v>639</v>
      </c>
      <c r="M8" s="784">
        <f ca="1">INDIRECT("'数据-取费表'!ai"&amp;$G$1)</f>
        <v>365</v>
      </c>
    </row>
    <row r="9" spans="1:33" ht="18" customHeight="1">
      <c r="A9" s="785"/>
      <c r="B9" s="3481"/>
      <c r="C9" s="787"/>
      <c r="D9" s="788"/>
      <c r="E9" s="783" t="s">
        <v>1735</v>
      </c>
      <c r="F9" s="793">
        <f ca="1">INDIRECT("'数据-取费表'!w"&amp;$G$1)</f>
        <v>0.1</v>
      </c>
      <c r="G9" s="1575"/>
      <c r="H9" s="2466"/>
      <c r="I9" s="3480"/>
      <c r="J9" s="787"/>
      <c r="K9" s="788"/>
      <c r="L9" s="794" t="s">
        <v>1735</v>
      </c>
      <c r="M9" s="795">
        <f ca="1">INDIRECT("'数据-取费表'!ab"&amp;$G$1)</f>
        <v>0</v>
      </c>
    </row>
    <row r="10" spans="1:33" ht="18" customHeight="1">
      <c r="A10" s="1812" t="s">
        <v>1819</v>
      </c>
      <c r="B10" s="2455" t="s">
        <v>2450</v>
      </c>
      <c r="C10" s="798">
        <f ca="1">ROUND(IF(F10="押一",C6/12*F11,IF(F10="押二",C6/12*2*F11,IF(F10="押三",C6/12*3*F11,C11*F11))),0)</f>
        <v>1</v>
      </c>
      <c r="D10" s="2462" t="s">
        <v>2963</v>
      </c>
      <c r="E10" s="2459" t="s">
        <v>2455</v>
      </c>
      <c r="F10" s="2582" t="s">
        <v>3300</v>
      </c>
      <c r="G10" s="1575"/>
      <c r="H10" s="2522" t="s">
        <v>1819</v>
      </c>
      <c r="I10" s="2527" t="s">
        <v>2450</v>
      </c>
      <c r="J10" s="782">
        <f ca="1">ROUND(IF(M10="押一",J6/12*M11,IF(M10="押二",J6/12*2*M11,IF(M10="押三",J6/12*3*M11,J11*M11))),0)</f>
        <v>0</v>
      </c>
      <c r="K10" s="2462" t="s">
        <v>2963</v>
      </c>
      <c r="L10" s="2459" t="s">
        <v>2455</v>
      </c>
      <c r="M10" s="2582"/>
    </row>
    <row r="11" spans="1:33" ht="18" customHeight="1">
      <c r="A11" s="789"/>
      <c r="B11" s="2456" t="s">
        <v>2564</v>
      </c>
      <c r="C11" s="2460"/>
      <c r="D11" s="788"/>
      <c r="E11" s="2459" t="s">
        <v>2447</v>
      </c>
      <c r="F11" s="795">
        <f ca="1">'数据-取费表'!B39</f>
        <v>1.4999999999999999E-2</v>
      </c>
      <c r="G11" s="1575"/>
      <c r="H11" s="2523"/>
      <c r="I11" s="2456" t="s">
        <v>2564</v>
      </c>
      <c r="J11" s="2460"/>
      <c r="K11" s="2524"/>
      <c r="L11" s="2459" t="s">
        <v>2447</v>
      </c>
      <c r="M11" s="2453">
        <f ca="1">'数据-取费表'!B39</f>
        <v>1.4999999999999999E-2</v>
      </c>
    </row>
    <row r="12" spans="1:33" ht="18" customHeight="1" thickBot="1">
      <c r="A12" s="2498" t="s">
        <v>2458</v>
      </c>
      <c r="B12" s="2499" t="s">
        <v>2451</v>
      </c>
      <c r="C12" s="2500"/>
      <c r="D12" s="2501"/>
      <c r="E12" s="2502"/>
      <c r="F12" s="2503"/>
      <c r="G12" s="1575"/>
      <c r="H12" s="2512" t="s">
        <v>2458</v>
      </c>
      <c r="I12" s="2525" t="s">
        <v>2451</v>
      </c>
      <c r="J12" s="2526"/>
      <c r="K12" s="2501"/>
      <c r="L12" s="2502"/>
      <c r="M12" s="2515"/>
    </row>
    <row r="13" spans="1:33" ht="18" customHeight="1" thickTop="1">
      <c r="A13" s="1811">
        <v>2</v>
      </c>
      <c r="B13" s="1809" t="s">
        <v>644</v>
      </c>
      <c r="C13" s="791">
        <f ca="1">ROUND(C29*F13,0)</f>
        <v>5764</v>
      </c>
      <c r="D13" s="1816" t="s">
        <v>2288</v>
      </c>
      <c r="E13" s="1816" t="s">
        <v>643</v>
      </c>
      <c r="F13" s="2497">
        <f ca="1">INDIRECT("'数据-取费表'!y"&amp;$G$1)</f>
        <v>1</v>
      </c>
      <c r="G13" s="1575"/>
      <c r="H13" s="1811">
        <v>2</v>
      </c>
      <c r="I13" s="1809" t="s">
        <v>644</v>
      </c>
      <c r="J13" s="1801">
        <f ca="1">ROUND(J14*J15,0)</f>
        <v>0</v>
      </c>
      <c r="K13" s="1803" t="s">
        <v>1737</v>
      </c>
      <c r="L13" s="2513"/>
      <c r="M13" s="2514"/>
    </row>
    <row r="14" spans="1:33" ht="18" customHeight="1">
      <c r="A14" s="1630" t="s">
        <v>1825</v>
      </c>
      <c r="B14" s="783" t="s">
        <v>645</v>
      </c>
      <c r="C14" s="803">
        <f ca="1">INDIRECT("'数据-取费表'!m"&amp;$G$1)+INDIRECT("'数据-取费表'!t"&amp;$G$1)</f>
        <v>3700</v>
      </c>
      <c r="D14" s="3175" t="s">
        <v>646</v>
      </c>
      <c r="E14" s="3176"/>
      <c r="F14" s="804"/>
      <c r="G14" s="1575"/>
      <c r="H14" s="1631" t="s">
        <v>1818</v>
      </c>
      <c r="I14" s="2213" t="s">
        <v>2815</v>
      </c>
      <c r="J14" s="53">
        <f ca="1">C29</f>
        <v>5764</v>
      </c>
      <c r="K14" s="26"/>
      <c r="L14" s="800"/>
      <c r="M14" s="801"/>
    </row>
    <row r="15" spans="1:33" s="2046" customFormat="1" ht="18" customHeight="1" thickBot="1">
      <c r="A15" s="1630" t="s">
        <v>1826</v>
      </c>
      <c r="B15" s="783" t="s">
        <v>647</v>
      </c>
      <c r="C15" s="53">
        <f ca="1">ROUND(C14*F15,0)</f>
        <v>111</v>
      </c>
      <c r="D15" s="805" t="s">
        <v>648</v>
      </c>
      <c r="E15" s="805" t="s">
        <v>649</v>
      </c>
      <c r="F15" s="806">
        <f>'数据-取费表'!B33</f>
        <v>0.03</v>
      </c>
      <c r="G15" s="1576"/>
      <c r="H15" s="2512" t="s">
        <v>1883</v>
      </c>
      <c r="I15" s="2507" t="s">
        <v>643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1827</v>
      </c>
      <c r="B16" s="783" t="s">
        <v>650</v>
      </c>
      <c r="C16" s="53">
        <f ca="1">ROUND(INDIRECT("'数据-取费表'!m"&amp;$G$1)*F16,0)</f>
        <v>0</v>
      </c>
      <c r="D16" s="783" t="s">
        <v>648</v>
      </c>
      <c r="E16" s="783" t="s">
        <v>649</v>
      </c>
      <c r="F16" s="808">
        <f ca="1">IF(INDIRECT("'数据-取费表'!c"&amp;$G$1)="住宅",'数据-取费表'!B34,0)</f>
        <v>0</v>
      </c>
      <c r="G16" s="1575"/>
      <c r="H16" s="1811" t="s">
        <v>7</v>
      </c>
      <c r="I16" s="1809" t="s">
        <v>651</v>
      </c>
      <c r="J16" s="791">
        <f ca="1">ROUND(J17+J22+J23+J24,0)</f>
        <v>574</v>
      </c>
      <c r="K16" s="1803" t="s">
        <v>652</v>
      </c>
      <c r="L16" s="3177"/>
      <c r="M16" s="2452"/>
    </row>
    <row r="17" spans="1:33" s="2046" customFormat="1" ht="18" customHeight="1">
      <c r="A17" s="1630" t="s">
        <v>1881</v>
      </c>
      <c r="B17" s="783" t="s">
        <v>653</v>
      </c>
      <c r="C17" s="53">
        <f ca="1">ROUND(F17*(F43+INDIRECT("'数据-取费表'!S"&amp;$G$1))/10000,0)</f>
        <v>225</v>
      </c>
      <c r="D17" s="783" t="s">
        <v>654</v>
      </c>
      <c r="E17" s="783" t="s">
        <v>655</v>
      </c>
      <c r="F17" s="56">
        <f>'数据-取费表'!B35</f>
        <v>180</v>
      </c>
      <c r="G17" s="1576"/>
      <c r="H17" s="1631" t="s">
        <v>1818</v>
      </c>
      <c r="I17" s="783" t="s">
        <v>656</v>
      </c>
      <c r="J17" s="53">
        <f ca="1">ROUND(IF(项目基本情况!B11="自然人",J6*M17/(1+'数据-取费表'!C42),J18+J19+J20),0)</f>
        <v>488</v>
      </c>
      <c r="K17" s="3175" t="s">
        <v>657</v>
      </c>
      <c r="L17" s="3174" t="s">
        <v>658</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659</v>
      </c>
      <c r="C18" s="53">
        <f ca="1">ROUND(C14*F18,0)</f>
        <v>56</v>
      </c>
      <c r="D18" s="783" t="s">
        <v>648</v>
      </c>
      <c r="E18" s="783" t="s">
        <v>649</v>
      </c>
      <c r="F18" s="808">
        <f>'数据-取费表'!B36</f>
        <v>1.4999999999999999E-2</v>
      </c>
      <c r="G18" s="1576"/>
      <c r="H18" s="1630" t="s">
        <v>1825</v>
      </c>
      <c r="I18" s="783" t="s">
        <v>660</v>
      </c>
      <c r="J18" s="53">
        <f ca="1">ROUND(J6*M18/(1+'数据-取费表'!C42),1)</f>
        <v>0</v>
      </c>
      <c r="K18" s="3174" t="s">
        <v>661</v>
      </c>
      <c r="L18" s="783" t="s">
        <v>649</v>
      </c>
      <c r="M18" s="808">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1818</v>
      </c>
      <c r="B19" s="783" t="s">
        <v>662</v>
      </c>
      <c r="C19" s="53">
        <f ca="1">SUM(C14:C18)</f>
        <v>4092</v>
      </c>
      <c r="D19" s="260" t="s">
        <v>663</v>
      </c>
      <c r="E19" s="3180"/>
      <c r="F19" s="56"/>
      <c r="G19" s="1575"/>
      <c r="H19" s="1630" t="s">
        <v>1826</v>
      </c>
      <c r="I19" s="783" t="s">
        <v>664</v>
      </c>
      <c r="J19" s="53">
        <f ca="1">IF(K19="按租金收入计税",ROUND(J6*M19/(1+'数据-取费表'!C42),1),ROUND(C29*F33*0.7,1))</f>
        <v>484.2</v>
      </c>
      <c r="K19" s="810" t="s">
        <v>665</v>
      </c>
      <c r="L19" s="783" t="s">
        <v>649</v>
      </c>
      <c r="M19" s="808">
        <f>IF(K19="按租金收入计税",'数据-取费表'!B51,'数据-取费表'!B50)</f>
        <v>1.2E-2</v>
      </c>
    </row>
    <row r="20" spans="1:33" s="2046" customFormat="1" ht="18" customHeight="1">
      <c r="A20" s="1631" t="s">
        <v>1883</v>
      </c>
      <c r="B20" s="783" t="s">
        <v>666</v>
      </c>
      <c r="C20" s="53">
        <f ca="1">ROUND(C19*F20,0)</f>
        <v>82</v>
      </c>
      <c r="D20" s="811" t="s">
        <v>667</v>
      </c>
      <c r="E20" s="783" t="s">
        <v>649</v>
      </c>
      <c r="F20" s="808">
        <f>'数据-取费表'!B37</f>
        <v>0.02</v>
      </c>
      <c r="G20" s="1576"/>
      <c r="H20" s="1633" t="s">
        <v>1827</v>
      </c>
      <c r="I20" s="340" t="s">
        <v>668</v>
      </c>
      <c r="J20" s="54">
        <f ca="1">ROUND(M20*M21/10000,0)</f>
        <v>4</v>
      </c>
      <c r="K20" s="813" t="s">
        <v>669</v>
      </c>
      <c r="L20" s="783" t="s">
        <v>670</v>
      </c>
      <c r="M20" s="639">
        <f>'数据-取费表'!B52</f>
        <v>8</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671</v>
      </c>
      <c r="C21" s="53" t="s">
        <v>1</v>
      </c>
      <c r="D21" s="811" t="s">
        <v>2289</v>
      </c>
      <c r="E21" s="783" t="s">
        <v>673</v>
      </c>
      <c r="F21" s="808">
        <f>'数据-取费表'!B38</f>
        <v>0.02</v>
      </c>
      <c r="G21" s="1576"/>
      <c r="H21" s="2467"/>
      <c r="I21" s="792"/>
      <c r="J21" s="69"/>
      <c r="K21" s="815"/>
      <c r="L21" s="783" t="s">
        <v>674</v>
      </c>
      <c r="M21" s="784">
        <f ca="1">INDIRECT("'数据-取费表'!r"&amp;$G$1)</f>
        <v>4681.7800000000007</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675</v>
      </c>
      <c r="C22" s="53"/>
      <c r="D22" s="2533" t="str">
        <f>IF(F23&lt;=1,"单利计息。","复利计息。")&amp;"建造成本、管理费用、销售费用产生的利息。"</f>
        <v>复利计息。建造成本、管理费用、销售费用产生的利息。</v>
      </c>
      <c r="E22" s="3180"/>
      <c r="F22" s="56"/>
      <c r="G22" s="1575"/>
      <c r="H22" s="1631" t="s">
        <v>1883</v>
      </c>
      <c r="I22" s="783" t="s">
        <v>676</v>
      </c>
      <c r="J22" s="53">
        <f ca="1">ROUND(J14*M22,0)</f>
        <v>86</v>
      </c>
      <c r="K22" s="3174" t="s">
        <v>677</v>
      </c>
      <c r="L22" s="783" t="s">
        <v>649</v>
      </c>
      <c r="M22" s="816">
        <f ca="1">INDIRECT("'数据-取费表'!Ak"&amp;$G$1)</f>
        <v>1.4999999999999999E-2</v>
      </c>
    </row>
    <row r="23" spans="1:33" s="2046" customFormat="1" ht="18" customHeight="1">
      <c r="A23" s="1630" t="s">
        <v>1825</v>
      </c>
      <c r="B23" s="783" t="s">
        <v>2428</v>
      </c>
      <c r="C23" s="53">
        <f ca="1">ROUND(IF('数据-取费表'!B22&lt;=1,(C19+C20)*F24*F23/2,(C19+C20)*(POWER((1+F24),F23/2)-1)),0)</f>
        <v>301</v>
      </c>
      <c r="D23" s="2532" t="str">
        <f>IF(F23&lt;=1,"(建造成本+管理费用)×利率×(建设周期÷2)","(建造成本+管理费用)×((1+利率)^(建设周期÷2)-1)")</f>
        <v>(建造成本+管理费用)×((1+利率)^(建设周期÷2)-1)</v>
      </c>
      <c r="E23" s="783" t="s">
        <v>678</v>
      </c>
      <c r="F23" s="639">
        <f>'数据-取费表'!B20</f>
        <v>3</v>
      </c>
      <c r="G23" s="1576"/>
      <c r="H23" s="1631" t="s">
        <v>1884</v>
      </c>
      <c r="I23" s="783" t="s">
        <v>679</v>
      </c>
      <c r="J23" s="53">
        <f ca="1">ROUND(J13*M23,0)</f>
        <v>0</v>
      </c>
      <c r="K23" s="3174" t="s">
        <v>680</v>
      </c>
      <c r="L23" s="783" t="s">
        <v>649</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681</v>
      </c>
      <c r="C24" s="53">
        <f ca="1">ROUND(IF('数据-取费表'!B22&lt;=1,F21*F24*F23/2,F21*(POWER((1+F24),F23/2)-1)),4)</f>
        <v>1.4E-3</v>
      </c>
      <c r="D24" s="2532" t="str">
        <f>IF(F23&lt;=1,"销售费用×利率×(建设周期÷2)","销售费用×((1+利率)^(建设周期÷2)-1)")</f>
        <v>销售费用×((1+利率)^(建设周期÷2)-1)</v>
      </c>
      <c r="E24" s="783" t="s">
        <v>682</v>
      </c>
      <c r="F24" s="818">
        <f ca="1">'数据-取费表'!B40</f>
        <v>4.7500000000000001E-2</v>
      </c>
      <c r="G24" s="1576"/>
      <c r="H24" s="2512" t="s">
        <v>1885</v>
      </c>
      <c r="I24" s="2507" t="s">
        <v>666</v>
      </c>
      <c r="J24" s="2505">
        <f ca="1">ROUND(J5*M24,0)</f>
        <v>0</v>
      </c>
      <c r="K24" s="2506" t="s">
        <v>683</v>
      </c>
      <c r="L24" s="2507" t="s">
        <v>649</v>
      </c>
      <c r="M24" s="2503">
        <f ca="1">INDIRECT("'数据-取费表'!Am"&amp;$G$1)</f>
        <v>1.4999999999999999E-2</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684</v>
      </c>
      <c r="C25" s="53"/>
      <c r="D25" s="260" t="s">
        <v>685</v>
      </c>
      <c r="E25" s="3180"/>
      <c r="F25" s="56"/>
      <c r="G25" s="1575"/>
      <c r="H25" s="1811" t="s">
        <v>1770</v>
      </c>
      <c r="I25" s="2842" t="s">
        <v>2812</v>
      </c>
      <c r="J25" s="791">
        <f ca="1">J5-J16</f>
        <v>-574</v>
      </c>
      <c r="K25" s="2509" t="s">
        <v>700</v>
      </c>
      <c r="L25" s="2510"/>
      <c r="M25" s="2511"/>
    </row>
    <row r="26" spans="1:33" ht="18" customHeight="1">
      <c r="A26" s="1630" t="s">
        <v>1825</v>
      </c>
      <c r="B26" s="783" t="s">
        <v>2429</v>
      </c>
      <c r="C26" s="53">
        <f ca="1">ROUND((C19+C20)*F26,0)</f>
        <v>835</v>
      </c>
      <c r="D26" s="811" t="s">
        <v>701</v>
      </c>
      <c r="E26" s="794" t="s">
        <v>702</v>
      </c>
      <c r="F26" s="793">
        <f ca="1">INDIRECT("'数据-取费表'!q"&amp;$G$1)</f>
        <v>0.2</v>
      </c>
      <c r="G26" s="1575"/>
      <c r="H26" s="2463" t="s">
        <v>1774</v>
      </c>
      <c r="I26" s="2214" t="s">
        <v>2817</v>
      </c>
      <c r="J26" s="782">
        <f ca="1">IF(J5&lt;&gt;0,ROUND(J25*(1-((1+M28)/(1+M26))^M27)/(M26-M28),0),0)</f>
        <v>0</v>
      </c>
      <c r="K26" s="813" t="s">
        <v>704</v>
      </c>
      <c r="L26" s="783" t="s">
        <v>2410</v>
      </c>
      <c r="M26" s="793">
        <f ca="1">INDIRECT("'数据-取费表'!I"&amp;$G$1)</f>
        <v>5.5E-2</v>
      </c>
    </row>
    <row r="27" spans="1:33" ht="18" customHeight="1">
      <c r="A27" s="1630" t="s">
        <v>1826</v>
      </c>
      <c r="B27" s="783" t="s">
        <v>686</v>
      </c>
      <c r="C27" s="53">
        <f ca="1">ROUND(F21*F26,4)</f>
        <v>4.0000000000000001E-3</v>
      </c>
      <c r="D27" s="811" t="s">
        <v>706</v>
      </c>
      <c r="E27" s="805"/>
      <c r="F27" s="806"/>
      <c r="G27" s="1575"/>
      <c r="H27" s="2464"/>
      <c r="I27" s="786"/>
      <c r="J27" s="787"/>
      <c r="K27" s="820" t="s">
        <v>707</v>
      </c>
      <c r="L27" s="783" t="s">
        <v>708</v>
      </c>
      <c r="M27" s="821">
        <f ca="1">INDIRECT("'数据-取费表'!ag"&amp;$G$1)</f>
        <v>0</v>
      </c>
    </row>
    <row r="28" spans="1:33" s="2046" customFormat="1" ht="18" customHeight="1">
      <c r="A28" s="1632" t="s">
        <v>1835</v>
      </c>
      <c r="B28" s="783" t="s">
        <v>687</v>
      </c>
      <c r="C28" s="53">
        <f>ROUND(F28/(1+'数据-取费表'!C42),4)</f>
        <v>5.33E-2</v>
      </c>
      <c r="D28" s="811" t="s">
        <v>2290</v>
      </c>
      <c r="E28" s="783" t="s">
        <v>649</v>
      </c>
      <c r="F28" s="808">
        <f>'数据-取费表'!B41</f>
        <v>5.6000000000000001E-2</v>
      </c>
      <c r="G28" s="1576"/>
      <c r="H28" s="1811"/>
      <c r="I28" s="790"/>
      <c r="J28" s="791"/>
      <c r="K28" s="815"/>
      <c r="L28" s="783" t="s">
        <v>710</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2291</v>
      </c>
      <c r="C29" s="2505">
        <f ca="1">ROUND((C19+C20+C23+C26)/(1-F21-C24-C27-C28),0)</f>
        <v>5764</v>
      </c>
      <c r="D29" s="2506"/>
      <c r="E29" s="2507"/>
      <c r="F29" s="2508"/>
      <c r="G29" s="1576"/>
      <c r="H29" s="822" t="s">
        <v>1781</v>
      </c>
      <c r="I29" s="823" t="s">
        <v>1782</v>
      </c>
      <c r="J29" s="824">
        <f ca="1">ROUND(J26/(1+F40)^F41,0)</f>
        <v>0</v>
      </c>
      <c r="K29" s="825" t="s">
        <v>688</v>
      </c>
      <c r="L29" s="826"/>
      <c r="M29" s="827">
        <f ca="1">INDIRECT("'数据-取费表'!k"&amp;$G$1)</f>
        <v>11647.55</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7</v>
      </c>
      <c r="B30" s="1809" t="s">
        <v>651</v>
      </c>
      <c r="C30" s="791">
        <f ca="1">ROUND(C31+C36+C37+C38,0)</f>
        <v>308</v>
      </c>
      <c r="D30" s="1803" t="s">
        <v>652</v>
      </c>
      <c r="E30" s="3177"/>
      <c r="F30" s="2452"/>
      <c r="G30" s="2044"/>
      <c r="H30" s="2047"/>
      <c r="I30" s="2048"/>
      <c r="J30" s="2049"/>
      <c r="K30" s="2050"/>
      <c r="L30" s="2051"/>
      <c r="M30" s="2052"/>
    </row>
    <row r="31" spans="1:33" ht="18" customHeight="1">
      <c r="A31" s="1631" t="s">
        <v>1818</v>
      </c>
      <c r="B31" s="783" t="s">
        <v>656</v>
      </c>
      <c r="C31" s="53">
        <f ca="1">ROUND(IF(项目基本情况!B11="自然人",C6*F31/(1+'数据-取费表'!C42),C32+C33+C34),1)</f>
        <v>196.1</v>
      </c>
      <c r="D31" s="3175" t="s">
        <v>657</v>
      </c>
      <c r="E31" s="3174" t="s">
        <v>690</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660</v>
      </c>
      <c r="C32" s="53">
        <f ca="1">ROUND(C6*F32/(1+'数据-取费表'!C42),1)</f>
        <v>61.2</v>
      </c>
      <c r="D32" s="3174" t="s">
        <v>661</v>
      </c>
      <c r="E32" s="783" t="s">
        <v>649</v>
      </c>
      <c r="F32" s="808">
        <f>'数据-取费表'!B41</f>
        <v>5.6000000000000001E-2</v>
      </c>
      <c r="G32" s="2044"/>
      <c r="H32" s="2053"/>
      <c r="I32" s="2054"/>
      <c r="J32" s="2055"/>
      <c r="K32" s="2056"/>
      <c r="L32" s="2057"/>
      <c r="M32" s="2058"/>
    </row>
    <row r="33" spans="1:18" ht="18" customHeight="1">
      <c r="A33" s="1630" t="s">
        <v>1826</v>
      </c>
      <c r="B33" s="783" t="s">
        <v>664</v>
      </c>
      <c r="C33" s="53">
        <f ca="1">IF(D33="按租金收入计税",ROUND(C6*F33/(1+'数据-取费表'!C42),1),IF(D33="按房产原值计税",ROUND(C29*F33*0.7,1),INDIRECT("'数据-取费表'!Aj"&amp;$G$1)))</f>
        <v>131.19999999999999</v>
      </c>
      <c r="D33" s="810" t="s">
        <v>3027</v>
      </c>
      <c r="E33" s="783" t="s">
        <v>649</v>
      </c>
      <c r="F33" s="808">
        <f>IF(D33="按租金收入计税",'数据-取费表'!B51,'数据-取费表'!B50)</f>
        <v>0.12</v>
      </c>
      <c r="G33" s="2044"/>
      <c r="H33" s="2059"/>
      <c r="I33" s="2059"/>
      <c r="J33" s="2059"/>
      <c r="K33" s="2060"/>
      <c r="L33" s="2059"/>
      <c r="M33" s="2059"/>
    </row>
    <row r="34" spans="1:18" ht="18" customHeight="1">
      <c r="A34" s="1633" t="s">
        <v>1827</v>
      </c>
      <c r="B34" s="340" t="s">
        <v>668</v>
      </c>
      <c r="C34" s="54">
        <f ca="1">ROUND(F34*F35/10000,1)</f>
        <v>3.7</v>
      </c>
      <c r="D34" s="813" t="s">
        <v>669</v>
      </c>
      <c r="E34" s="783" t="s">
        <v>670</v>
      </c>
      <c r="F34" s="639">
        <f>'数据-取费表'!B52</f>
        <v>8</v>
      </c>
      <c r="G34" s="2044"/>
      <c r="H34" s="2047"/>
      <c r="I34" s="834" t="s">
        <v>1807</v>
      </c>
      <c r="J34" s="835"/>
      <c r="K34" s="2062"/>
      <c r="L34" s="2061"/>
      <c r="M34" s="2061"/>
    </row>
    <row r="35" spans="1:18" ht="18" customHeight="1">
      <c r="A35" s="814"/>
      <c r="B35" s="792"/>
      <c r="C35" s="69"/>
      <c r="D35" s="815"/>
      <c r="E35" s="783" t="s">
        <v>674</v>
      </c>
      <c r="F35" s="784">
        <f ca="1">INDIRECT("'数据-取费表'!r"&amp;$G$1)</f>
        <v>4681.7800000000007</v>
      </c>
      <c r="G35" s="2044"/>
      <c r="H35" s="2047"/>
      <c r="I35" s="836" t="s">
        <v>1808</v>
      </c>
      <c r="J35" s="837">
        <f ca="1">ROUND(C13*J36,0)</f>
        <v>461</v>
      </c>
      <c r="K35" s="2060"/>
      <c r="L35" s="2059"/>
      <c r="M35" s="2059"/>
    </row>
    <row r="36" spans="1:18" ht="18" customHeight="1">
      <c r="A36" s="1631" t="s">
        <v>1883</v>
      </c>
      <c r="B36" s="783" t="s">
        <v>676</v>
      </c>
      <c r="C36" s="53">
        <f ca="1">ROUND(C29*F36,1)</f>
        <v>86.5</v>
      </c>
      <c r="D36" s="3174" t="s">
        <v>691</v>
      </c>
      <c r="E36" s="783" t="s">
        <v>649</v>
      </c>
      <c r="F36" s="816">
        <f ca="1">INDIRECT("'数据-取费表'!Ak"&amp;$G$1)</f>
        <v>1.4999999999999999E-2</v>
      </c>
      <c r="G36" s="2044"/>
      <c r="H36" s="2059"/>
      <c r="I36" s="838" t="s">
        <v>1809</v>
      </c>
      <c r="J36" s="839">
        <f ca="1">INDIRECT("'数据-取费表'!j"&amp;$G$1)</f>
        <v>0.08</v>
      </c>
      <c r="K36" s="2064"/>
      <c r="L36" s="2059"/>
      <c r="M36" s="2059"/>
    </row>
    <row r="37" spans="1:18" ht="18" customHeight="1">
      <c r="A37" s="1631" t="s">
        <v>1884</v>
      </c>
      <c r="B37" s="783" t="s">
        <v>679</v>
      </c>
      <c r="C37" s="53">
        <f ca="1">ROUND(C13*F37,1)</f>
        <v>8.6</v>
      </c>
      <c r="D37" s="3174" t="s">
        <v>680</v>
      </c>
      <c r="E37" s="783" t="s">
        <v>649</v>
      </c>
      <c r="F37" s="817">
        <f ca="1">INDIRECT("'数据-取费表'!Al"&amp;$G$1)</f>
        <v>1.5E-3</v>
      </c>
      <c r="G37" s="2044"/>
      <c r="H37" s="2059"/>
      <c r="I37" s="840" t="s">
        <v>1810</v>
      </c>
      <c r="J37" s="841"/>
      <c r="K37" s="2064"/>
      <c r="L37" s="2059"/>
      <c r="M37" s="2059"/>
    </row>
    <row r="38" spans="1:18" ht="18" customHeight="1" thickBot="1">
      <c r="A38" s="2512" t="s">
        <v>1885</v>
      </c>
      <c r="B38" s="2507" t="s">
        <v>666</v>
      </c>
      <c r="C38" s="2505">
        <f ca="1">ROUND(C5*F38,1)</f>
        <v>17.2</v>
      </c>
      <c r="D38" s="2506" t="s">
        <v>683</v>
      </c>
      <c r="E38" s="2507" t="s">
        <v>649</v>
      </c>
      <c r="F38" s="2503">
        <f ca="1">INDIRECT("'数据-取费表'!Am"&amp;$G$1)</f>
        <v>1.4999999999999999E-2</v>
      </c>
      <c r="G38" s="2044"/>
      <c r="H38" s="2059"/>
      <c r="I38" s="842" t="s">
        <v>1811</v>
      </c>
      <c r="J38" s="843"/>
      <c r="K38" s="2065"/>
      <c r="L38" s="2059"/>
      <c r="M38" s="2059"/>
    </row>
    <row r="39" spans="1:18" ht="24.6" customHeight="1" thickTop="1">
      <c r="A39" s="1811" t="s">
        <v>1770</v>
      </c>
      <c r="B39" s="2842" t="s">
        <v>2812</v>
      </c>
      <c r="C39" s="791">
        <f ca="1">C5-C30</f>
        <v>841</v>
      </c>
      <c r="D39" s="2509" t="s">
        <v>700</v>
      </c>
      <c r="E39" s="2510"/>
      <c r="F39" s="2511"/>
      <c r="G39" s="2044"/>
      <c r="H39" s="2059"/>
      <c r="I39" s="836" t="s">
        <v>1812</v>
      </c>
      <c r="J39" s="844">
        <f ca="1">ROUND(J35/C39,3)</f>
        <v>0.54800000000000004</v>
      </c>
      <c r="K39" s="2065"/>
      <c r="L39" s="2059"/>
      <c r="M39" s="2059"/>
    </row>
    <row r="40" spans="1:18" ht="18" customHeight="1">
      <c r="A40" s="780" t="s">
        <v>1774</v>
      </c>
      <c r="B40" s="2214" t="s">
        <v>2292</v>
      </c>
      <c r="C40" s="782">
        <f ca="1">ROUND(C39*(1-((1+F42)/(1+F40))^F41)/(F40-F42),0)</f>
        <v>17896</v>
      </c>
      <c r="D40" s="813" t="s">
        <v>704</v>
      </c>
      <c r="E40" s="783" t="s">
        <v>2410</v>
      </c>
      <c r="F40" s="793">
        <f ca="1">INDIRECT("'数据-取费表'!I"&amp;$G$1)</f>
        <v>5.5E-2</v>
      </c>
      <c r="G40" s="2044"/>
      <c r="H40" s="2044"/>
      <c r="I40" s="836" t="s">
        <v>1813</v>
      </c>
      <c r="J40" s="844">
        <f ca="1">1-J39</f>
        <v>0.45199999999999996</v>
      </c>
      <c r="K40" s="2065"/>
      <c r="L40" s="2044"/>
      <c r="M40" s="2044"/>
    </row>
    <row r="41" spans="1:18" ht="18" customHeight="1">
      <c r="A41" s="785"/>
      <c r="B41" s="786"/>
      <c r="C41" s="787"/>
      <c r="D41" s="820" t="s">
        <v>1802</v>
      </c>
      <c r="E41" s="783" t="s">
        <v>708</v>
      </c>
      <c r="F41" s="821">
        <f ca="1">IF(INDIRECT("'数据-取费表'!af"&amp;$G$1)=0,INDIRECT("'数据-取费表'!ae"&amp;$G$1),INDIRECT("'数据-取费表'!af"&amp;$G$1))</f>
        <v>31.66</v>
      </c>
      <c r="G41" s="2044"/>
      <c r="H41" s="1970"/>
      <c r="I41" s="842" t="s">
        <v>1814</v>
      </c>
      <c r="J41" s="845"/>
      <c r="K41" s="2064"/>
      <c r="L41" s="1970"/>
      <c r="M41" s="1970"/>
    </row>
    <row r="42" spans="1:18" ht="18" customHeight="1">
      <c r="A42" s="789"/>
      <c r="B42" s="790"/>
      <c r="C42" s="791"/>
      <c r="D42" s="815"/>
      <c r="E42" s="783" t="s">
        <v>710</v>
      </c>
      <c r="F42" s="793">
        <f ca="1">INDIRECT("'数据-取费表'!v"&amp;$G$1)</f>
        <v>0.03</v>
      </c>
      <c r="G42" s="2044"/>
      <c r="H42" s="1970"/>
      <c r="I42" s="846" t="s">
        <v>1815</v>
      </c>
      <c r="J42" s="844">
        <f ca="1">ROUND(C13/C40,3)</f>
        <v>0.32200000000000001</v>
      </c>
      <c r="K42" s="2064"/>
      <c r="L42" s="1970"/>
      <c r="M42" s="1970"/>
    </row>
    <row r="43" spans="1:18" ht="18" customHeight="1" thickBot="1">
      <c r="A43" s="822" t="s">
        <v>1781</v>
      </c>
      <c r="B43" s="823" t="s">
        <v>1804</v>
      </c>
      <c r="C43" s="824">
        <f ca="1">ROUND(C40*10000/F43,0)</f>
        <v>15365</v>
      </c>
      <c r="D43" s="825" t="s">
        <v>1805</v>
      </c>
      <c r="E43" s="826" t="s">
        <v>1806</v>
      </c>
      <c r="F43" s="827">
        <f ca="1">INDIRECT("'数据-取费表'!k"&amp;$G$1)</f>
        <v>11647.55</v>
      </c>
      <c r="G43" s="2044"/>
      <c r="H43" s="1970"/>
      <c r="I43" s="846" t="s">
        <v>1816</v>
      </c>
      <c r="J43" s="847">
        <f ca="1">1-J42</f>
        <v>0.67799999999999994</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2286</v>
      </c>
      <c r="B46" s="2067"/>
      <c r="C46" s="2535">
        <f ca="1">C67-C40</f>
        <v>-19366</v>
      </c>
      <c r="D46" s="2067"/>
      <c r="E46" s="2067"/>
      <c r="F46" s="2067"/>
      <c r="I46" s="2339" t="s">
        <v>2334</v>
      </c>
      <c r="J46" s="2340"/>
      <c r="K46" s="2341"/>
      <c r="L46" s="2957" t="str">
        <f ca="1">IF(OR(M47="住宅",D1="土地（套用方法）"),0,IF(L48&gt;J51,L60,J60))</f>
        <v>0</v>
      </c>
      <c r="O46" s="2355" t="s">
        <v>2401</v>
      </c>
      <c r="P46" s="1575"/>
      <c r="Q46" s="1586"/>
      <c r="R46" s="1575"/>
    </row>
    <row r="47" spans="1:18" s="2041" customFormat="1" ht="18" customHeight="1" thickBot="1">
      <c r="A47" s="2333">
        <v>1</v>
      </c>
      <c r="B47" s="2334" t="s">
        <v>635</v>
      </c>
      <c r="C47" s="2535">
        <f ca="1">C48+C52+C54</f>
        <v>0</v>
      </c>
      <c r="D47" s="2067"/>
      <c r="E47" s="2067"/>
      <c r="F47" s="2067"/>
      <c r="I47" s="2948" t="s">
        <v>2335</v>
      </c>
      <c r="J47" s="2342" t="s">
        <v>3028</v>
      </c>
      <c r="K47" s="2954" t="s">
        <v>2340</v>
      </c>
      <c r="L47" s="2958">
        <f ca="1">INDIRECT("'数据-取费表'!d"&amp;$G$1)</f>
        <v>40</v>
      </c>
      <c r="M47" s="1586" t="str">
        <f>IF(ISNUMBER(FIND("住宅",C1)),"住宅","非住宅")</f>
        <v>非住宅</v>
      </c>
      <c r="O47" s="2356" t="s">
        <v>2366</v>
      </c>
      <c r="P47" s="2357" t="s">
        <v>2367</v>
      </c>
      <c r="Q47" s="2358" t="s">
        <v>2368</v>
      </c>
      <c r="R47" s="2357" t="s">
        <v>2369</v>
      </c>
    </row>
    <row r="48" spans="1:18" s="2041" customFormat="1" ht="18" customHeight="1" thickBot="1">
      <c r="A48" s="2603" t="s">
        <v>1864</v>
      </c>
      <c r="B48" s="2604" t="s">
        <v>2529</v>
      </c>
      <c r="C48" s="2335">
        <f ca="1">ROUND(F48*F50*F49*(1-F51)/10000,0)</f>
        <v>0</v>
      </c>
      <c r="D48" s="2336" t="s">
        <v>636</v>
      </c>
      <c r="E48" s="2337" t="s">
        <v>2287</v>
      </c>
      <c r="F48" s="2338"/>
      <c r="G48" s="2072"/>
      <c r="I48" s="2944" t="s">
        <v>2336</v>
      </c>
      <c r="J48" s="2343" t="s">
        <v>2341</v>
      </c>
      <c r="K48" s="2955" t="s">
        <v>2342</v>
      </c>
      <c r="L48" s="1890">
        <f ca="1">INDIRECT("'数据-取费表'!f"&amp;$G$1)</f>
        <v>31.66</v>
      </c>
      <c r="O48" s="2359" t="s">
        <v>2370</v>
      </c>
      <c r="P48" s="2360" t="s">
        <v>2396</v>
      </c>
      <c r="Q48" s="2361">
        <f ca="1">C40+J29</f>
        <v>17896</v>
      </c>
      <c r="R48" s="2360" t="s">
        <v>2371</v>
      </c>
    </row>
    <row r="49" spans="1:18" s="2041" customFormat="1" ht="18" customHeight="1" thickBot="1">
      <c r="A49" s="785"/>
      <c r="B49" s="786"/>
      <c r="C49" s="787"/>
      <c r="D49" s="788"/>
      <c r="E49" s="783" t="s">
        <v>638</v>
      </c>
      <c r="F49" s="784">
        <f ca="1">F7</f>
        <v>11647.55</v>
      </c>
      <c r="G49" s="2072"/>
      <c r="H49" s="2075"/>
      <c r="I49" s="2944" t="s">
        <v>2337</v>
      </c>
      <c r="J49" s="2344"/>
      <c r="K49" s="2956" t="s">
        <v>2343</v>
      </c>
      <c r="L49" s="2345"/>
      <c r="O49" s="2359" t="s">
        <v>2372</v>
      </c>
      <c r="P49" s="2360" t="s">
        <v>2397</v>
      </c>
      <c r="Q49" s="2361" t="str">
        <f ca="1">J60</f>
        <v>0</v>
      </c>
      <c r="R49" s="2360" t="s">
        <v>2373</v>
      </c>
    </row>
    <row r="50" spans="1:18" s="2041" customFormat="1" ht="18" customHeight="1" thickBot="1">
      <c r="A50" s="785"/>
      <c r="B50" s="786"/>
      <c r="C50" s="787"/>
      <c r="D50" s="788"/>
      <c r="E50" s="783" t="s">
        <v>639</v>
      </c>
      <c r="F50" s="784">
        <f ca="1">F8</f>
        <v>365</v>
      </c>
      <c r="G50" s="2077"/>
      <c r="H50" s="2075"/>
      <c r="I50" s="2944" t="s">
        <v>2338</v>
      </c>
      <c r="J50" s="2952">
        <f>SUMPRODUCT((I63:I65=J47)*(J62:L62=J48)*(J63:L65))</f>
        <v>60</v>
      </c>
      <c r="K50" s="2956" t="s">
        <v>2344</v>
      </c>
      <c r="L50" s="2345"/>
      <c r="O50" s="2362" t="s">
        <v>2374</v>
      </c>
      <c r="P50" s="2360" t="s">
        <v>2398</v>
      </c>
      <c r="Q50" s="2361">
        <f ca="1">C29</f>
        <v>5764</v>
      </c>
      <c r="R50" s="2360" t="s">
        <v>2371</v>
      </c>
    </row>
    <row r="51" spans="1:18" s="2041" customFormat="1" ht="18" customHeight="1" thickBot="1">
      <c r="A51" s="785"/>
      <c r="B51" s="786"/>
      <c r="C51" s="787"/>
      <c r="D51" s="788"/>
      <c r="E51" s="783" t="s">
        <v>640</v>
      </c>
      <c r="F51" s="2332"/>
      <c r="H51" s="2075"/>
      <c r="I51" s="2949" t="s">
        <v>2339</v>
      </c>
      <c r="J51" s="2953">
        <f>IF(J49="",J50,J49+J50-YEAR('数据-取费表'!B2))</f>
        <v>60</v>
      </c>
      <c r="K51" s="2944" t="s">
        <v>2345</v>
      </c>
      <c r="L51" s="2959">
        <f ca="1">ROUND(-PV(INDIRECT("'数据-取费表'!h"&amp;$G$1),J51,(C39-C13*J36),0),0)</f>
        <v>7191</v>
      </c>
      <c r="O51" s="2362" t="s">
        <v>2375</v>
      </c>
      <c r="P51" s="2360" t="s">
        <v>2376</v>
      </c>
      <c r="Q51" s="2363" t="e">
        <f ca="1">J58</f>
        <v>#VALUE!</v>
      </c>
      <c r="R51" s="2364"/>
    </row>
    <row r="52" spans="1:18" s="2041" customFormat="1" ht="18" customHeight="1" thickBot="1">
      <c r="A52" s="780" t="s">
        <v>2527</v>
      </c>
      <c r="B52" s="2455" t="s">
        <v>2450</v>
      </c>
      <c r="C52" s="798">
        <f ca="1">ROUND(IF(F52="押一",C48/12*F11,IF(F52="押二",C48/12*2*F11,IF(F52="押三",C48/12*3*F11,C53*F11))),0)</f>
        <v>0</v>
      </c>
      <c r="D52" s="2462" t="s">
        <v>2963</v>
      </c>
      <c r="E52" s="2459" t="s">
        <v>2455</v>
      </c>
      <c r="F52" s="2582"/>
      <c r="I52" s="2950" t="s">
        <v>2412</v>
      </c>
      <c r="J52" s="2346"/>
      <c r="K52" s="2950" t="s">
        <v>2411</v>
      </c>
      <c r="L52" s="2346"/>
      <c r="O52" s="2362" t="s">
        <v>2377</v>
      </c>
      <c r="P52" s="2360" t="s">
        <v>2378</v>
      </c>
      <c r="Q52" s="2363">
        <f>J52</f>
        <v>0</v>
      </c>
      <c r="R52" s="2364"/>
    </row>
    <row r="53" spans="1:18" s="2041" customFormat="1" ht="39.75" customHeight="1" thickBot="1">
      <c r="A53" s="785"/>
      <c r="B53" s="2456" t="s">
        <v>2564</v>
      </c>
      <c r="C53" s="2460"/>
      <c r="D53" s="2462"/>
      <c r="E53" s="2459"/>
      <c r="F53" s="799"/>
      <c r="I53" s="2951" t="s">
        <v>2967</v>
      </c>
      <c r="J53" s="3028">
        <f ca="1">IF(M47="住宅",IF(D1="——",MAX(J51,L48),MAX(J51,L48-'数据-取费表'!B20)),IF(D1="——",MIN(J51,L48),MIN(J51,L48-'数据-取费表'!B20)))</f>
        <v>31.66</v>
      </c>
      <c r="K53" s="3520" t="s">
        <v>2955</v>
      </c>
      <c r="L53" s="3521"/>
      <c r="O53" s="2362" t="s">
        <v>2379</v>
      </c>
      <c r="P53" s="2360" t="s">
        <v>2380</v>
      </c>
      <c r="Q53" s="2361">
        <f ca="1">J53</f>
        <v>31.66</v>
      </c>
      <c r="R53" s="2360" t="s">
        <v>2381</v>
      </c>
    </row>
    <row r="54" spans="1:18" s="2041" customFormat="1" ht="18" customHeight="1" thickBot="1">
      <c r="A54" s="2498" t="s">
        <v>2458</v>
      </c>
      <c r="B54" s="2499" t="s">
        <v>2451</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2382</v>
      </c>
      <c r="P54" s="2360" t="s">
        <v>2399</v>
      </c>
      <c r="Q54" s="2361">
        <f ca="1">Q48+Q49</f>
        <v>17896</v>
      </c>
      <c r="R54" s="2364" t="s">
        <v>2383</v>
      </c>
    </row>
    <row r="55" spans="1:18" s="2041" customFormat="1" ht="18" customHeight="1" thickTop="1" thickBot="1">
      <c r="A55" s="796">
        <v>2</v>
      </c>
      <c r="B55" s="797" t="s">
        <v>644</v>
      </c>
      <c r="C55" s="798">
        <f ca="1">C13</f>
        <v>5764</v>
      </c>
      <c r="D55" s="794"/>
      <c r="E55" s="794"/>
      <c r="F55" s="799"/>
      <c r="I55" s="2962" t="s">
        <v>2346</v>
      </c>
      <c r="J55" s="2927" t="e">
        <f ca="1">ROUND(IF(J47="钢混",J57/J50,1-(1-2%)*(J50-J57)/J50),3)</f>
        <v>#VALUE!</v>
      </c>
      <c r="K55" s="2963" t="s">
        <v>2347</v>
      </c>
      <c r="L55" s="2347"/>
      <c r="O55" s="2365" t="s">
        <v>2402</v>
      </c>
      <c r="P55" s="1575"/>
      <c r="Q55" s="1586"/>
      <c r="R55" s="1575"/>
    </row>
    <row r="56" spans="1:18" s="2041" customFormat="1" ht="42.75" customHeight="1" thickBot="1">
      <c r="A56" s="1632"/>
      <c r="B56" s="2213" t="s">
        <v>2291</v>
      </c>
      <c r="C56" s="53">
        <f ca="1">C29</f>
        <v>5764</v>
      </c>
      <c r="D56" s="3174"/>
      <c r="E56" s="783"/>
      <c r="F56" s="808"/>
      <c r="I56" s="2964" t="s">
        <v>2348</v>
      </c>
      <c r="J56" s="2974" t="s">
        <v>1675</v>
      </c>
      <c r="K56" s="2944" t="s">
        <v>2353</v>
      </c>
      <c r="L56" s="1890" t="str">
        <f ca="1">IF(L48&lt;J51,"——",L48-J51)</f>
        <v>——</v>
      </c>
      <c r="O56" s="2356" t="s">
        <v>2366</v>
      </c>
      <c r="P56" s="2357" t="s">
        <v>2367</v>
      </c>
      <c r="Q56" s="2358" t="s">
        <v>2368</v>
      </c>
      <c r="R56" s="2357" t="s">
        <v>2369</v>
      </c>
    </row>
    <row r="57" spans="1:18" s="2041" customFormat="1" ht="28.5" customHeight="1" thickBot="1">
      <c r="A57" s="796" t="s">
        <v>7</v>
      </c>
      <c r="B57" s="797" t="s">
        <v>651</v>
      </c>
      <c r="C57" s="798">
        <f ca="1">ROUND(C58+C63+C64+C65,0)</f>
        <v>99</v>
      </c>
      <c r="D57" s="26" t="s">
        <v>652</v>
      </c>
      <c r="E57" s="3180"/>
      <c r="F57" s="56"/>
      <c r="I57" s="2965" t="s">
        <v>2349</v>
      </c>
      <c r="J57" s="2966" t="str">
        <f ca="1">IF(OR(M47="住宅",J51&lt;L48,J56="是"),"——",J51-L48)</f>
        <v>——</v>
      </c>
      <c r="K57" s="2944" t="s">
        <v>2354</v>
      </c>
      <c r="L57" s="1890" t="str">
        <f ca="1">IF(L48&lt;J51,"——",IF(L55="比较法",L49,IF(L55="基准地价",L50,L51)))</f>
        <v>——</v>
      </c>
      <c r="O57" s="2359" t="s">
        <v>2370</v>
      </c>
      <c r="P57" s="2360" t="s">
        <v>2396</v>
      </c>
      <c r="Q57" s="2361">
        <f ca="1">C40+J29</f>
        <v>17896</v>
      </c>
      <c r="R57" s="2360" t="s">
        <v>2371</v>
      </c>
    </row>
    <row r="58" spans="1:18" s="2041" customFormat="1" ht="28.5" customHeight="1" thickBot="1">
      <c r="A58" s="1631" t="s">
        <v>1818</v>
      </c>
      <c r="B58" s="783" t="s">
        <v>656</v>
      </c>
      <c r="C58" s="53">
        <f ca="1">ROUND(IF(项目基本情况!B11="自然人",C47*F58,C59+C60+C61),1)</f>
        <v>3.7</v>
      </c>
      <c r="D58" s="3175" t="s">
        <v>657</v>
      </c>
      <c r="E58" s="3174" t="s">
        <v>690</v>
      </c>
      <c r="F58" s="809" t="str">
        <f ca="1">IF(项目基本情况!B11="企业","",IF(INDIRECT("'数据-取费表'!c"&amp;$G$1)="住宅",5%,IF(F48*F49*F50/12/(1+'数据-取费表'!C42)&gt;20000,12%,7%)))</f>
        <v/>
      </c>
      <c r="I58" s="2965" t="s">
        <v>2350</v>
      </c>
      <c r="J58" s="2928" t="e">
        <f ca="1">IF(J55&lt;0.4,0.4,J55)</f>
        <v>#VALUE!</v>
      </c>
      <c r="K58" s="2944" t="s">
        <v>2355</v>
      </c>
      <c r="L58" s="1890" t="e">
        <f ca="1">ROUND(POWER(1+L52,L47-L48)*(POWER(1+L52,L48)-1)/(POWER(1+L52,L47)-1),4)</f>
        <v>#DIV/0!</v>
      </c>
      <c r="O58" s="2359" t="s">
        <v>2372</v>
      </c>
      <c r="P58" s="2360" t="s">
        <v>2403</v>
      </c>
      <c r="Q58" s="2361">
        <f ca="1">L60</f>
        <v>0</v>
      </c>
      <c r="R58" s="2364" t="s">
        <v>2405</v>
      </c>
    </row>
    <row r="59" spans="1:18" s="2041" customFormat="1" ht="28.5" customHeight="1" thickBot="1">
      <c r="A59" s="1630" t="s">
        <v>1825</v>
      </c>
      <c r="B59" s="783" t="s">
        <v>660</v>
      </c>
      <c r="C59" s="53">
        <f ca="1">ROUND(C47*F59/1.05,1)</f>
        <v>0</v>
      </c>
      <c r="D59" s="3174" t="s">
        <v>661</v>
      </c>
      <c r="E59" s="783" t="s">
        <v>649</v>
      </c>
      <c r="F59" s="808">
        <f t="shared" ref="F59:F65" si="0">F32</f>
        <v>5.6000000000000001E-2</v>
      </c>
      <c r="I59" s="2965" t="s">
        <v>2351</v>
      </c>
      <c r="J59" s="2966" t="str">
        <f ca="1">IF(OR(M47="住宅",J51&lt;L48,J56="是"),"——",ROUND(C29*J58,0))</f>
        <v>——</v>
      </c>
      <c r="K59" s="2944"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#DIV/0!</v>
      </c>
      <c r="O59" s="2362" t="s">
        <v>2374</v>
      </c>
      <c r="P59" s="2360" t="s">
        <v>2404</v>
      </c>
      <c r="Q59" s="2361">
        <f>IF(L55="比较法",L49,IF(L55="基准地价",L50,0))</f>
        <v>0</v>
      </c>
      <c r="R59" s="2360" t="s">
        <v>2371</v>
      </c>
    </row>
    <row r="60" spans="1:18" s="2041" customFormat="1" ht="18" customHeight="1" thickBot="1">
      <c r="A60" s="1630" t="s">
        <v>1826</v>
      </c>
      <c r="B60" s="783" t="s">
        <v>664</v>
      </c>
      <c r="C60" s="53">
        <f ca="1">IF(D60="按租金收入计税",ROUND(C47*F60,1),IF(D60="按房产原值计税",ROUND(C56*F60*0.7,1),INDIRECT("'数据-取费表'!Aj"&amp;$G$1)))</f>
        <v>0</v>
      </c>
      <c r="D60" s="3174" t="str">
        <f>D33</f>
        <v>按租金收入计税</v>
      </c>
      <c r="E60" s="783" t="s">
        <v>649</v>
      </c>
      <c r="F60" s="808">
        <f t="shared" si="0"/>
        <v>0.12</v>
      </c>
      <c r="I60" s="2967" t="s">
        <v>2352</v>
      </c>
      <c r="J60" s="2968" t="str">
        <f ca="1">IF(OR(M47="住宅",J51&lt;L48,J56="是"),"0",ROUND(J59/(1+J52)^J53,0))</f>
        <v>0</v>
      </c>
      <c r="K60" s="2969" t="s">
        <v>2357</v>
      </c>
      <c r="L60" s="2968">
        <f ca="1">IF(OR(M47="住宅",L48&lt;J51),0,ROUND(L57*(L58/L59-1),0))</f>
        <v>0</v>
      </c>
      <c r="O60" s="2362" t="s">
        <v>2375</v>
      </c>
      <c r="P60" s="2360" t="s">
        <v>2384</v>
      </c>
      <c r="Q60" s="2363">
        <f>L52</f>
        <v>0</v>
      </c>
      <c r="R60" s="2364"/>
    </row>
    <row r="61" spans="1:18" s="2041" customFormat="1" ht="18" customHeight="1" thickBot="1">
      <c r="A61" s="1633" t="s">
        <v>1827</v>
      </c>
      <c r="B61" s="340" t="s">
        <v>668</v>
      </c>
      <c r="C61" s="54">
        <f ca="1">ROUND(F61*F62/10000,1)</f>
        <v>3.7</v>
      </c>
      <c r="D61" s="813" t="s">
        <v>669</v>
      </c>
      <c r="E61" s="783" t="s">
        <v>670</v>
      </c>
      <c r="F61" s="639">
        <f t="shared" si="0"/>
        <v>8</v>
      </c>
      <c r="K61" s="2068"/>
      <c r="O61" s="2362" t="s">
        <v>2377</v>
      </c>
      <c r="P61" s="2360" t="s">
        <v>2385</v>
      </c>
      <c r="Q61" s="2361" t="e">
        <f ca="1">L58</f>
        <v>#DIV/0!</v>
      </c>
      <c r="R61" s="2364" t="s">
        <v>2386</v>
      </c>
    </row>
    <row r="62" spans="1:18" s="2041" customFormat="1" ht="15.75" thickBot="1">
      <c r="A62" s="814"/>
      <c r="B62" s="792"/>
      <c r="C62" s="69"/>
      <c r="D62" s="815"/>
      <c r="E62" s="783" t="s">
        <v>674</v>
      </c>
      <c r="F62" s="784">
        <f t="shared" ca="1" si="0"/>
        <v>4681.7800000000007</v>
      </c>
      <c r="I62" s="2970" t="s">
        <v>2358</v>
      </c>
      <c r="J62" s="2971" t="s">
        <v>2359</v>
      </c>
      <c r="K62" s="2971" t="s">
        <v>2360</v>
      </c>
      <c r="L62" s="2971" t="s">
        <v>2341</v>
      </c>
      <c r="M62" s="2972" t="s">
        <v>2932</v>
      </c>
      <c r="O62" s="2362" t="s">
        <v>2379</v>
      </c>
      <c r="P62" s="2360" t="str">
        <f>K59</f>
        <v>建筑物剩余耐用年限下的土地年期修正系数Kn</v>
      </c>
      <c r="Q62" s="2361" t="e">
        <f ca="1">L59</f>
        <v>#DIV/0!</v>
      </c>
      <c r="R62" s="2364" t="s">
        <v>2388</v>
      </c>
    </row>
    <row r="63" spans="1:18" s="2041" customFormat="1" ht="15.75" thickBot="1">
      <c r="A63" s="1631" t="s">
        <v>1883</v>
      </c>
      <c r="B63" s="783" t="s">
        <v>676</v>
      </c>
      <c r="C63" s="53">
        <f ca="1">ROUND(C56*F63,1)</f>
        <v>86.5</v>
      </c>
      <c r="D63" s="3174" t="s">
        <v>691</v>
      </c>
      <c r="E63" s="783" t="s">
        <v>649</v>
      </c>
      <c r="F63" s="816">
        <f t="shared" ca="1" si="0"/>
        <v>1.4999999999999999E-2</v>
      </c>
      <c r="I63" s="2970" t="s">
        <v>2361</v>
      </c>
      <c r="J63" s="2971">
        <v>70</v>
      </c>
      <c r="K63" s="2971">
        <v>50</v>
      </c>
      <c r="L63" s="2971">
        <v>80</v>
      </c>
      <c r="M63" s="2973">
        <v>0.02</v>
      </c>
      <c r="O63" s="2359" t="s">
        <v>2382</v>
      </c>
      <c r="P63" s="2360" t="s">
        <v>2399</v>
      </c>
      <c r="Q63" s="2361">
        <f ca="1">Q57+Q58</f>
        <v>17896</v>
      </c>
      <c r="R63" s="2364" t="s">
        <v>2383</v>
      </c>
    </row>
    <row r="64" spans="1:18" s="2041" customFormat="1" ht="16.5" thickBot="1">
      <c r="A64" s="1631" t="s">
        <v>1884</v>
      </c>
      <c r="B64" s="783" t="s">
        <v>679</v>
      </c>
      <c r="C64" s="53">
        <f ca="1">ROUND(C55*F64,1)</f>
        <v>8.6</v>
      </c>
      <c r="D64" s="3174" t="s">
        <v>680</v>
      </c>
      <c r="E64" s="783" t="s">
        <v>649</v>
      </c>
      <c r="F64" s="817">
        <f t="shared" ca="1" si="0"/>
        <v>1.5E-3</v>
      </c>
      <c r="I64" s="2970" t="s">
        <v>2362</v>
      </c>
      <c r="J64" s="2971">
        <v>50</v>
      </c>
      <c r="K64" s="2971">
        <v>35</v>
      </c>
      <c r="L64" s="2971">
        <v>60</v>
      </c>
      <c r="M64" s="845">
        <v>0</v>
      </c>
      <c r="O64" s="2365" t="s">
        <v>2406</v>
      </c>
      <c r="P64" s="1575"/>
      <c r="Q64" s="1586"/>
      <c r="R64" s="1575"/>
    </row>
    <row r="65" spans="1:18" s="2041" customFormat="1" ht="15.75" thickBot="1">
      <c r="A65" s="1631" t="s">
        <v>1885</v>
      </c>
      <c r="B65" s="783" t="s">
        <v>666</v>
      </c>
      <c r="C65" s="53">
        <f ca="1">ROUND(C47*F65,1)</f>
        <v>0</v>
      </c>
      <c r="D65" s="3174" t="s">
        <v>683</v>
      </c>
      <c r="E65" s="783" t="s">
        <v>649</v>
      </c>
      <c r="F65" s="793">
        <f t="shared" ca="1" si="0"/>
        <v>1.4999999999999999E-2</v>
      </c>
      <c r="I65" s="2970" t="s">
        <v>2363</v>
      </c>
      <c r="J65" s="2971">
        <v>40</v>
      </c>
      <c r="K65" s="2971">
        <v>30</v>
      </c>
      <c r="L65" s="2971">
        <v>50</v>
      </c>
      <c r="M65" s="2973">
        <v>0.02</v>
      </c>
      <c r="O65" s="2356" t="s">
        <v>2366</v>
      </c>
      <c r="P65" s="2357" t="s">
        <v>2367</v>
      </c>
      <c r="Q65" s="2358" t="s">
        <v>2368</v>
      </c>
      <c r="R65" s="2357" t="s">
        <v>2369</v>
      </c>
    </row>
    <row r="66" spans="1:18" s="2041" customFormat="1" ht="24.75" thickBot="1">
      <c r="A66" s="796" t="s">
        <v>1770</v>
      </c>
      <c r="B66" s="2843" t="s">
        <v>2812</v>
      </c>
      <c r="C66" s="798">
        <f ca="1">C47-C57</f>
        <v>-99</v>
      </c>
      <c r="D66" s="3175" t="s">
        <v>700</v>
      </c>
      <c r="E66" s="3178"/>
      <c r="F66" s="819"/>
      <c r="K66" s="2068"/>
      <c r="O66" s="2359" t="s">
        <v>2370</v>
      </c>
      <c r="P66" s="2360" t="s">
        <v>2396</v>
      </c>
      <c r="Q66" s="2361">
        <f ca="1">C40+J29</f>
        <v>17896</v>
      </c>
      <c r="R66" s="2360" t="s">
        <v>2371</v>
      </c>
    </row>
    <row r="67" spans="1:18" s="2041" customFormat="1" ht="20.25" thickBot="1">
      <c r="A67" s="780" t="s">
        <v>1774</v>
      </c>
      <c r="B67" s="2214" t="s">
        <v>2292</v>
      </c>
      <c r="C67" s="782">
        <f ca="1">ROUND(C66*(1-((1+F69)/(1+F67))^F68)/(F67-F69),0)</f>
        <v>-1470</v>
      </c>
      <c r="D67" s="813" t="s">
        <v>704</v>
      </c>
      <c r="E67" s="783" t="s">
        <v>705</v>
      </c>
      <c r="F67" s="793">
        <f ca="1">F40</f>
        <v>5.5E-2</v>
      </c>
      <c r="K67" s="2068"/>
      <c r="O67" s="2359" t="s">
        <v>2372</v>
      </c>
      <c r="P67" s="2360" t="s">
        <v>2403</v>
      </c>
      <c r="Q67" s="2361">
        <f ca="1">L60</f>
        <v>0</v>
      </c>
      <c r="R67" s="2364" t="s">
        <v>2405</v>
      </c>
    </row>
    <row r="68" spans="1:18" ht="21.75" thickBot="1">
      <c r="A68" s="785"/>
      <c r="B68" s="786"/>
      <c r="C68" s="787"/>
      <c r="D68" s="820" t="s">
        <v>1802</v>
      </c>
      <c r="E68" s="783" t="s">
        <v>708</v>
      </c>
      <c r="F68" s="821">
        <f ca="1">F41</f>
        <v>31.66</v>
      </c>
      <c r="O68" s="2362" t="s">
        <v>2374</v>
      </c>
      <c r="P68" s="2360" t="s">
        <v>2404</v>
      </c>
      <c r="Q68" s="2366">
        <f ca="1">L51</f>
        <v>7191</v>
      </c>
      <c r="R68" s="2367" t="s">
        <v>2407</v>
      </c>
    </row>
    <row r="69" spans="1:18" ht="20.25" thickBot="1">
      <c r="A69" s="789"/>
      <c r="B69" s="790"/>
      <c r="C69" s="791"/>
      <c r="D69" s="815"/>
      <c r="E69" s="783" t="s">
        <v>710</v>
      </c>
      <c r="F69" s="2332"/>
      <c r="O69" s="2362" t="s">
        <v>2375</v>
      </c>
      <c r="P69" s="2368" t="s">
        <v>2389</v>
      </c>
      <c r="Q69" s="2361">
        <f ca="1">ROUND(Q70-Q71*Q72,0)</f>
        <v>380</v>
      </c>
      <c r="R69" s="2364"/>
    </row>
    <row r="70" spans="1:18" ht="15.75" thickBot="1">
      <c r="A70" s="822" t="s">
        <v>1781</v>
      </c>
      <c r="B70" s="823" t="s">
        <v>1804</v>
      </c>
      <c r="C70" s="824">
        <f ca="1">ROUND(C67*10000/F70,0)</f>
        <v>-1262</v>
      </c>
      <c r="D70" s="825" t="s">
        <v>1805</v>
      </c>
      <c r="E70" s="826" t="s">
        <v>1806</v>
      </c>
      <c r="F70" s="827">
        <f ca="1">F43</f>
        <v>11647.55</v>
      </c>
      <c r="O70" s="2362" t="s">
        <v>2390</v>
      </c>
      <c r="P70" s="2368" t="s">
        <v>2391</v>
      </c>
      <c r="Q70" s="2361">
        <f ca="1">C39</f>
        <v>841</v>
      </c>
      <c r="R70" s="2360" t="s">
        <v>2371</v>
      </c>
    </row>
    <row r="71" spans="1:18" ht="15.75" thickBot="1">
      <c r="O71" s="2362" t="s">
        <v>2392</v>
      </c>
      <c r="P71" s="2368" t="s">
        <v>2393</v>
      </c>
      <c r="Q71" s="2361">
        <f ca="1">C13</f>
        <v>5764</v>
      </c>
      <c r="R71" s="2360" t="s">
        <v>2371</v>
      </c>
    </row>
    <row r="72" spans="1:18" ht="15.75" thickBot="1">
      <c r="O72" s="2362" t="s">
        <v>2394</v>
      </c>
      <c r="P72" s="2368" t="s">
        <v>2395</v>
      </c>
      <c r="Q72" s="2363">
        <f ca="1">J36</f>
        <v>0.08</v>
      </c>
      <c r="R72" s="2364"/>
    </row>
    <row r="73" spans="1:18" ht="15.75" thickBot="1">
      <c r="O73" s="2362" t="s">
        <v>2377</v>
      </c>
      <c r="P73" s="2360" t="s">
        <v>2384</v>
      </c>
      <c r="Q73" s="2363">
        <f>L52</f>
        <v>0</v>
      </c>
      <c r="R73" s="2364"/>
    </row>
    <row r="74" spans="1:18" ht="20.25" thickBot="1">
      <c r="O74" s="2362" t="s">
        <v>2379</v>
      </c>
      <c r="P74" s="2360" t="s">
        <v>2385</v>
      </c>
      <c r="Q74" s="2361" t="e">
        <f ca="1">L58</f>
        <v>#DIV/0!</v>
      </c>
      <c r="R74" s="2364" t="s">
        <v>2386</v>
      </c>
    </row>
    <row r="75" spans="1:18" ht="15.75" thickBot="1">
      <c r="O75" s="2362" t="s">
        <v>2408</v>
      </c>
      <c r="P75" s="2360" t="str">
        <f>K59</f>
        <v>建筑物剩余耐用年限下的土地年期修正系数Kn</v>
      </c>
      <c r="Q75" s="2361" t="e">
        <f ca="1">L59</f>
        <v>#DIV/0!</v>
      </c>
      <c r="R75" s="2364" t="s">
        <v>2388</v>
      </c>
    </row>
    <row r="76" spans="1:18" ht="15.75" thickBot="1">
      <c r="O76" s="2359" t="s">
        <v>2382</v>
      </c>
      <c r="P76" s="2360" t="s">
        <v>2399</v>
      </c>
      <c r="Q76" s="2361">
        <f ca="1">Q66+Q67</f>
        <v>17896</v>
      </c>
      <c r="R76" s="2364" t="s">
        <v>2383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1" priority="6">
      <formula>$L$48&gt;$J$51</formula>
    </cfRule>
  </conditionalFormatting>
  <conditionalFormatting sqref="I55">
    <cfRule type="expression" dxfId="50" priority="7">
      <formula>$J$51&gt;$L$48</formula>
    </cfRule>
  </conditionalFormatting>
  <conditionalFormatting sqref="I60">
    <cfRule type="expression" dxfId="49" priority="5">
      <formula>$J$51&gt;$L$48</formula>
    </cfRule>
  </conditionalFormatting>
  <conditionalFormatting sqref="K60">
    <cfRule type="expression" dxfId="48" priority="4">
      <formula>$L$48&gt;$J$51</formula>
    </cfRule>
  </conditionalFormatting>
  <conditionalFormatting sqref="C11">
    <cfRule type="expression" dxfId="47" priority="3">
      <formula>$F$10="自定义"</formula>
    </cfRule>
  </conditionalFormatting>
  <conditionalFormatting sqref="J11">
    <cfRule type="expression" dxfId="46" priority="2">
      <formula>$M$10="自定义"</formula>
    </cfRule>
  </conditionalFormatting>
  <conditionalFormatting sqref="C53">
    <cfRule type="expression" dxfId="45" priority="1">
      <formula>$F$52="自定义"</formula>
    </cfRule>
  </conditionalFormatting>
  <dataValidations count="8">
    <dataValidation type="list" allowBlank="1" showInputMessage="1" showErrorMessage="1" sqref="D1" xr:uid="{00000000-0002-0000-2700-000000000000}">
      <formula1>"土地（套用方法）,——"</formula1>
    </dataValidation>
    <dataValidation type="list" allowBlank="1" showInputMessage="1" showErrorMessage="1" sqref="F10 M10 F52" xr:uid="{00000000-0002-0000-2700-000001000000}">
      <formula1>"押一,押二,押三,自定义"</formula1>
    </dataValidation>
    <dataValidation type="list" allowBlank="1" showInputMessage="1" showErrorMessage="1" sqref="J48" xr:uid="{00000000-0002-0000-2700-000002000000}">
      <formula1>"非生产用房,生产用房,受腐蚀的生产用房"</formula1>
    </dataValidation>
    <dataValidation type="list" allowBlank="1" showInputMessage="1" showErrorMessage="1" sqref="J47" xr:uid="{00000000-0002-0000-2700-000003000000}">
      <formula1>"钢,钢混,砖混"</formula1>
    </dataValidation>
    <dataValidation type="list" allowBlank="1" showInputMessage="1" showErrorMessage="1" sqref="J56" xr:uid="{00000000-0002-0000-2700-000004000000}">
      <formula1>判定</formula1>
    </dataValidation>
    <dataValidation type="list" allowBlank="1" showInputMessage="1" showErrorMessage="1" sqref="D33" xr:uid="{00000000-0002-0000-2700-000005000000}">
      <formula1>"按租金收入计税,按房产原值计税,按票据"</formula1>
    </dataValidation>
    <dataValidation type="list" allowBlank="1" showInputMessage="1" showErrorMessage="1" sqref="K19" xr:uid="{00000000-0002-0000-2700-000006000000}">
      <formula1>"按租金收入计税,按房产原值计税"</formula1>
    </dataValidation>
    <dataValidation type="list" allowBlank="1" showInputMessage="1" showErrorMessage="1" sqref="C1:C3" xr:uid="{00000000-0002-0000-2700-000007000000}">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G76"/>
  <sheetViews>
    <sheetView zoomScale="80" zoomScaleNormal="80" workbookViewId="0">
      <selection activeCell="D10" sqref="D10"/>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1719</v>
      </c>
      <c r="B1" s="737"/>
      <c r="C1" s="772" t="s">
        <v>1674</v>
      </c>
      <c r="D1" s="3527" t="s">
        <v>949</v>
      </c>
      <c r="E1" s="2348" t="s">
        <v>867</v>
      </c>
      <c r="F1" s="2349">
        <f ca="1">J53</f>
        <v>41.67</v>
      </c>
      <c r="G1" s="773">
        <f>MATCH(C1,'数据-取费表'!A6:A16,0)+5</f>
        <v>10</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467</v>
      </c>
      <c r="B2" s="774">
        <f ca="1">C40+J29+L46</f>
        <v>44332</v>
      </c>
      <c r="C2" s="2039"/>
      <c r="D2" s="2037"/>
      <c r="E2" s="2038"/>
      <c r="F2" s="2038"/>
      <c r="G2" s="1573"/>
      <c r="H2" s="2039"/>
      <c r="I2" s="2039"/>
      <c r="J2" s="2039"/>
      <c r="K2" s="2040"/>
      <c r="L2" s="2039"/>
      <c r="M2" s="2039"/>
    </row>
    <row r="3" spans="1:33" ht="18" customHeight="1" thickBot="1">
      <c r="A3" s="832" t="s">
        <v>519</v>
      </c>
      <c r="B3" s="833">
        <f ca="1">IF(ISERROR(B2*10000/F43),0,ROUND(B2*10000/F43,0))</f>
        <v>8049</v>
      </c>
      <c r="C3" s="2039"/>
      <c r="D3" s="2037"/>
      <c r="E3" s="2038"/>
      <c r="F3" s="2038"/>
      <c r="G3" s="1573"/>
      <c r="H3" s="775" t="s">
        <v>695</v>
      </c>
      <c r="I3" s="1357"/>
      <c r="J3" s="1357"/>
      <c r="K3" s="1574"/>
      <c r="L3" s="1357"/>
      <c r="M3" s="1357"/>
    </row>
    <row r="4" spans="1:33" ht="18" customHeight="1">
      <c r="A4" s="776" t="s">
        <v>698</v>
      </c>
      <c r="B4" s="777" t="s">
        <v>631</v>
      </c>
      <c r="C4" s="777" t="s">
        <v>632</v>
      </c>
      <c r="D4" s="777" t="s">
        <v>633</v>
      </c>
      <c r="E4" s="778" t="s">
        <v>1725</v>
      </c>
      <c r="F4" s="779"/>
      <c r="G4" s="1575"/>
      <c r="H4" s="776" t="s">
        <v>698</v>
      </c>
      <c r="I4" s="777" t="s">
        <v>631</v>
      </c>
      <c r="J4" s="777" t="s">
        <v>632</v>
      </c>
      <c r="K4" s="777" t="s">
        <v>633</v>
      </c>
      <c r="L4" s="778" t="s">
        <v>1725</v>
      </c>
      <c r="M4" s="779"/>
    </row>
    <row r="5" spans="1:33" ht="18" customHeight="1">
      <c r="A5" s="780">
        <v>1</v>
      </c>
      <c r="B5" s="781" t="s">
        <v>2449</v>
      </c>
      <c r="C5" s="55">
        <f ca="1">C6+C10+C12</f>
        <v>2717</v>
      </c>
      <c r="D5" s="2457" t="s">
        <v>2452</v>
      </c>
      <c r="E5" s="2451"/>
      <c r="F5" s="2452"/>
      <c r="G5" s="1575"/>
      <c r="H5" s="780">
        <v>1</v>
      </c>
      <c r="I5" s="781" t="s">
        <v>2449</v>
      </c>
      <c r="J5" s="55">
        <f ca="1">J6+J10+J12</f>
        <v>0</v>
      </c>
      <c r="K5" s="2457" t="s">
        <v>2452</v>
      </c>
      <c r="L5" s="2451"/>
      <c r="M5" s="2452"/>
    </row>
    <row r="6" spans="1:33" ht="18" customHeight="1">
      <c r="A6" s="1812" t="s">
        <v>1818</v>
      </c>
      <c r="B6" s="3478" t="s">
        <v>2454</v>
      </c>
      <c r="C6" s="782">
        <f ca="1">ROUND(F6*F8*F7*(1-F9)/10000,0)</f>
        <v>2714</v>
      </c>
      <c r="D6" s="2458" t="s">
        <v>2453</v>
      </c>
      <c r="E6" s="783" t="s">
        <v>637</v>
      </c>
      <c r="F6" s="784">
        <f ca="1">INDIRECT("'数据-取费表'!u"&amp;$G$1)</f>
        <v>1.5</v>
      </c>
      <c r="G6" s="1575"/>
      <c r="H6" s="2465" t="s">
        <v>1818</v>
      </c>
      <c r="I6" s="3478" t="s">
        <v>2454</v>
      </c>
      <c r="J6" s="782">
        <f ca="1">ROUND(M6*M8*M7*(1-M9)/10000,0)</f>
        <v>0</v>
      </c>
      <c r="K6" s="340" t="s">
        <v>1731</v>
      </c>
      <c r="L6" s="783" t="s">
        <v>637</v>
      </c>
      <c r="M6" s="784">
        <f ca="1">INDIRECT("'数据-取费表'!z"&amp;$G$1)</f>
        <v>0</v>
      </c>
    </row>
    <row r="7" spans="1:33" ht="18" customHeight="1">
      <c r="A7" s="2461"/>
      <c r="B7" s="3479"/>
      <c r="C7" s="787"/>
      <c r="D7" s="788"/>
      <c r="E7" s="783" t="s">
        <v>638</v>
      </c>
      <c r="F7" s="784">
        <f ca="1">IF(INDIRECT("'数据-取费表'!ah"&amp;$G$1)="",INDIRECT("'数据-取费表'!k"&amp;$G$1),INDIRECT("'数据-取费表'!ah"&amp;$G$1))</f>
        <v>55077.55</v>
      </c>
      <c r="G7" s="1575"/>
      <c r="H7" s="2450"/>
      <c r="I7" s="3479"/>
      <c r="J7" s="787"/>
      <c r="K7" s="788"/>
      <c r="L7" s="783" t="s">
        <v>638</v>
      </c>
      <c r="M7" s="784">
        <f ca="1">F7</f>
        <v>55077.55</v>
      </c>
    </row>
    <row r="8" spans="1:33" ht="18" customHeight="1">
      <c r="A8" s="2454"/>
      <c r="B8" s="3480"/>
      <c r="C8" s="787"/>
      <c r="D8" s="788"/>
      <c r="E8" s="783" t="s">
        <v>639</v>
      </c>
      <c r="F8" s="784">
        <f ca="1">INDIRECT("'数据-取费表'!ai"&amp;$G$1)</f>
        <v>365</v>
      </c>
      <c r="G8" s="1575"/>
      <c r="H8" s="2450"/>
      <c r="I8" s="3480"/>
      <c r="J8" s="787"/>
      <c r="K8" s="788"/>
      <c r="L8" s="783" t="s">
        <v>639</v>
      </c>
      <c r="M8" s="784">
        <f ca="1">INDIRECT("'数据-取费表'!ai"&amp;$G$1)</f>
        <v>365</v>
      </c>
    </row>
    <row r="9" spans="1:33" ht="18" customHeight="1">
      <c r="A9" s="785"/>
      <c r="B9" s="3481"/>
      <c r="C9" s="787"/>
      <c r="D9" s="788"/>
      <c r="E9" s="783" t="s">
        <v>1735</v>
      </c>
      <c r="F9" s="793">
        <f ca="1">INDIRECT("'数据-取费表'!w"&amp;$G$1)</f>
        <v>0.1</v>
      </c>
      <c r="G9" s="1575"/>
      <c r="H9" s="2466"/>
      <c r="I9" s="3480"/>
      <c r="J9" s="787"/>
      <c r="K9" s="788"/>
      <c r="L9" s="794" t="s">
        <v>1735</v>
      </c>
      <c r="M9" s="795">
        <f ca="1">INDIRECT("'数据-取费表'!ab"&amp;$G$1)</f>
        <v>0</v>
      </c>
    </row>
    <row r="10" spans="1:33" ht="18" customHeight="1">
      <c r="A10" s="1812" t="s">
        <v>1819</v>
      </c>
      <c r="B10" s="2455" t="s">
        <v>2450</v>
      </c>
      <c r="C10" s="798">
        <f ca="1">ROUND(IF(F10="押一",C6/12*F11,IF(F10="押二",C6/12*2*F11,IF(F10="押三",C6/12*3*F11,C11*F11))),0)</f>
        <v>3</v>
      </c>
      <c r="D10" s="2462" t="s">
        <v>2963</v>
      </c>
      <c r="E10" s="2459" t="s">
        <v>2455</v>
      </c>
      <c r="F10" s="2582" t="s">
        <v>3300</v>
      </c>
      <c r="G10" s="1575"/>
      <c r="H10" s="2522" t="s">
        <v>1819</v>
      </c>
      <c r="I10" s="2527" t="s">
        <v>2450</v>
      </c>
      <c r="J10" s="782">
        <f ca="1">ROUND(IF(M10="押一",J6/12*M11,IF(M10="押二",J6/12*2*M11,IF(M10="押三",J6/12*3*M11,J11*M11))),0)</f>
        <v>0</v>
      </c>
      <c r="K10" s="2462" t="s">
        <v>2963</v>
      </c>
      <c r="L10" s="2459" t="s">
        <v>2455</v>
      </c>
      <c r="M10" s="2582"/>
    </row>
    <row r="11" spans="1:33" ht="18" customHeight="1">
      <c r="A11" s="789"/>
      <c r="B11" s="2456" t="s">
        <v>2564</v>
      </c>
      <c r="C11" s="2460"/>
      <c r="D11" s="788"/>
      <c r="E11" s="2459" t="s">
        <v>2447</v>
      </c>
      <c r="F11" s="795">
        <f ca="1">'数据-取费表'!B39</f>
        <v>1.4999999999999999E-2</v>
      </c>
      <c r="G11" s="1575"/>
      <c r="H11" s="2523"/>
      <c r="I11" s="2456" t="s">
        <v>2564</v>
      </c>
      <c r="J11" s="2460"/>
      <c r="K11" s="2524"/>
      <c r="L11" s="2459" t="s">
        <v>2447</v>
      </c>
      <c r="M11" s="2453">
        <f ca="1">'数据-取费表'!B39</f>
        <v>1.4999999999999999E-2</v>
      </c>
    </row>
    <row r="12" spans="1:33" ht="18" customHeight="1" thickBot="1">
      <c r="A12" s="2498" t="s">
        <v>2458</v>
      </c>
      <c r="B12" s="2499" t="s">
        <v>2451</v>
      </c>
      <c r="C12" s="2500"/>
      <c r="D12" s="2501"/>
      <c r="E12" s="2502"/>
      <c r="F12" s="2503"/>
      <c r="G12" s="1575"/>
      <c r="H12" s="2512" t="s">
        <v>2458</v>
      </c>
      <c r="I12" s="2525" t="s">
        <v>2451</v>
      </c>
      <c r="J12" s="2526"/>
      <c r="K12" s="2501"/>
      <c r="L12" s="2502"/>
      <c r="M12" s="2515"/>
    </row>
    <row r="13" spans="1:33" ht="18" customHeight="1" thickTop="1">
      <c r="A13" s="1811">
        <v>2</v>
      </c>
      <c r="B13" s="1809" t="s">
        <v>644</v>
      </c>
      <c r="C13" s="791">
        <f ca="1">ROUND(C29*F13,0)</f>
        <v>27250</v>
      </c>
      <c r="D13" s="1816" t="s">
        <v>2288</v>
      </c>
      <c r="E13" s="1816" t="s">
        <v>643</v>
      </c>
      <c r="F13" s="2497">
        <f ca="1">INDIRECT("'数据-取费表'!y"&amp;$G$1)</f>
        <v>1</v>
      </c>
      <c r="G13" s="1575"/>
      <c r="H13" s="1811">
        <v>2</v>
      </c>
      <c r="I13" s="1809" t="s">
        <v>644</v>
      </c>
      <c r="J13" s="1801">
        <f ca="1">ROUND(J14*J15,0)</f>
        <v>0</v>
      </c>
      <c r="K13" s="1803" t="s">
        <v>1737</v>
      </c>
      <c r="L13" s="2513"/>
      <c r="M13" s="2514"/>
    </row>
    <row r="14" spans="1:33" ht="18" customHeight="1">
      <c r="A14" s="1630" t="s">
        <v>1825</v>
      </c>
      <c r="B14" s="783" t="s">
        <v>645</v>
      </c>
      <c r="C14" s="803">
        <f ca="1">INDIRECT("'数据-取费表'!m"&amp;$G$1)+INDIRECT("'数据-取费表'!t"&amp;$G$1)</f>
        <v>17499</v>
      </c>
      <c r="D14" s="3175" t="s">
        <v>646</v>
      </c>
      <c r="E14" s="3176"/>
      <c r="F14" s="804"/>
      <c r="G14" s="1575"/>
      <c r="H14" s="1631" t="s">
        <v>1818</v>
      </c>
      <c r="I14" s="2213" t="s">
        <v>2815</v>
      </c>
      <c r="J14" s="53">
        <f ca="1">C29</f>
        <v>27250</v>
      </c>
      <c r="K14" s="26"/>
      <c r="L14" s="800"/>
      <c r="M14" s="801"/>
    </row>
    <row r="15" spans="1:33" s="2046" customFormat="1" ht="18" customHeight="1" thickBot="1">
      <c r="A15" s="1630" t="s">
        <v>1826</v>
      </c>
      <c r="B15" s="783" t="s">
        <v>647</v>
      </c>
      <c r="C15" s="53">
        <f ca="1">ROUND(C14*F15,0)</f>
        <v>525</v>
      </c>
      <c r="D15" s="805" t="s">
        <v>648</v>
      </c>
      <c r="E15" s="805" t="s">
        <v>649</v>
      </c>
      <c r="F15" s="806">
        <f>'数据-取费表'!B33</f>
        <v>0.03</v>
      </c>
      <c r="G15" s="1576"/>
      <c r="H15" s="2512" t="s">
        <v>1883</v>
      </c>
      <c r="I15" s="2507" t="s">
        <v>643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1827</v>
      </c>
      <c r="B16" s="783" t="s">
        <v>650</v>
      </c>
      <c r="C16" s="53">
        <f ca="1">ROUND(INDIRECT("'数据-取费表'!m"&amp;$G$1)*F16,0)</f>
        <v>0</v>
      </c>
      <c r="D16" s="783" t="s">
        <v>648</v>
      </c>
      <c r="E16" s="783" t="s">
        <v>649</v>
      </c>
      <c r="F16" s="808">
        <f ca="1">IF(INDIRECT("'数据-取费表'!c"&amp;$G$1)="住宅",'数据-取费表'!B34,0)</f>
        <v>0</v>
      </c>
      <c r="G16" s="1575"/>
      <c r="H16" s="1811" t="s">
        <v>7</v>
      </c>
      <c r="I16" s="1809" t="s">
        <v>651</v>
      </c>
      <c r="J16" s="791">
        <f ca="1">ROUND(J17+J22+J23+J24,0)</f>
        <v>2716</v>
      </c>
      <c r="K16" s="1803" t="s">
        <v>652</v>
      </c>
      <c r="L16" s="3177"/>
      <c r="M16" s="2452"/>
    </row>
    <row r="17" spans="1:33" s="2046" customFormat="1" ht="18" customHeight="1">
      <c r="A17" s="1630" t="s">
        <v>1881</v>
      </c>
      <c r="B17" s="783" t="s">
        <v>653</v>
      </c>
      <c r="C17" s="53">
        <f ca="1">ROUND(F17*(F43+INDIRECT("'数据-取费表'!S"&amp;$G$1))/10000,0)</f>
        <v>1062</v>
      </c>
      <c r="D17" s="783" t="s">
        <v>654</v>
      </c>
      <c r="E17" s="783" t="s">
        <v>655</v>
      </c>
      <c r="F17" s="56">
        <f>'数据-取费表'!B35</f>
        <v>180</v>
      </c>
      <c r="G17" s="1576"/>
      <c r="H17" s="1631" t="s">
        <v>1818</v>
      </c>
      <c r="I17" s="783" t="s">
        <v>656</v>
      </c>
      <c r="J17" s="53">
        <f ca="1">ROUND(IF(项目基本情况!B11="自然人",J6*M17/(1+'数据-取费表'!C42),J18+J19+J20),0)</f>
        <v>2307</v>
      </c>
      <c r="K17" s="3175" t="s">
        <v>657</v>
      </c>
      <c r="L17" s="3174" t="s">
        <v>658</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659</v>
      </c>
      <c r="C18" s="53">
        <f ca="1">ROUND(C14*F18,0)</f>
        <v>262</v>
      </c>
      <c r="D18" s="783" t="s">
        <v>648</v>
      </c>
      <c r="E18" s="783" t="s">
        <v>649</v>
      </c>
      <c r="F18" s="808">
        <f>'数据-取费表'!B36</f>
        <v>1.4999999999999999E-2</v>
      </c>
      <c r="G18" s="1576"/>
      <c r="H18" s="1630" t="s">
        <v>1825</v>
      </c>
      <c r="I18" s="783" t="s">
        <v>660</v>
      </c>
      <c r="J18" s="53">
        <f ca="1">ROUND(J6*M18/(1+'数据-取费表'!C42),1)</f>
        <v>0</v>
      </c>
      <c r="K18" s="3174" t="s">
        <v>661</v>
      </c>
      <c r="L18" s="783" t="s">
        <v>649</v>
      </c>
      <c r="M18" s="808">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1818</v>
      </c>
      <c r="B19" s="783" t="s">
        <v>662</v>
      </c>
      <c r="C19" s="53">
        <f ca="1">SUM(C14:C18)</f>
        <v>19348</v>
      </c>
      <c r="D19" s="260" t="s">
        <v>663</v>
      </c>
      <c r="E19" s="3180"/>
      <c r="F19" s="56"/>
      <c r="G19" s="1575"/>
      <c r="H19" s="1630" t="s">
        <v>1826</v>
      </c>
      <c r="I19" s="783" t="s">
        <v>664</v>
      </c>
      <c r="J19" s="53">
        <f ca="1">IF(K19="按租金收入计税",ROUND(J6*M19/(1+'数据-取费表'!C42),1),ROUND(C29*F33*0.7,1))</f>
        <v>2289</v>
      </c>
      <c r="K19" s="810" t="s">
        <v>665</v>
      </c>
      <c r="L19" s="783" t="s">
        <v>649</v>
      </c>
      <c r="M19" s="808">
        <f>IF(K19="按租金收入计税",'数据-取费表'!B51,'数据-取费表'!B50)</f>
        <v>1.2E-2</v>
      </c>
    </row>
    <row r="20" spans="1:33" s="2046" customFormat="1" ht="18" customHeight="1">
      <c r="A20" s="1631" t="s">
        <v>1883</v>
      </c>
      <c r="B20" s="783" t="s">
        <v>666</v>
      </c>
      <c r="C20" s="53">
        <f ca="1">ROUND(C19*F20,0)</f>
        <v>387</v>
      </c>
      <c r="D20" s="811" t="s">
        <v>667</v>
      </c>
      <c r="E20" s="783" t="s">
        <v>649</v>
      </c>
      <c r="F20" s="808">
        <f>'数据-取费表'!B37</f>
        <v>0.02</v>
      </c>
      <c r="G20" s="1576"/>
      <c r="H20" s="1633" t="s">
        <v>1827</v>
      </c>
      <c r="I20" s="340" t="s">
        <v>668</v>
      </c>
      <c r="J20" s="54">
        <f ca="1">ROUND(M20*M21/10000,0)</f>
        <v>18</v>
      </c>
      <c r="K20" s="813" t="s">
        <v>669</v>
      </c>
      <c r="L20" s="783" t="s">
        <v>670</v>
      </c>
      <c r="M20" s="639">
        <f>'数据-取费表'!B52</f>
        <v>8</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671</v>
      </c>
      <c r="C21" s="53" t="s">
        <v>1</v>
      </c>
      <c r="D21" s="811" t="s">
        <v>2289</v>
      </c>
      <c r="E21" s="783" t="s">
        <v>673</v>
      </c>
      <c r="F21" s="808">
        <f>'数据-取费表'!B38</f>
        <v>0.02</v>
      </c>
      <c r="G21" s="1576"/>
      <c r="H21" s="2467"/>
      <c r="I21" s="792"/>
      <c r="J21" s="69"/>
      <c r="K21" s="815"/>
      <c r="L21" s="783" t="s">
        <v>674</v>
      </c>
      <c r="M21" s="784">
        <f ca="1">INDIRECT("'数据-取费表'!r"&amp;$G$1)</f>
        <v>22138.66</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675</v>
      </c>
      <c r="C22" s="53"/>
      <c r="D22" s="2533" t="str">
        <f>IF(F23&lt;=1,"单利计息。","复利计息。")&amp;"建造成本、管理费用、销售费用产生的利息。"</f>
        <v>复利计息。建造成本、管理费用、销售费用产生的利息。</v>
      </c>
      <c r="E22" s="3180"/>
      <c r="F22" s="56"/>
      <c r="G22" s="1575"/>
      <c r="H22" s="1631" t="s">
        <v>1883</v>
      </c>
      <c r="I22" s="783" t="s">
        <v>676</v>
      </c>
      <c r="J22" s="53">
        <f ca="1">ROUND(J14*M22,0)</f>
        <v>409</v>
      </c>
      <c r="K22" s="3174" t="s">
        <v>677</v>
      </c>
      <c r="L22" s="783" t="s">
        <v>649</v>
      </c>
      <c r="M22" s="816">
        <f ca="1">INDIRECT("'数据-取费表'!Ak"&amp;$G$1)</f>
        <v>1.4999999999999999E-2</v>
      </c>
    </row>
    <row r="23" spans="1:33" s="2046" customFormat="1" ht="18" customHeight="1">
      <c r="A23" s="1630" t="s">
        <v>1825</v>
      </c>
      <c r="B23" s="783" t="s">
        <v>2428</v>
      </c>
      <c r="C23" s="53">
        <f ca="1">ROUND(IF('数据-取费表'!B22&lt;=1,(C19+C20)*F24*F23/2,(C19+C20)*(POWER((1+F24),F23/2)-1)),0)</f>
        <v>1423</v>
      </c>
      <c r="D23" s="2532" t="str">
        <f>IF(F23&lt;=1,"(建造成本+管理费用)×利率×(建设周期÷2)","(建造成本+管理费用)×((1+利率)^(建设周期÷2)-1)")</f>
        <v>(建造成本+管理费用)×((1+利率)^(建设周期÷2)-1)</v>
      </c>
      <c r="E23" s="783" t="s">
        <v>678</v>
      </c>
      <c r="F23" s="639">
        <f>'数据-取费表'!B20</f>
        <v>3</v>
      </c>
      <c r="G23" s="1576"/>
      <c r="H23" s="1631" t="s">
        <v>1884</v>
      </c>
      <c r="I23" s="783" t="s">
        <v>679</v>
      </c>
      <c r="J23" s="53">
        <f ca="1">ROUND(J13*M23,0)</f>
        <v>0</v>
      </c>
      <c r="K23" s="3174" t="s">
        <v>680</v>
      </c>
      <c r="L23" s="783" t="s">
        <v>649</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681</v>
      </c>
      <c r="C24" s="53">
        <f ca="1">ROUND(IF('数据-取费表'!B22&lt;=1,F21*F24*F23/2,F21*(POWER((1+F24),F23/2)-1)),4)</f>
        <v>1.4E-3</v>
      </c>
      <c r="D24" s="2532" t="str">
        <f>IF(F23&lt;=1,"销售费用×利率×(建设周期÷2)","销售费用×((1+利率)^(建设周期÷2)-1)")</f>
        <v>销售费用×((1+利率)^(建设周期÷2)-1)</v>
      </c>
      <c r="E24" s="783" t="s">
        <v>682</v>
      </c>
      <c r="F24" s="818">
        <f ca="1">'数据-取费表'!B40</f>
        <v>4.7500000000000001E-2</v>
      </c>
      <c r="G24" s="1576"/>
      <c r="H24" s="2512" t="s">
        <v>1885</v>
      </c>
      <c r="I24" s="2507" t="s">
        <v>666</v>
      </c>
      <c r="J24" s="2505">
        <f ca="1">ROUND(J5*M24,0)</f>
        <v>0</v>
      </c>
      <c r="K24" s="2506" t="s">
        <v>683</v>
      </c>
      <c r="L24" s="2507" t="s">
        <v>649</v>
      </c>
      <c r="M24" s="2503">
        <f ca="1">INDIRECT("'数据-取费表'!Am"&amp;$G$1)</f>
        <v>1.4999999999999999E-2</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684</v>
      </c>
      <c r="C25" s="53"/>
      <c r="D25" s="260" t="s">
        <v>685</v>
      </c>
      <c r="E25" s="3180"/>
      <c r="F25" s="56"/>
      <c r="G25" s="1575"/>
      <c r="H25" s="1811" t="s">
        <v>1770</v>
      </c>
      <c r="I25" s="2842" t="s">
        <v>2812</v>
      </c>
      <c r="J25" s="791">
        <f ca="1">J5-J16</f>
        <v>-2716</v>
      </c>
      <c r="K25" s="2509" t="s">
        <v>700</v>
      </c>
      <c r="L25" s="2510"/>
      <c r="M25" s="2511"/>
    </row>
    <row r="26" spans="1:33" ht="18" customHeight="1">
      <c r="A26" s="1630" t="s">
        <v>1825</v>
      </c>
      <c r="B26" s="783" t="s">
        <v>2429</v>
      </c>
      <c r="C26" s="53">
        <f ca="1">ROUND((C19+C20)*F26,0)</f>
        <v>3947</v>
      </c>
      <c r="D26" s="811" t="s">
        <v>701</v>
      </c>
      <c r="E26" s="794" t="s">
        <v>702</v>
      </c>
      <c r="F26" s="793">
        <f ca="1">INDIRECT("'数据-取费表'!q"&amp;$G$1)</f>
        <v>0.2</v>
      </c>
      <c r="G26" s="1575"/>
      <c r="H26" s="2463" t="s">
        <v>1774</v>
      </c>
      <c r="I26" s="2214" t="s">
        <v>2817</v>
      </c>
      <c r="J26" s="782">
        <f ca="1">IF(J5&lt;&gt;0,ROUND(J25*(1-((1+M28)/(1+M26))^M27)/(M26-M28),0),0)</f>
        <v>0</v>
      </c>
      <c r="K26" s="813" t="s">
        <v>704</v>
      </c>
      <c r="L26" s="783" t="s">
        <v>2410</v>
      </c>
      <c r="M26" s="793">
        <f ca="1">INDIRECT("'数据-取费表'!I"&amp;$G$1)</f>
        <v>5.5E-2</v>
      </c>
    </row>
    <row r="27" spans="1:33" ht="18" customHeight="1">
      <c r="A27" s="1630" t="s">
        <v>1826</v>
      </c>
      <c r="B27" s="783" t="s">
        <v>686</v>
      </c>
      <c r="C27" s="53">
        <f ca="1">ROUND(F21*F26,4)</f>
        <v>4.0000000000000001E-3</v>
      </c>
      <c r="D27" s="811" t="s">
        <v>706</v>
      </c>
      <c r="E27" s="805"/>
      <c r="F27" s="806"/>
      <c r="G27" s="1575"/>
      <c r="H27" s="2464"/>
      <c r="I27" s="786"/>
      <c r="J27" s="787"/>
      <c r="K27" s="820" t="s">
        <v>707</v>
      </c>
      <c r="L27" s="783" t="s">
        <v>708</v>
      </c>
      <c r="M27" s="821">
        <f ca="1">INDIRECT("'数据-取费表'!ag"&amp;$G$1)</f>
        <v>0</v>
      </c>
    </row>
    <row r="28" spans="1:33" s="2046" customFormat="1" ht="18" customHeight="1">
      <c r="A28" s="1632" t="s">
        <v>1835</v>
      </c>
      <c r="B28" s="783" t="s">
        <v>687</v>
      </c>
      <c r="C28" s="53">
        <f>ROUND(F28/(1+'数据-取费表'!C42),4)</f>
        <v>5.33E-2</v>
      </c>
      <c r="D28" s="811" t="s">
        <v>2290</v>
      </c>
      <c r="E28" s="783" t="s">
        <v>649</v>
      </c>
      <c r="F28" s="808">
        <f>'数据-取费表'!B41</f>
        <v>5.6000000000000001E-2</v>
      </c>
      <c r="G28" s="1576"/>
      <c r="H28" s="1811"/>
      <c r="I28" s="790"/>
      <c r="J28" s="791"/>
      <c r="K28" s="815"/>
      <c r="L28" s="783" t="s">
        <v>710</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2291</v>
      </c>
      <c r="C29" s="2505">
        <f ca="1">ROUND((C19+C20+C23+C26)/(1-F21-C24-C27-C28),0)</f>
        <v>27250</v>
      </c>
      <c r="D29" s="2506"/>
      <c r="E29" s="2507"/>
      <c r="F29" s="2508"/>
      <c r="G29" s="1576"/>
      <c r="H29" s="822" t="s">
        <v>1781</v>
      </c>
      <c r="I29" s="823" t="s">
        <v>1782</v>
      </c>
      <c r="J29" s="824">
        <f ca="1">ROUND(J26/(1+F40)^F41,0)</f>
        <v>0</v>
      </c>
      <c r="K29" s="825" t="s">
        <v>688</v>
      </c>
      <c r="L29" s="826"/>
      <c r="M29" s="827">
        <f ca="1">INDIRECT("'数据-取费表'!k"&amp;$G$1)</f>
        <v>55077.55</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7</v>
      </c>
      <c r="B30" s="1809" t="s">
        <v>651</v>
      </c>
      <c r="C30" s="791">
        <f ca="1">ROUND(C31+C36+C37+C38,0)</f>
        <v>963</v>
      </c>
      <c r="D30" s="1803" t="s">
        <v>652</v>
      </c>
      <c r="E30" s="3177"/>
      <c r="F30" s="2452"/>
      <c r="G30" s="2044"/>
      <c r="H30" s="2047"/>
      <c r="I30" s="2048"/>
      <c r="J30" s="2049"/>
      <c r="K30" s="2050"/>
      <c r="L30" s="2051"/>
      <c r="M30" s="2052"/>
    </row>
    <row r="31" spans="1:33" ht="18" customHeight="1">
      <c r="A31" s="1631" t="s">
        <v>1818</v>
      </c>
      <c r="B31" s="783" t="s">
        <v>656</v>
      </c>
      <c r="C31" s="53">
        <f ca="1">ROUND(IF(项目基本情况!B11="自然人",C6*F31/(1+'数据-取费表'!C42),C32+C33+C34),1)</f>
        <v>472.6</v>
      </c>
      <c r="D31" s="3175" t="s">
        <v>657</v>
      </c>
      <c r="E31" s="3174" t="s">
        <v>690</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660</v>
      </c>
      <c r="C32" s="53">
        <f ca="1">ROUND(C6*F32/(1+'数据-取费表'!C42),1)</f>
        <v>144.69999999999999</v>
      </c>
      <c r="D32" s="3174" t="s">
        <v>661</v>
      </c>
      <c r="E32" s="783" t="s">
        <v>649</v>
      </c>
      <c r="F32" s="808">
        <f>'数据-取费表'!B41</f>
        <v>5.6000000000000001E-2</v>
      </c>
      <c r="G32" s="2044"/>
      <c r="H32" s="2053"/>
      <c r="I32" s="2054"/>
      <c r="J32" s="2055"/>
      <c r="K32" s="2056"/>
      <c r="L32" s="2057"/>
      <c r="M32" s="2058"/>
    </row>
    <row r="33" spans="1:18" ht="18" customHeight="1">
      <c r="A33" s="1630" t="s">
        <v>1826</v>
      </c>
      <c r="B33" s="783" t="s">
        <v>664</v>
      </c>
      <c r="C33" s="53">
        <f ca="1">IF(D33="按租金收入计税",ROUND(C6*F33/(1+'数据-取费表'!C42),1),IF(D33="按房产原值计税",ROUND(C29*F33*0.7,1),INDIRECT("'数据-取费表'!Aj"&amp;$G$1)))</f>
        <v>310.2</v>
      </c>
      <c r="D33" s="810" t="s">
        <v>3027</v>
      </c>
      <c r="E33" s="783" t="s">
        <v>649</v>
      </c>
      <c r="F33" s="808">
        <f>IF(D33="按租金收入计税",'数据-取费表'!B51,'数据-取费表'!B50)</f>
        <v>0.12</v>
      </c>
      <c r="G33" s="2044"/>
      <c r="H33" s="2059"/>
      <c r="I33" s="2059"/>
      <c r="J33" s="2059"/>
      <c r="K33" s="2060"/>
      <c r="L33" s="2059"/>
      <c r="M33" s="2059"/>
    </row>
    <row r="34" spans="1:18" ht="18" customHeight="1">
      <c r="A34" s="1633" t="s">
        <v>1827</v>
      </c>
      <c r="B34" s="340" t="s">
        <v>668</v>
      </c>
      <c r="C34" s="54">
        <f ca="1">ROUND(F34*F35/10000,1)</f>
        <v>17.7</v>
      </c>
      <c r="D34" s="813" t="s">
        <v>669</v>
      </c>
      <c r="E34" s="783" t="s">
        <v>670</v>
      </c>
      <c r="F34" s="639">
        <f>'数据-取费表'!B52</f>
        <v>8</v>
      </c>
      <c r="G34" s="2044"/>
      <c r="H34" s="2047"/>
      <c r="I34" s="834" t="s">
        <v>1807</v>
      </c>
      <c r="J34" s="835"/>
      <c r="K34" s="2062"/>
      <c r="L34" s="2061"/>
      <c r="M34" s="2061"/>
    </row>
    <row r="35" spans="1:18" ht="18" customHeight="1">
      <c r="A35" s="814"/>
      <c r="B35" s="792"/>
      <c r="C35" s="69"/>
      <c r="D35" s="815"/>
      <c r="E35" s="783" t="s">
        <v>674</v>
      </c>
      <c r="F35" s="784">
        <f ca="1">INDIRECT("'数据-取费表'!r"&amp;$G$1)</f>
        <v>22138.66</v>
      </c>
      <c r="G35" s="2044"/>
      <c r="H35" s="2047"/>
      <c r="I35" s="836" t="s">
        <v>1808</v>
      </c>
      <c r="J35" s="837">
        <f ca="1">ROUND(C13*J36,0)</f>
        <v>2180</v>
      </c>
      <c r="K35" s="2060"/>
      <c r="L35" s="2059"/>
      <c r="M35" s="2059"/>
    </row>
    <row r="36" spans="1:18" ht="18" customHeight="1">
      <c r="A36" s="1631" t="s">
        <v>1883</v>
      </c>
      <c r="B36" s="783" t="s">
        <v>676</v>
      </c>
      <c r="C36" s="53">
        <f ca="1">ROUND(C29*F36,1)</f>
        <v>408.8</v>
      </c>
      <c r="D36" s="3174" t="s">
        <v>691</v>
      </c>
      <c r="E36" s="783" t="s">
        <v>649</v>
      </c>
      <c r="F36" s="816">
        <f ca="1">INDIRECT("'数据-取费表'!Ak"&amp;$G$1)</f>
        <v>1.4999999999999999E-2</v>
      </c>
      <c r="G36" s="2044"/>
      <c r="H36" s="2059"/>
      <c r="I36" s="838" t="s">
        <v>1809</v>
      </c>
      <c r="J36" s="839">
        <f ca="1">INDIRECT("'数据-取费表'!j"&amp;$G$1)</f>
        <v>0.08</v>
      </c>
      <c r="K36" s="2064"/>
      <c r="L36" s="2059"/>
      <c r="M36" s="2059"/>
    </row>
    <row r="37" spans="1:18" ht="18" customHeight="1">
      <c r="A37" s="1631" t="s">
        <v>1884</v>
      </c>
      <c r="B37" s="783" t="s">
        <v>679</v>
      </c>
      <c r="C37" s="53">
        <f ca="1">ROUND(C13*F37,1)</f>
        <v>40.9</v>
      </c>
      <c r="D37" s="3174" t="s">
        <v>680</v>
      </c>
      <c r="E37" s="783" t="s">
        <v>649</v>
      </c>
      <c r="F37" s="817">
        <f ca="1">INDIRECT("'数据-取费表'!Al"&amp;$G$1)</f>
        <v>1.5E-3</v>
      </c>
      <c r="G37" s="2044"/>
      <c r="H37" s="2059"/>
      <c r="I37" s="840" t="s">
        <v>1810</v>
      </c>
      <c r="J37" s="841"/>
      <c r="K37" s="2064"/>
      <c r="L37" s="2059"/>
      <c r="M37" s="2059"/>
    </row>
    <row r="38" spans="1:18" ht="18" customHeight="1" thickBot="1">
      <c r="A38" s="2512" t="s">
        <v>1885</v>
      </c>
      <c r="B38" s="2507" t="s">
        <v>666</v>
      </c>
      <c r="C38" s="2505">
        <f ca="1">ROUND(C5*F38,1)</f>
        <v>40.799999999999997</v>
      </c>
      <c r="D38" s="2506" t="s">
        <v>683</v>
      </c>
      <c r="E38" s="2507" t="s">
        <v>649</v>
      </c>
      <c r="F38" s="2503">
        <f ca="1">INDIRECT("'数据-取费表'!Am"&amp;$G$1)</f>
        <v>1.4999999999999999E-2</v>
      </c>
      <c r="G38" s="2044"/>
      <c r="H38" s="2059"/>
      <c r="I38" s="842" t="s">
        <v>1811</v>
      </c>
      <c r="J38" s="843"/>
      <c r="K38" s="2065"/>
      <c r="L38" s="2059"/>
      <c r="M38" s="2059"/>
    </row>
    <row r="39" spans="1:18" ht="24.6" customHeight="1" thickTop="1">
      <c r="A39" s="1811" t="s">
        <v>1770</v>
      </c>
      <c r="B39" s="2842" t="s">
        <v>2812</v>
      </c>
      <c r="C39" s="791">
        <f ca="1">C5-C30</f>
        <v>1754</v>
      </c>
      <c r="D39" s="2509" t="s">
        <v>700</v>
      </c>
      <c r="E39" s="2510"/>
      <c r="F39" s="2511"/>
      <c r="G39" s="2044"/>
      <c r="H39" s="2059"/>
      <c r="I39" s="836" t="s">
        <v>1812</v>
      </c>
      <c r="J39" s="844">
        <f ca="1">ROUND(J35/C39,3)</f>
        <v>1.2430000000000001</v>
      </c>
      <c r="K39" s="2065"/>
      <c r="L39" s="2059"/>
      <c r="M39" s="2059"/>
    </row>
    <row r="40" spans="1:18" ht="18" customHeight="1">
      <c r="A40" s="780" t="s">
        <v>1774</v>
      </c>
      <c r="B40" s="2214" t="s">
        <v>2292</v>
      </c>
      <c r="C40" s="782">
        <f ca="1">ROUND(C39*(1-((1+F42)/(1+F40))^F41)/(F40-F42),0)</f>
        <v>44332</v>
      </c>
      <c r="D40" s="813" t="s">
        <v>704</v>
      </c>
      <c r="E40" s="783" t="s">
        <v>2410</v>
      </c>
      <c r="F40" s="793">
        <f ca="1">INDIRECT("'数据-取费表'!I"&amp;$G$1)</f>
        <v>5.5E-2</v>
      </c>
      <c r="G40" s="2044"/>
      <c r="H40" s="2044"/>
      <c r="I40" s="836" t="s">
        <v>1813</v>
      </c>
      <c r="J40" s="844">
        <f ca="1">1-J39</f>
        <v>-0.2430000000000001</v>
      </c>
      <c r="K40" s="2065"/>
      <c r="L40" s="2044"/>
      <c r="M40" s="2044"/>
    </row>
    <row r="41" spans="1:18" ht="18" customHeight="1">
      <c r="A41" s="785"/>
      <c r="B41" s="786"/>
      <c r="C41" s="787"/>
      <c r="D41" s="820" t="s">
        <v>1802</v>
      </c>
      <c r="E41" s="783" t="s">
        <v>708</v>
      </c>
      <c r="F41" s="821">
        <f ca="1">IF(INDIRECT("'数据-取费表'!af"&amp;$G$1)=0,INDIRECT("'数据-取费表'!ae"&amp;$G$1),INDIRECT("'数据-取费表'!af"&amp;$G$1))</f>
        <v>41.67</v>
      </c>
      <c r="G41" s="2044"/>
      <c r="H41" s="1970"/>
      <c r="I41" s="842" t="s">
        <v>1814</v>
      </c>
      <c r="J41" s="845"/>
      <c r="K41" s="2064"/>
      <c r="L41" s="1970"/>
      <c r="M41" s="1970"/>
    </row>
    <row r="42" spans="1:18" ht="18" customHeight="1">
      <c r="A42" s="789"/>
      <c r="B42" s="790"/>
      <c r="C42" s="791"/>
      <c r="D42" s="815"/>
      <c r="E42" s="783" t="s">
        <v>710</v>
      </c>
      <c r="F42" s="793">
        <f ca="1">INDIRECT("'数据-取费表'!v"&amp;$G$1)</f>
        <v>0.03</v>
      </c>
      <c r="G42" s="2044"/>
      <c r="H42" s="1970"/>
      <c r="I42" s="846" t="s">
        <v>1815</v>
      </c>
      <c r="J42" s="844">
        <f ca="1">ROUND(C13/C40,3)</f>
        <v>0.61499999999999999</v>
      </c>
      <c r="K42" s="2064"/>
      <c r="L42" s="1970"/>
      <c r="M42" s="1970"/>
    </row>
    <row r="43" spans="1:18" ht="18" customHeight="1" thickBot="1">
      <c r="A43" s="822" t="s">
        <v>1781</v>
      </c>
      <c r="B43" s="823" t="s">
        <v>1804</v>
      </c>
      <c r="C43" s="824">
        <f ca="1">ROUND(C40*10000/F43,0)</f>
        <v>8049</v>
      </c>
      <c r="D43" s="825" t="s">
        <v>1805</v>
      </c>
      <c r="E43" s="826" t="s">
        <v>1806</v>
      </c>
      <c r="F43" s="827">
        <f ca="1">INDIRECT("'数据-取费表'!k"&amp;$G$1)</f>
        <v>55077.55</v>
      </c>
      <c r="G43" s="2044"/>
      <c r="H43" s="1970"/>
      <c r="I43" s="846" t="s">
        <v>1816</v>
      </c>
      <c r="J43" s="847">
        <f ca="1">1-J42</f>
        <v>0.38500000000000001</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2286</v>
      </c>
      <c r="B46" s="2067"/>
      <c r="C46" s="2535">
        <f ca="1">C67-C40</f>
        <v>-51911</v>
      </c>
      <c r="D46" s="2067"/>
      <c r="E46" s="2067"/>
      <c r="F46" s="2067"/>
      <c r="I46" s="2339" t="s">
        <v>2334</v>
      </c>
      <c r="J46" s="2340"/>
      <c r="K46" s="2341"/>
      <c r="L46" s="2957" t="str">
        <f ca="1">IF(OR(M47="住宅",D1="土地（套用方法）"),0,IF(L48&gt;J51,L60,J60))</f>
        <v>0</v>
      </c>
      <c r="O46" s="2355" t="s">
        <v>2401</v>
      </c>
      <c r="P46" s="1575"/>
      <c r="Q46" s="1586"/>
      <c r="R46" s="1575"/>
    </row>
    <row r="47" spans="1:18" s="2041" customFormat="1" ht="18" customHeight="1" thickBot="1">
      <c r="A47" s="2333">
        <v>1</v>
      </c>
      <c r="B47" s="2334" t="s">
        <v>635</v>
      </c>
      <c r="C47" s="2535">
        <f ca="1">C48+C52+C54</f>
        <v>0</v>
      </c>
      <c r="D47" s="2067"/>
      <c r="E47" s="2067"/>
      <c r="F47" s="2067"/>
      <c r="I47" s="2948" t="s">
        <v>2335</v>
      </c>
      <c r="J47" s="2342" t="s">
        <v>3028</v>
      </c>
      <c r="K47" s="2954" t="s">
        <v>2340</v>
      </c>
      <c r="L47" s="2958">
        <f ca="1">INDIRECT("'数据-取费表'!d"&amp;$G$1)</f>
        <v>50</v>
      </c>
      <c r="M47" s="1586" t="str">
        <f>IF(ISNUMBER(FIND("住宅",C1)),"住宅","非住宅")</f>
        <v>非住宅</v>
      </c>
      <c r="O47" s="2356" t="s">
        <v>2366</v>
      </c>
      <c r="P47" s="2357" t="s">
        <v>2367</v>
      </c>
      <c r="Q47" s="2358" t="s">
        <v>2368</v>
      </c>
      <c r="R47" s="2357" t="s">
        <v>2369</v>
      </c>
    </row>
    <row r="48" spans="1:18" s="2041" customFormat="1" ht="18" customHeight="1" thickBot="1">
      <c r="A48" s="2603" t="s">
        <v>1864</v>
      </c>
      <c r="B48" s="2604" t="s">
        <v>2529</v>
      </c>
      <c r="C48" s="2335">
        <f ca="1">ROUND(F48*F50*F49*(1-F51)/10000,0)</f>
        <v>0</v>
      </c>
      <c r="D48" s="2336" t="s">
        <v>636</v>
      </c>
      <c r="E48" s="2337" t="s">
        <v>2287</v>
      </c>
      <c r="F48" s="2338"/>
      <c r="G48" s="2072"/>
      <c r="I48" s="2944" t="s">
        <v>2336</v>
      </c>
      <c r="J48" s="2343" t="s">
        <v>2341</v>
      </c>
      <c r="K48" s="2955" t="s">
        <v>2342</v>
      </c>
      <c r="L48" s="1890">
        <f ca="1">INDIRECT("'数据-取费表'!f"&amp;$G$1)</f>
        <v>41.67</v>
      </c>
      <c r="O48" s="2359" t="s">
        <v>2370</v>
      </c>
      <c r="P48" s="2360" t="s">
        <v>2396</v>
      </c>
      <c r="Q48" s="2361">
        <f ca="1">C40+J29</f>
        <v>44332</v>
      </c>
      <c r="R48" s="2360" t="s">
        <v>2371</v>
      </c>
    </row>
    <row r="49" spans="1:18" s="2041" customFormat="1" ht="18" customHeight="1" thickBot="1">
      <c r="A49" s="785"/>
      <c r="B49" s="786"/>
      <c r="C49" s="787"/>
      <c r="D49" s="788"/>
      <c r="E49" s="783" t="s">
        <v>638</v>
      </c>
      <c r="F49" s="784">
        <f ca="1">F7</f>
        <v>55077.55</v>
      </c>
      <c r="G49" s="2072"/>
      <c r="H49" s="2075"/>
      <c r="I49" s="2944" t="s">
        <v>2337</v>
      </c>
      <c r="J49" s="2344"/>
      <c r="K49" s="2956" t="s">
        <v>2343</v>
      </c>
      <c r="L49" s="2345"/>
      <c r="O49" s="2359" t="s">
        <v>2372</v>
      </c>
      <c r="P49" s="2360" t="s">
        <v>2397</v>
      </c>
      <c r="Q49" s="2361" t="str">
        <f ca="1">J60</f>
        <v>0</v>
      </c>
      <c r="R49" s="2360" t="s">
        <v>2373</v>
      </c>
    </row>
    <row r="50" spans="1:18" s="2041" customFormat="1" ht="18" customHeight="1" thickBot="1">
      <c r="A50" s="785"/>
      <c r="B50" s="786"/>
      <c r="C50" s="787"/>
      <c r="D50" s="788"/>
      <c r="E50" s="783" t="s">
        <v>639</v>
      </c>
      <c r="F50" s="784">
        <f ca="1">F8</f>
        <v>365</v>
      </c>
      <c r="G50" s="2077"/>
      <c r="H50" s="2075"/>
      <c r="I50" s="2944" t="s">
        <v>2338</v>
      </c>
      <c r="J50" s="2952">
        <f>SUMPRODUCT((I63:I65=J47)*(J62:L62=J48)*(J63:L65))</f>
        <v>60</v>
      </c>
      <c r="K50" s="2956" t="s">
        <v>2344</v>
      </c>
      <c r="L50" s="2345"/>
      <c r="O50" s="2362" t="s">
        <v>2374</v>
      </c>
      <c r="P50" s="2360" t="s">
        <v>2398</v>
      </c>
      <c r="Q50" s="2361">
        <f ca="1">C29</f>
        <v>27250</v>
      </c>
      <c r="R50" s="2360" t="s">
        <v>2371</v>
      </c>
    </row>
    <row r="51" spans="1:18" s="2041" customFormat="1" ht="18" customHeight="1" thickBot="1">
      <c r="A51" s="785"/>
      <c r="B51" s="786"/>
      <c r="C51" s="787"/>
      <c r="D51" s="788"/>
      <c r="E51" s="783" t="s">
        <v>640</v>
      </c>
      <c r="F51" s="2332"/>
      <c r="H51" s="2075"/>
      <c r="I51" s="2949" t="s">
        <v>2339</v>
      </c>
      <c r="J51" s="2953">
        <f>IF(J49="",J50,J49+J50-YEAR('数据-取费表'!B2))</f>
        <v>60</v>
      </c>
      <c r="K51" s="2944" t="s">
        <v>2345</v>
      </c>
      <c r="L51" s="2959">
        <f ca="1">ROUND(-PV(INDIRECT("'数据-取费表'!h"&amp;$G$1),J51,(C39-C13*J36),0),0)</f>
        <v>-8064</v>
      </c>
      <c r="O51" s="2362" t="s">
        <v>2375</v>
      </c>
      <c r="P51" s="2360" t="s">
        <v>2376</v>
      </c>
      <c r="Q51" s="2363" t="e">
        <f ca="1">J58</f>
        <v>#VALUE!</v>
      </c>
      <c r="R51" s="2364"/>
    </row>
    <row r="52" spans="1:18" s="2041" customFormat="1" ht="18" customHeight="1" thickBot="1">
      <c r="A52" s="780" t="s">
        <v>2527</v>
      </c>
      <c r="B52" s="2455" t="s">
        <v>2450</v>
      </c>
      <c r="C52" s="798">
        <f ca="1">ROUND(IF(F52="押一",C48/12*F11,IF(F52="押二",C48/12*2*F11,IF(F52="押三",C48/12*3*F11,C53*F11))),0)</f>
        <v>0</v>
      </c>
      <c r="D52" s="2462" t="s">
        <v>2963</v>
      </c>
      <c r="E52" s="2459" t="s">
        <v>2455</v>
      </c>
      <c r="F52" s="2582"/>
      <c r="I52" s="2950" t="s">
        <v>2412</v>
      </c>
      <c r="J52" s="2346"/>
      <c r="K52" s="2950" t="s">
        <v>2411</v>
      </c>
      <c r="L52" s="2346"/>
      <c r="O52" s="2362" t="s">
        <v>2377</v>
      </c>
      <c r="P52" s="2360" t="s">
        <v>2378</v>
      </c>
      <c r="Q52" s="2363">
        <f>J52</f>
        <v>0</v>
      </c>
      <c r="R52" s="2364"/>
    </row>
    <row r="53" spans="1:18" s="2041" customFormat="1" ht="39.75" customHeight="1" thickBot="1">
      <c r="A53" s="785"/>
      <c r="B53" s="2456" t="s">
        <v>2564</v>
      </c>
      <c r="C53" s="2460"/>
      <c r="D53" s="2462"/>
      <c r="E53" s="2459"/>
      <c r="F53" s="799"/>
      <c r="I53" s="2951" t="s">
        <v>2967</v>
      </c>
      <c r="J53" s="3028">
        <f ca="1">IF(M47="住宅",IF(D1="——",MAX(J51,L48),MAX(J51,L48-'数据-取费表'!B20)),IF(D1="——",MIN(J51,L48),MIN(J51,L48-'数据-取费表'!B20)))</f>
        <v>41.67</v>
      </c>
      <c r="K53" s="3520" t="s">
        <v>2955</v>
      </c>
      <c r="L53" s="3521"/>
      <c r="O53" s="2362" t="s">
        <v>2379</v>
      </c>
      <c r="P53" s="2360" t="s">
        <v>2380</v>
      </c>
      <c r="Q53" s="2361">
        <f ca="1">J53</f>
        <v>41.67</v>
      </c>
      <c r="R53" s="2360" t="s">
        <v>2381</v>
      </c>
    </row>
    <row r="54" spans="1:18" s="2041" customFormat="1" ht="18" customHeight="1" thickBot="1">
      <c r="A54" s="2498" t="s">
        <v>2458</v>
      </c>
      <c r="B54" s="2499" t="s">
        <v>2451</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2382</v>
      </c>
      <c r="P54" s="2360" t="s">
        <v>2399</v>
      </c>
      <c r="Q54" s="2361">
        <f ca="1">Q48+Q49</f>
        <v>44332</v>
      </c>
      <c r="R54" s="2364" t="s">
        <v>2383</v>
      </c>
    </row>
    <row r="55" spans="1:18" s="2041" customFormat="1" ht="18" customHeight="1" thickTop="1" thickBot="1">
      <c r="A55" s="796">
        <v>2</v>
      </c>
      <c r="B55" s="797" t="s">
        <v>644</v>
      </c>
      <c r="C55" s="798">
        <f ca="1">C13</f>
        <v>27250</v>
      </c>
      <c r="D55" s="794"/>
      <c r="E55" s="794"/>
      <c r="F55" s="799"/>
      <c r="I55" s="2962" t="s">
        <v>2346</v>
      </c>
      <c r="J55" s="2927" t="e">
        <f ca="1">ROUND(IF(J47="钢混",J57/J50,1-(1-2%)*(J50-J57)/J50),3)</f>
        <v>#VALUE!</v>
      </c>
      <c r="K55" s="2963" t="s">
        <v>2347</v>
      </c>
      <c r="L55" s="2347"/>
      <c r="O55" s="2365" t="s">
        <v>2402</v>
      </c>
      <c r="P55" s="1575"/>
      <c r="Q55" s="1586"/>
      <c r="R55" s="1575"/>
    </row>
    <row r="56" spans="1:18" s="2041" customFormat="1" ht="42.75" customHeight="1" thickBot="1">
      <c r="A56" s="1632"/>
      <c r="B56" s="2213" t="s">
        <v>2291</v>
      </c>
      <c r="C56" s="53">
        <f ca="1">C29</f>
        <v>27250</v>
      </c>
      <c r="D56" s="3174"/>
      <c r="E56" s="783"/>
      <c r="F56" s="808"/>
      <c r="I56" s="2964" t="s">
        <v>2348</v>
      </c>
      <c r="J56" s="2974" t="s">
        <v>1675</v>
      </c>
      <c r="K56" s="2944" t="s">
        <v>2353</v>
      </c>
      <c r="L56" s="1890" t="str">
        <f ca="1">IF(L48&lt;J51,"——",L48-J51)</f>
        <v>——</v>
      </c>
      <c r="O56" s="2356" t="s">
        <v>2366</v>
      </c>
      <c r="P56" s="2357" t="s">
        <v>2367</v>
      </c>
      <c r="Q56" s="2358" t="s">
        <v>2368</v>
      </c>
      <c r="R56" s="2357" t="s">
        <v>2369</v>
      </c>
    </row>
    <row r="57" spans="1:18" s="2041" customFormat="1" ht="28.5" customHeight="1" thickBot="1">
      <c r="A57" s="796" t="s">
        <v>7</v>
      </c>
      <c r="B57" s="797" t="s">
        <v>651</v>
      </c>
      <c r="C57" s="798">
        <f ca="1">ROUND(C58+C63+C64+C65,0)</f>
        <v>467</v>
      </c>
      <c r="D57" s="26" t="s">
        <v>652</v>
      </c>
      <c r="E57" s="3180"/>
      <c r="F57" s="56"/>
      <c r="I57" s="2965" t="s">
        <v>2349</v>
      </c>
      <c r="J57" s="2966" t="str">
        <f ca="1">IF(OR(M47="住宅",J51&lt;L48,J56="是"),"——",J51-L48)</f>
        <v>——</v>
      </c>
      <c r="K57" s="2944" t="s">
        <v>2354</v>
      </c>
      <c r="L57" s="1890" t="str">
        <f ca="1">IF(L48&lt;J51,"——",IF(L55="比较法",L49,IF(L55="基准地价",L50,L51)))</f>
        <v>——</v>
      </c>
      <c r="O57" s="2359" t="s">
        <v>2370</v>
      </c>
      <c r="P57" s="2360" t="s">
        <v>2396</v>
      </c>
      <c r="Q57" s="2361">
        <f ca="1">C40+J29</f>
        <v>44332</v>
      </c>
      <c r="R57" s="2360" t="s">
        <v>2371</v>
      </c>
    </row>
    <row r="58" spans="1:18" s="2041" customFormat="1" ht="28.5" customHeight="1" thickBot="1">
      <c r="A58" s="1631" t="s">
        <v>1818</v>
      </c>
      <c r="B58" s="783" t="s">
        <v>656</v>
      </c>
      <c r="C58" s="53">
        <f ca="1">ROUND(IF(项目基本情况!B11="自然人",C47*F58,C59+C60+C61),1)</f>
        <v>17.7</v>
      </c>
      <c r="D58" s="3175" t="s">
        <v>657</v>
      </c>
      <c r="E58" s="3174" t="s">
        <v>690</v>
      </c>
      <c r="F58" s="809" t="str">
        <f ca="1">IF(项目基本情况!B11="企业","",IF(INDIRECT("'数据-取费表'!c"&amp;$G$1)="住宅",5%,IF(F48*F49*F50/12/(1+'数据-取费表'!C42)&gt;20000,12%,7%)))</f>
        <v/>
      </c>
      <c r="I58" s="2965" t="s">
        <v>2350</v>
      </c>
      <c r="J58" s="2928" t="e">
        <f ca="1">IF(J55&lt;0.4,0.4,J55)</f>
        <v>#VALUE!</v>
      </c>
      <c r="K58" s="2944" t="s">
        <v>2355</v>
      </c>
      <c r="L58" s="1890" t="e">
        <f ca="1">ROUND(POWER(1+L52,L47-L48)*(POWER(1+L52,L48)-1)/(POWER(1+L52,L47)-1),4)</f>
        <v>#DIV/0!</v>
      </c>
      <c r="O58" s="2359" t="s">
        <v>2372</v>
      </c>
      <c r="P58" s="2360" t="s">
        <v>2403</v>
      </c>
      <c r="Q58" s="2361">
        <f ca="1">L60</f>
        <v>0</v>
      </c>
      <c r="R58" s="2364" t="s">
        <v>2405</v>
      </c>
    </row>
    <row r="59" spans="1:18" s="2041" customFormat="1" ht="28.5" customHeight="1" thickBot="1">
      <c r="A59" s="1630" t="s">
        <v>1825</v>
      </c>
      <c r="B59" s="783" t="s">
        <v>660</v>
      </c>
      <c r="C59" s="53">
        <f ca="1">ROUND(C47*F59/1.05,1)</f>
        <v>0</v>
      </c>
      <c r="D59" s="3174" t="s">
        <v>661</v>
      </c>
      <c r="E59" s="783" t="s">
        <v>649</v>
      </c>
      <c r="F59" s="808">
        <f t="shared" ref="F59:F65" si="0">F32</f>
        <v>5.6000000000000001E-2</v>
      </c>
      <c r="I59" s="2965" t="s">
        <v>2351</v>
      </c>
      <c r="J59" s="2966" t="str">
        <f ca="1">IF(OR(M47="住宅",J51&lt;L48,J56="是"),"——",ROUND(C29*J58,0))</f>
        <v>——</v>
      </c>
      <c r="K59" s="2944"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#DIV/0!</v>
      </c>
      <c r="O59" s="2362" t="s">
        <v>2374</v>
      </c>
      <c r="P59" s="2360" t="s">
        <v>2404</v>
      </c>
      <c r="Q59" s="2361">
        <f>IF(L55="比较法",L49,IF(L55="基准地价",L50,0))</f>
        <v>0</v>
      </c>
      <c r="R59" s="2360" t="s">
        <v>2371</v>
      </c>
    </row>
    <row r="60" spans="1:18" s="2041" customFormat="1" ht="18" customHeight="1" thickBot="1">
      <c r="A60" s="1630" t="s">
        <v>1826</v>
      </c>
      <c r="B60" s="783" t="s">
        <v>664</v>
      </c>
      <c r="C60" s="53">
        <f ca="1">IF(D60="按租金收入计税",ROUND(C47*F60,1),IF(D60="按房产原值计税",ROUND(C56*F60*0.7,1),INDIRECT("'数据-取费表'!Aj"&amp;$G$1)))</f>
        <v>0</v>
      </c>
      <c r="D60" s="3174" t="str">
        <f>D33</f>
        <v>按租金收入计税</v>
      </c>
      <c r="E60" s="783" t="s">
        <v>649</v>
      </c>
      <c r="F60" s="808">
        <f t="shared" si="0"/>
        <v>0.12</v>
      </c>
      <c r="I60" s="2967" t="s">
        <v>2352</v>
      </c>
      <c r="J60" s="2968" t="str">
        <f ca="1">IF(OR(M47="住宅",J51&lt;L48,J56="是"),"0",ROUND(J59/(1+J52)^J53,0))</f>
        <v>0</v>
      </c>
      <c r="K60" s="2969" t="s">
        <v>2357</v>
      </c>
      <c r="L60" s="2968">
        <f ca="1">IF(OR(M47="住宅",L48&lt;J51),0,ROUND(L57*(L58/L59-1),0))</f>
        <v>0</v>
      </c>
      <c r="O60" s="2362" t="s">
        <v>2375</v>
      </c>
      <c r="P60" s="2360" t="s">
        <v>2384</v>
      </c>
      <c r="Q60" s="2363">
        <f>L52</f>
        <v>0</v>
      </c>
      <c r="R60" s="2364"/>
    </row>
    <row r="61" spans="1:18" s="2041" customFormat="1" ht="18" customHeight="1" thickBot="1">
      <c r="A61" s="1633" t="s">
        <v>1827</v>
      </c>
      <c r="B61" s="340" t="s">
        <v>668</v>
      </c>
      <c r="C61" s="54">
        <f ca="1">ROUND(F61*F62/10000,1)</f>
        <v>17.7</v>
      </c>
      <c r="D61" s="813" t="s">
        <v>669</v>
      </c>
      <c r="E61" s="783" t="s">
        <v>670</v>
      </c>
      <c r="F61" s="639">
        <f t="shared" si="0"/>
        <v>8</v>
      </c>
      <c r="K61" s="2068"/>
      <c r="O61" s="2362" t="s">
        <v>2377</v>
      </c>
      <c r="P61" s="2360" t="s">
        <v>2385</v>
      </c>
      <c r="Q61" s="2361" t="e">
        <f ca="1">L58</f>
        <v>#DIV/0!</v>
      </c>
      <c r="R61" s="2364" t="s">
        <v>2386</v>
      </c>
    </row>
    <row r="62" spans="1:18" s="2041" customFormat="1" ht="15.75" thickBot="1">
      <c r="A62" s="814"/>
      <c r="B62" s="792"/>
      <c r="C62" s="69"/>
      <c r="D62" s="815"/>
      <c r="E62" s="783" t="s">
        <v>674</v>
      </c>
      <c r="F62" s="784">
        <f t="shared" ca="1" si="0"/>
        <v>22138.66</v>
      </c>
      <c r="I62" s="2970" t="s">
        <v>2358</v>
      </c>
      <c r="J62" s="2971" t="s">
        <v>2359</v>
      </c>
      <c r="K62" s="2971" t="s">
        <v>2360</v>
      </c>
      <c r="L62" s="2971" t="s">
        <v>2341</v>
      </c>
      <c r="M62" s="2972" t="s">
        <v>2932</v>
      </c>
      <c r="O62" s="2362" t="s">
        <v>2379</v>
      </c>
      <c r="P62" s="2360" t="str">
        <f>K59</f>
        <v>建筑物剩余耐用年限下的土地年期修正系数Kn</v>
      </c>
      <c r="Q62" s="2361" t="e">
        <f ca="1">L59</f>
        <v>#DIV/0!</v>
      </c>
      <c r="R62" s="2364" t="s">
        <v>2388</v>
      </c>
    </row>
    <row r="63" spans="1:18" s="2041" customFormat="1" ht="15.75" thickBot="1">
      <c r="A63" s="1631" t="s">
        <v>1883</v>
      </c>
      <c r="B63" s="783" t="s">
        <v>676</v>
      </c>
      <c r="C63" s="53">
        <f ca="1">ROUND(C56*F63,1)</f>
        <v>408.8</v>
      </c>
      <c r="D63" s="3174" t="s">
        <v>691</v>
      </c>
      <c r="E63" s="783" t="s">
        <v>649</v>
      </c>
      <c r="F63" s="816">
        <f t="shared" ca="1" si="0"/>
        <v>1.4999999999999999E-2</v>
      </c>
      <c r="I63" s="2970" t="s">
        <v>2361</v>
      </c>
      <c r="J63" s="2971">
        <v>70</v>
      </c>
      <c r="K63" s="2971">
        <v>50</v>
      </c>
      <c r="L63" s="2971">
        <v>80</v>
      </c>
      <c r="M63" s="2973">
        <v>0.02</v>
      </c>
      <c r="O63" s="2359" t="s">
        <v>2382</v>
      </c>
      <c r="P63" s="2360" t="s">
        <v>2399</v>
      </c>
      <c r="Q63" s="2361">
        <f ca="1">Q57+Q58</f>
        <v>44332</v>
      </c>
      <c r="R63" s="2364" t="s">
        <v>2383</v>
      </c>
    </row>
    <row r="64" spans="1:18" s="2041" customFormat="1" ht="16.5" thickBot="1">
      <c r="A64" s="1631" t="s">
        <v>1884</v>
      </c>
      <c r="B64" s="783" t="s">
        <v>679</v>
      </c>
      <c r="C64" s="53">
        <f ca="1">ROUND(C55*F64,1)</f>
        <v>40.9</v>
      </c>
      <c r="D64" s="3174" t="s">
        <v>680</v>
      </c>
      <c r="E64" s="783" t="s">
        <v>649</v>
      </c>
      <c r="F64" s="817">
        <f t="shared" ca="1" si="0"/>
        <v>1.5E-3</v>
      </c>
      <c r="I64" s="2970" t="s">
        <v>2362</v>
      </c>
      <c r="J64" s="2971">
        <v>50</v>
      </c>
      <c r="K64" s="2971">
        <v>35</v>
      </c>
      <c r="L64" s="2971">
        <v>60</v>
      </c>
      <c r="M64" s="845">
        <v>0</v>
      </c>
      <c r="O64" s="2365" t="s">
        <v>2406</v>
      </c>
      <c r="P64" s="1575"/>
      <c r="Q64" s="1586"/>
      <c r="R64" s="1575"/>
    </row>
    <row r="65" spans="1:18" s="2041" customFormat="1" ht="15.75" thickBot="1">
      <c r="A65" s="1631" t="s">
        <v>1885</v>
      </c>
      <c r="B65" s="783" t="s">
        <v>666</v>
      </c>
      <c r="C65" s="53">
        <f ca="1">ROUND(C47*F65,1)</f>
        <v>0</v>
      </c>
      <c r="D65" s="3174" t="s">
        <v>683</v>
      </c>
      <c r="E65" s="783" t="s">
        <v>649</v>
      </c>
      <c r="F65" s="793">
        <f t="shared" ca="1" si="0"/>
        <v>1.4999999999999999E-2</v>
      </c>
      <c r="I65" s="2970" t="s">
        <v>2363</v>
      </c>
      <c r="J65" s="2971">
        <v>40</v>
      </c>
      <c r="K65" s="2971">
        <v>30</v>
      </c>
      <c r="L65" s="2971">
        <v>50</v>
      </c>
      <c r="M65" s="2973">
        <v>0.02</v>
      </c>
      <c r="O65" s="2356" t="s">
        <v>2366</v>
      </c>
      <c r="P65" s="2357" t="s">
        <v>2367</v>
      </c>
      <c r="Q65" s="2358" t="s">
        <v>2368</v>
      </c>
      <c r="R65" s="2357" t="s">
        <v>2369</v>
      </c>
    </row>
    <row r="66" spans="1:18" s="2041" customFormat="1" ht="24.75" thickBot="1">
      <c r="A66" s="796" t="s">
        <v>1770</v>
      </c>
      <c r="B66" s="2843" t="s">
        <v>2812</v>
      </c>
      <c r="C66" s="798">
        <f ca="1">C47-C57</f>
        <v>-467</v>
      </c>
      <c r="D66" s="3175" t="s">
        <v>700</v>
      </c>
      <c r="E66" s="3178"/>
      <c r="F66" s="819"/>
      <c r="K66" s="2068"/>
      <c r="O66" s="2359" t="s">
        <v>2370</v>
      </c>
      <c r="P66" s="2360" t="s">
        <v>2396</v>
      </c>
      <c r="Q66" s="2361">
        <f ca="1">C40+J29</f>
        <v>44332</v>
      </c>
      <c r="R66" s="2360" t="s">
        <v>2371</v>
      </c>
    </row>
    <row r="67" spans="1:18" s="2041" customFormat="1" ht="20.25" thickBot="1">
      <c r="A67" s="780" t="s">
        <v>1774</v>
      </c>
      <c r="B67" s="2214" t="s">
        <v>2292</v>
      </c>
      <c r="C67" s="782">
        <f ca="1">ROUND(C66*(1-((1+F69)/(1+F67))^F68)/(F67-F69),0)</f>
        <v>-7579</v>
      </c>
      <c r="D67" s="813" t="s">
        <v>704</v>
      </c>
      <c r="E67" s="783" t="s">
        <v>705</v>
      </c>
      <c r="F67" s="793">
        <f ca="1">F40</f>
        <v>5.5E-2</v>
      </c>
      <c r="K67" s="2068"/>
      <c r="O67" s="2359" t="s">
        <v>2372</v>
      </c>
      <c r="P67" s="2360" t="s">
        <v>2403</v>
      </c>
      <c r="Q67" s="2361">
        <f ca="1">L60</f>
        <v>0</v>
      </c>
      <c r="R67" s="2364" t="s">
        <v>2405</v>
      </c>
    </row>
    <row r="68" spans="1:18" ht="21.75" thickBot="1">
      <c r="A68" s="785"/>
      <c r="B68" s="786"/>
      <c r="C68" s="787"/>
      <c r="D68" s="820" t="s">
        <v>1802</v>
      </c>
      <c r="E68" s="783" t="s">
        <v>708</v>
      </c>
      <c r="F68" s="821">
        <f ca="1">F41</f>
        <v>41.67</v>
      </c>
      <c r="O68" s="2362" t="s">
        <v>2374</v>
      </c>
      <c r="P68" s="2360" t="s">
        <v>2404</v>
      </c>
      <c r="Q68" s="2366">
        <f ca="1">L51</f>
        <v>-8064</v>
      </c>
      <c r="R68" s="2367" t="s">
        <v>2407</v>
      </c>
    </row>
    <row r="69" spans="1:18" ht="20.25" thickBot="1">
      <c r="A69" s="789"/>
      <c r="B69" s="790"/>
      <c r="C69" s="791"/>
      <c r="D69" s="815"/>
      <c r="E69" s="783" t="s">
        <v>710</v>
      </c>
      <c r="F69" s="2332"/>
      <c r="O69" s="2362" t="s">
        <v>2375</v>
      </c>
      <c r="P69" s="2368" t="s">
        <v>2389</v>
      </c>
      <c r="Q69" s="2361">
        <f ca="1">ROUND(Q70-Q71*Q72,0)</f>
        <v>-426</v>
      </c>
      <c r="R69" s="2364"/>
    </row>
    <row r="70" spans="1:18" ht="15.75" thickBot="1">
      <c r="A70" s="822" t="s">
        <v>1781</v>
      </c>
      <c r="B70" s="823" t="s">
        <v>1804</v>
      </c>
      <c r="C70" s="824">
        <f ca="1">ROUND(C67*10000/F70,0)</f>
        <v>-1376</v>
      </c>
      <c r="D70" s="825" t="s">
        <v>1805</v>
      </c>
      <c r="E70" s="826" t="s">
        <v>1806</v>
      </c>
      <c r="F70" s="827">
        <f ca="1">F43</f>
        <v>55077.55</v>
      </c>
      <c r="O70" s="2362" t="s">
        <v>2390</v>
      </c>
      <c r="P70" s="2368" t="s">
        <v>2391</v>
      </c>
      <c r="Q70" s="2361">
        <f ca="1">C39</f>
        <v>1754</v>
      </c>
      <c r="R70" s="2360" t="s">
        <v>2371</v>
      </c>
    </row>
    <row r="71" spans="1:18" ht="15.75" thickBot="1">
      <c r="O71" s="2362" t="s">
        <v>2392</v>
      </c>
      <c r="P71" s="2368" t="s">
        <v>2393</v>
      </c>
      <c r="Q71" s="2361">
        <f ca="1">C13</f>
        <v>27250</v>
      </c>
      <c r="R71" s="2360" t="s">
        <v>2371</v>
      </c>
    </row>
    <row r="72" spans="1:18" ht="15.75" thickBot="1">
      <c r="O72" s="2362" t="s">
        <v>2394</v>
      </c>
      <c r="P72" s="2368" t="s">
        <v>2395</v>
      </c>
      <c r="Q72" s="2363">
        <f ca="1">J36</f>
        <v>0.08</v>
      </c>
      <c r="R72" s="2364"/>
    </row>
    <row r="73" spans="1:18" ht="15.75" thickBot="1">
      <c r="O73" s="2362" t="s">
        <v>2377</v>
      </c>
      <c r="P73" s="2360" t="s">
        <v>2384</v>
      </c>
      <c r="Q73" s="2363">
        <f>L52</f>
        <v>0</v>
      </c>
      <c r="R73" s="2364"/>
    </row>
    <row r="74" spans="1:18" ht="20.25" thickBot="1">
      <c r="O74" s="2362" t="s">
        <v>2379</v>
      </c>
      <c r="P74" s="2360" t="s">
        <v>2385</v>
      </c>
      <c r="Q74" s="2361" t="e">
        <f ca="1">L58</f>
        <v>#DIV/0!</v>
      </c>
      <c r="R74" s="2364" t="s">
        <v>2386</v>
      </c>
    </row>
    <row r="75" spans="1:18" ht="15.75" thickBot="1">
      <c r="O75" s="2362" t="s">
        <v>2408</v>
      </c>
      <c r="P75" s="2360" t="str">
        <f>K59</f>
        <v>建筑物剩余耐用年限下的土地年期修正系数Kn</v>
      </c>
      <c r="Q75" s="2361" t="e">
        <f ca="1">L59</f>
        <v>#DIV/0!</v>
      </c>
      <c r="R75" s="2364" t="s">
        <v>2388</v>
      </c>
    </row>
    <row r="76" spans="1:18" ht="15.75" thickBot="1">
      <c r="O76" s="2359" t="s">
        <v>2382</v>
      </c>
      <c r="P76" s="2360" t="s">
        <v>2399</v>
      </c>
      <c r="Q76" s="2361">
        <f ca="1">Q66+Q67</f>
        <v>44332</v>
      </c>
      <c r="R76" s="2364" t="s">
        <v>2383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44" priority="6">
      <formula>$L$48&gt;$J$51</formula>
    </cfRule>
  </conditionalFormatting>
  <conditionalFormatting sqref="I55">
    <cfRule type="expression" dxfId="43" priority="7">
      <formula>$J$51&gt;$L$48</formula>
    </cfRule>
  </conditionalFormatting>
  <conditionalFormatting sqref="I60">
    <cfRule type="expression" dxfId="42" priority="5">
      <formula>$J$51&gt;$L$48</formula>
    </cfRule>
  </conditionalFormatting>
  <conditionalFormatting sqref="K60">
    <cfRule type="expression" dxfId="41" priority="4">
      <formula>$L$48&gt;$J$51</formula>
    </cfRule>
  </conditionalFormatting>
  <conditionalFormatting sqref="C11">
    <cfRule type="expression" dxfId="40" priority="3">
      <formula>$F$10="自定义"</formula>
    </cfRule>
  </conditionalFormatting>
  <conditionalFormatting sqref="J11">
    <cfRule type="expression" dxfId="39" priority="2">
      <formula>$M$10="自定义"</formula>
    </cfRule>
  </conditionalFormatting>
  <conditionalFormatting sqref="C53">
    <cfRule type="expression" dxfId="38" priority="1">
      <formula>$F$52="自定义"</formula>
    </cfRule>
  </conditionalFormatting>
  <dataValidations count="8">
    <dataValidation type="list" allowBlank="1" showInputMessage="1" showErrorMessage="1" sqref="C1:C3" xr:uid="{00000000-0002-0000-2800-000000000000}">
      <formula1>项目类型</formula1>
    </dataValidation>
    <dataValidation type="list" allowBlank="1" showInputMessage="1" showErrorMessage="1" sqref="K19" xr:uid="{00000000-0002-0000-2800-000001000000}">
      <formula1>"按租金收入计税,按房产原值计税"</formula1>
    </dataValidation>
    <dataValidation type="list" allowBlank="1" showInputMessage="1" showErrorMessage="1" sqref="D33" xr:uid="{00000000-0002-0000-2800-000002000000}">
      <formula1>"按租金收入计税,按房产原值计税,按票据"</formula1>
    </dataValidation>
    <dataValidation type="list" allowBlank="1" showInputMessage="1" showErrorMessage="1" sqref="J56" xr:uid="{00000000-0002-0000-2800-000003000000}">
      <formula1>判定</formula1>
    </dataValidation>
    <dataValidation type="list" allowBlank="1" showInputMessage="1" showErrorMessage="1" sqref="J47" xr:uid="{00000000-0002-0000-2800-000004000000}">
      <formula1>"钢,钢混,砖混"</formula1>
    </dataValidation>
    <dataValidation type="list" allowBlank="1" showInputMessage="1" showErrorMessage="1" sqref="J48" xr:uid="{00000000-0002-0000-2800-000005000000}">
      <formula1>"非生产用房,生产用房,受腐蚀的生产用房"</formula1>
    </dataValidation>
    <dataValidation type="list" allowBlank="1" showInputMessage="1" showErrorMessage="1" sqref="F10 M10 F52" xr:uid="{00000000-0002-0000-2800-000006000000}">
      <formula1>"押一,押二,押三,自定义"</formula1>
    </dataValidation>
    <dataValidation type="list" allowBlank="1" showInputMessage="1" showErrorMessage="1" sqref="D1" xr:uid="{00000000-0002-0000-2800-000007000000}">
      <formula1>"土地（套用方法）,——"</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tabColor rgb="FF92D050"/>
    <pageSetUpPr fitToPage="1"/>
  </sheetPr>
  <dimension ref="A1:AG76"/>
  <sheetViews>
    <sheetView zoomScale="80" zoomScaleNormal="80" workbookViewId="0">
      <selection activeCell="D28" sqref="D28"/>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1719</v>
      </c>
      <c r="B1" s="737"/>
      <c r="C1" s="772" t="s">
        <v>2997</v>
      </c>
      <c r="D1" s="3527" t="s">
        <v>949</v>
      </c>
      <c r="E1" s="2348" t="s">
        <v>2365</v>
      </c>
      <c r="F1" s="2349">
        <f ca="1">J53</f>
        <v>41.67</v>
      </c>
      <c r="G1" s="773">
        <f>MATCH(C1,'数据-取费表'!A6:A16,0)+5</f>
        <v>11</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1720</v>
      </c>
      <c r="B2" s="774">
        <f ca="1">C40+J29+L46</f>
        <v>10853</v>
      </c>
      <c r="C2" s="2039"/>
      <c r="D2" s="2037"/>
      <c r="E2" s="2038"/>
      <c r="F2" s="2038"/>
      <c r="G2" s="1573"/>
      <c r="H2" s="2039"/>
      <c r="I2" s="2039"/>
      <c r="J2" s="2039"/>
      <c r="K2" s="2040"/>
      <c r="L2" s="2039"/>
      <c r="M2" s="2039"/>
    </row>
    <row r="3" spans="1:33" ht="18" customHeight="1" thickBot="1">
      <c r="A3" s="832" t="s">
        <v>1721</v>
      </c>
      <c r="B3" s="833">
        <f ca="1">IF(ISERROR(B2*10000/F43),0,ROUND(B2*10000/F43,0))</f>
        <v>987</v>
      </c>
      <c r="C3" s="2039"/>
      <c r="D3" s="2037"/>
      <c r="E3" s="2038"/>
      <c r="F3" s="2038"/>
      <c r="G3" s="1573"/>
      <c r="H3" s="775" t="s">
        <v>695</v>
      </c>
      <c r="I3" s="1357"/>
      <c r="J3" s="1357"/>
      <c r="K3" s="1574"/>
      <c r="L3" s="1357"/>
      <c r="M3" s="1357"/>
    </row>
    <row r="4" spans="1:33" ht="18" customHeight="1">
      <c r="A4" s="776" t="s">
        <v>1722</v>
      </c>
      <c r="B4" s="777" t="s">
        <v>1723</v>
      </c>
      <c r="C4" s="777" t="s">
        <v>1724</v>
      </c>
      <c r="D4" s="777" t="s">
        <v>633</v>
      </c>
      <c r="E4" s="778" t="s">
        <v>1725</v>
      </c>
      <c r="F4" s="779"/>
      <c r="G4" s="1575"/>
      <c r="H4" s="776" t="s">
        <v>1726</v>
      </c>
      <c r="I4" s="777" t="s">
        <v>1727</v>
      </c>
      <c r="J4" s="777" t="s">
        <v>1728</v>
      </c>
      <c r="K4" s="777" t="s">
        <v>1729</v>
      </c>
      <c r="L4" s="778" t="s">
        <v>1730</v>
      </c>
      <c r="M4" s="779"/>
    </row>
    <row r="5" spans="1:33" ht="18" customHeight="1">
      <c r="A5" s="780">
        <v>1</v>
      </c>
      <c r="B5" s="781" t="s">
        <v>2449</v>
      </c>
      <c r="C5" s="55">
        <f ca="1">C6+C10+C12</f>
        <v>1365</v>
      </c>
      <c r="D5" s="2457" t="s">
        <v>2452</v>
      </c>
      <c r="E5" s="2451"/>
      <c r="F5" s="2452"/>
      <c r="G5" s="1575"/>
      <c r="H5" s="780">
        <v>1</v>
      </c>
      <c r="I5" s="781" t="s">
        <v>2449</v>
      </c>
      <c r="J5" s="55">
        <f ca="1">J6+J10+J12</f>
        <v>0</v>
      </c>
      <c r="K5" s="2457" t="s">
        <v>2452</v>
      </c>
      <c r="L5" s="2451"/>
      <c r="M5" s="2452"/>
    </row>
    <row r="6" spans="1:33" ht="18" customHeight="1">
      <c r="A6" s="1812" t="s">
        <v>1818</v>
      </c>
      <c r="B6" s="3478" t="s">
        <v>2454</v>
      </c>
      <c r="C6" s="782">
        <f ca="1">ROUND(F6*F8*F7*(1-F9)/10000,0)</f>
        <v>1365</v>
      </c>
      <c r="D6" s="2458" t="s">
        <v>2453</v>
      </c>
      <c r="E6" s="783" t="s">
        <v>1732</v>
      </c>
      <c r="F6" s="784">
        <f ca="1">INDIRECT("'数据-取费表'!u"&amp;$G$1)</f>
        <v>400</v>
      </c>
      <c r="G6" s="1575"/>
      <c r="H6" s="2465" t="s">
        <v>2459</v>
      </c>
      <c r="I6" s="3478" t="s">
        <v>2454</v>
      </c>
      <c r="J6" s="782">
        <f ca="1">ROUND(M6*M8*M7*(1-M9)/10000,0)</f>
        <v>0</v>
      </c>
      <c r="K6" s="340" t="s">
        <v>1731</v>
      </c>
      <c r="L6" s="783" t="s">
        <v>1732</v>
      </c>
      <c r="M6" s="784">
        <f ca="1">INDIRECT("'数据-取费表'!z"&amp;$G$1)</f>
        <v>0</v>
      </c>
    </row>
    <row r="7" spans="1:33" ht="18" customHeight="1">
      <c r="A7" s="2461"/>
      <c r="B7" s="3479"/>
      <c r="C7" s="787"/>
      <c r="D7" s="788"/>
      <c r="E7" s="783" t="s">
        <v>1733</v>
      </c>
      <c r="F7" s="784">
        <f ca="1">IF(INDIRECT("'数据-取费表'!ah"&amp;$G$1)="",INDIRECT("'数据-取费表'!k"&amp;$G$1),INDIRECT("'数据-取费表'!ah"&amp;$G$1))</f>
        <v>3159</v>
      </c>
      <c r="G7" s="1575"/>
      <c r="H7" s="2450"/>
      <c r="I7" s="3479"/>
      <c r="J7" s="787"/>
      <c r="K7" s="788"/>
      <c r="L7" s="783" t="s">
        <v>1733</v>
      </c>
      <c r="M7" s="784">
        <f ca="1">F7</f>
        <v>3159</v>
      </c>
    </row>
    <row r="8" spans="1:33" ht="18" customHeight="1">
      <c r="A8" s="2454"/>
      <c r="B8" s="3480"/>
      <c r="C8" s="787"/>
      <c r="D8" s="788"/>
      <c r="E8" s="783" t="s">
        <v>1734</v>
      </c>
      <c r="F8" s="784">
        <f ca="1">INDIRECT("'数据-取费表'!ai"&amp;$G$1)</f>
        <v>12</v>
      </c>
      <c r="G8" s="1575"/>
      <c r="H8" s="2450"/>
      <c r="I8" s="3480"/>
      <c r="J8" s="787"/>
      <c r="K8" s="788"/>
      <c r="L8" s="783" t="s">
        <v>1734</v>
      </c>
      <c r="M8" s="784">
        <f ca="1">INDIRECT("'数据-取费表'!ai"&amp;$G$1)</f>
        <v>12</v>
      </c>
    </row>
    <row r="9" spans="1:33" ht="18" customHeight="1">
      <c r="A9" s="785"/>
      <c r="B9" s="3481"/>
      <c r="C9" s="787"/>
      <c r="D9" s="788"/>
      <c r="E9" s="783" t="s">
        <v>1735</v>
      </c>
      <c r="F9" s="793">
        <f ca="1">INDIRECT("'数据-取费表'!w"&amp;$G$1)</f>
        <v>0.1</v>
      </c>
      <c r="G9" s="1575"/>
      <c r="H9" s="2466"/>
      <c r="I9" s="3480"/>
      <c r="J9" s="787"/>
      <c r="K9" s="788"/>
      <c r="L9" s="794" t="s">
        <v>1735</v>
      </c>
      <c r="M9" s="795">
        <f ca="1">INDIRECT("'数据-取费表'!ab"&amp;$G$1)</f>
        <v>0</v>
      </c>
    </row>
    <row r="10" spans="1:33" ht="18" customHeight="1">
      <c r="A10" s="1812" t="s">
        <v>2457</v>
      </c>
      <c r="B10" s="2455" t="s">
        <v>2450</v>
      </c>
      <c r="C10" s="798">
        <f ca="1">ROUND(IF(F10="押一",C6/12*F11,IF(F10="押二",C6/12*2*F11,IF(F10="押三",C6/12*3*F11,C11*F11))),0)</f>
        <v>0</v>
      </c>
      <c r="D10" s="2462" t="s">
        <v>2963</v>
      </c>
      <c r="E10" s="2459" t="s">
        <v>2455</v>
      </c>
      <c r="F10" s="2582" t="s">
        <v>3026</v>
      </c>
      <c r="G10" s="1575"/>
      <c r="H10" s="2522" t="s">
        <v>2460</v>
      </c>
      <c r="I10" s="2527" t="s">
        <v>2450</v>
      </c>
      <c r="J10" s="782">
        <f ca="1">ROUND(IF(M10="押一",J6/12*M11,IF(M10="押二",J6/12*2*M11,IF(M10="押三",J6/12*3*M11,J11*M11))),0)</f>
        <v>0</v>
      </c>
      <c r="K10" s="2462" t="s">
        <v>2963</v>
      </c>
      <c r="L10" s="2459" t="s">
        <v>2455</v>
      </c>
      <c r="M10" s="2582"/>
    </row>
    <row r="11" spans="1:33" ht="18" customHeight="1">
      <c r="A11" s="789"/>
      <c r="B11" s="2456" t="s">
        <v>2564</v>
      </c>
      <c r="C11" s="2460"/>
      <c r="D11" s="788"/>
      <c r="E11" s="2459" t="s">
        <v>2456</v>
      </c>
      <c r="F11" s="795">
        <f ca="1">'数据-取费表'!B39</f>
        <v>1.4999999999999999E-2</v>
      </c>
      <c r="G11" s="1575"/>
      <c r="H11" s="2523"/>
      <c r="I11" s="2456" t="s">
        <v>2564</v>
      </c>
      <c r="J11" s="2460"/>
      <c r="K11" s="2524"/>
      <c r="L11" s="2459" t="s">
        <v>2456</v>
      </c>
      <c r="M11" s="2453">
        <f ca="1">'数据-取费表'!B39</f>
        <v>1.4999999999999999E-2</v>
      </c>
    </row>
    <row r="12" spans="1:33" ht="18" customHeight="1" thickBot="1">
      <c r="A12" s="2498" t="s">
        <v>2458</v>
      </c>
      <c r="B12" s="2499" t="s">
        <v>2451</v>
      </c>
      <c r="C12" s="2500"/>
      <c r="D12" s="2501"/>
      <c r="E12" s="2502"/>
      <c r="F12" s="2503"/>
      <c r="G12" s="1575"/>
      <c r="H12" s="2512" t="s">
        <v>2461</v>
      </c>
      <c r="I12" s="2525" t="s">
        <v>2451</v>
      </c>
      <c r="J12" s="2526"/>
      <c r="K12" s="2501"/>
      <c r="L12" s="2502"/>
      <c r="M12" s="2515"/>
    </row>
    <row r="13" spans="1:33" ht="18" customHeight="1" thickTop="1">
      <c r="A13" s="1811">
        <v>2</v>
      </c>
      <c r="B13" s="1809" t="s">
        <v>1736</v>
      </c>
      <c r="C13" s="791">
        <f ca="1">ROUND(C29*F13,0)</f>
        <v>39979</v>
      </c>
      <c r="D13" s="1816" t="s">
        <v>2288</v>
      </c>
      <c r="E13" s="1816" t="s">
        <v>1738</v>
      </c>
      <c r="F13" s="2497">
        <f ca="1">INDIRECT("'数据-取费表'!y"&amp;$G$1)</f>
        <v>1</v>
      </c>
      <c r="G13" s="1575"/>
      <c r="H13" s="1811">
        <v>2</v>
      </c>
      <c r="I13" s="1809" t="s">
        <v>1736</v>
      </c>
      <c r="J13" s="1801">
        <f ca="1">ROUND(J14*J15,0)</f>
        <v>0</v>
      </c>
      <c r="K13" s="1803" t="s">
        <v>1737</v>
      </c>
      <c r="L13" s="2513"/>
      <c r="M13" s="2514"/>
    </row>
    <row r="14" spans="1:33" ht="18" customHeight="1">
      <c r="A14" s="1630" t="s">
        <v>1878</v>
      </c>
      <c r="B14" s="783" t="s">
        <v>645</v>
      </c>
      <c r="C14" s="803">
        <f ca="1">INDIRECT("'数据-取费表'!m"&amp;$G$1)+INDIRECT("'数据-取费表'!t"&amp;$G$1)</f>
        <v>29442</v>
      </c>
      <c r="D14" s="1961" t="s">
        <v>1739</v>
      </c>
      <c r="E14" s="1962"/>
      <c r="F14" s="804"/>
      <c r="G14" s="1575"/>
      <c r="H14" s="1631" t="s">
        <v>1824</v>
      </c>
      <c r="I14" s="2213" t="s">
        <v>2816</v>
      </c>
      <c r="J14" s="53">
        <f ca="1">C29</f>
        <v>39979</v>
      </c>
      <c r="K14" s="26"/>
      <c r="L14" s="800"/>
      <c r="M14" s="801"/>
    </row>
    <row r="15" spans="1:33" s="2046" customFormat="1" ht="18" customHeight="1" thickBot="1">
      <c r="A15" s="1630" t="s">
        <v>1879</v>
      </c>
      <c r="B15" s="783" t="s">
        <v>647</v>
      </c>
      <c r="C15" s="53">
        <f ca="1">ROUND(C14*F15,0)</f>
        <v>883</v>
      </c>
      <c r="D15" s="805" t="s">
        <v>1740</v>
      </c>
      <c r="E15" s="805" t="s">
        <v>1741</v>
      </c>
      <c r="F15" s="806">
        <f>'数据-取费表'!B33</f>
        <v>0.03</v>
      </c>
      <c r="G15" s="1576"/>
      <c r="H15" s="2512" t="s">
        <v>1883</v>
      </c>
      <c r="I15" s="2507" t="s">
        <v>1738</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1880</v>
      </c>
      <c r="B16" s="783" t="s">
        <v>650</v>
      </c>
      <c r="C16" s="53">
        <f ca="1">ROUND(INDIRECT("'数据-取费表'!m"&amp;$G$1)*F16,0)</f>
        <v>0</v>
      </c>
      <c r="D16" s="783" t="s">
        <v>1740</v>
      </c>
      <c r="E16" s="783" t="s">
        <v>1741</v>
      </c>
      <c r="F16" s="808">
        <f ca="1">IF(INDIRECT("'数据-取费表'!c"&amp;$G$1)="住宅",'数据-取费表'!B34,0)</f>
        <v>0</v>
      </c>
      <c r="G16" s="1575"/>
      <c r="H16" s="1811" t="s">
        <v>1742</v>
      </c>
      <c r="I16" s="1809" t="s">
        <v>1743</v>
      </c>
      <c r="J16" s="791">
        <f ca="1">ROUND(J17+J22+J23+J24,0)</f>
        <v>3993</v>
      </c>
      <c r="K16" s="1803" t="s">
        <v>1744</v>
      </c>
      <c r="L16" s="2447"/>
      <c r="M16" s="2452"/>
    </row>
    <row r="17" spans="1:33" s="2046" customFormat="1" ht="18" customHeight="1">
      <c r="A17" s="1630" t="s">
        <v>1881</v>
      </c>
      <c r="B17" s="783" t="s">
        <v>653</v>
      </c>
      <c r="C17" s="53">
        <f ca="1">ROUND(F17*(F43+INDIRECT("'数据-取费表'!S"&amp;$G$1))/10000,0)</f>
        <v>2120</v>
      </c>
      <c r="D17" s="783" t="s">
        <v>1745</v>
      </c>
      <c r="E17" s="783" t="s">
        <v>1746</v>
      </c>
      <c r="F17" s="56">
        <f>'数据-取费表'!B35</f>
        <v>180</v>
      </c>
      <c r="G17" s="1576"/>
      <c r="H17" s="1631" t="s">
        <v>1824</v>
      </c>
      <c r="I17" s="783" t="s">
        <v>656</v>
      </c>
      <c r="J17" s="53">
        <f ca="1">ROUND(IF(项目基本情况!B11="自然人",J6*M17/(1+'数据-取费表'!C42),J18+J19+J20),0)</f>
        <v>3393</v>
      </c>
      <c r="K17" s="2446" t="s">
        <v>1747</v>
      </c>
      <c r="L17" s="2445" t="s">
        <v>1748</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659</v>
      </c>
      <c r="C18" s="53">
        <f ca="1">ROUND(C14*F18,0)</f>
        <v>442</v>
      </c>
      <c r="D18" s="783" t="s">
        <v>1740</v>
      </c>
      <c r="E18" s="783" t="s">
        <v>1741</v>
      </c>
      <c r="F18" s="808">
        <f>'数据-取费表'!B36</f>
        <v>1.4999999999999999E-2</v>
      </c>
      <c r="G18" s="1576"/>
      <c r="H18" s="1630" t="s">
        <v>1878</v>
      </c>
      <c r="I18" s="783" t="s">
        <v>1749</v>
      </c>
      <c r="J18" s="53">
        <f ca="1">ROUND(J6*M18/(1+'数据-取费表'!C42),1)</f>
        <v>0</v>
      </c>
      <c r="K18" s="2445" t="s">
        <v>1750</v>
      </c>
      <c r="L18" s="783" t="s">
        <v>1741</v>
      </c>
      <c r="M18" s="808">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1824</v>
      </c>
      <c r="B19" s="783" t="s">
        <v>662</v>
      </c>
      <c r="C19" s="53">
        <f ca="1">SUM(C14:C18)</f>
        <v>32887</v>
      </c>
      <c r="D19" s="260" t="s">
        <v>1751</v>
      </c>
      <c r="E19" s="1964"/>
      <c r="F19" s="56"/>
      <c r="G19" s="1575"/>
      <c r="H19" s="1630" t="s">
        <v>1879</v>
      </c>
      <c r="I19" s="783" t="s">
        <v>1752</v>
      </c>
      <c r="J19" s="53">
        <f ca="1">IF(K19="按租金收入计税",ROUND(J6*M19/(1+'数据-取费表'!C42),1),ROUND(C29*F33*0.7,1))</f>
        <v>3358.2</v>
      </c>
      <c r="K19" s="810" t="s">
        <v>665</v>
      </c>
      <c r="L19" s="783" t="s">
        <v>1741</v>
      </c>
      <c r="M19" s="808">
        <f>IF(K19="按租金收入计税",'数据-取费表'!B51,'数据-取费表'!B50)</f>
        <v>1.2E-2</v>
      </c>
    </row>
    <row r="20" spans="1:33" s="2046" customFormat="1" ht="18" customHeight="1">
      <c r="A20" s="1631" t="s">
        <v>1883</v>
      </c>
      <c r="B20" s="783" t="s">
        <v>666</v>
      </c>
      <c r="C20" s="53">
        <f ca="1">ROUND(C19*F20,0)</f>
        <v>658</v>
      </c>
      <c r="D20" s="811" t="s">
        <v>1753</v>
      </c>
      <c r="E20" s="783" t="s">
        <v>1741</v>
      </c>
      <c r="F20" s="808">
        <f>'数据-取费表'!B37</f>
        <v>0.02</v>
      </c>
      <c r="G20" s="1576"/>
      <c r="H20" s="1633" t="s">
        <v>1874</v>
      </c>
      <c r="I20" s="340" t="s">
        <v>1754</v>
      </c>
      <c r="J20" s="54">
        <f ca="1">ROUND(M20*M21/10000,0)</f>
        <v>35</v>
      </c>
      <c r="K20" s="813" t="s">
        <v>1755</v>
      </c>
      <c r="L20" s="783" t="s">
        <v>1756</v>
      </c>
      <c r="M20" s="639">
        <f>'数据-取费表'!B52</f>
        <v>8</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1757</v>
      </c>
      <c r="C21" s="53" t="s">
        <v>1758</v>
      </c>
      <c r="D21" s="811" t="s">
        <v>2289</v>
      </c>
      <c r="E21" s="783" t="s">
        <v>1759</v>
      </c>
      <c r="F21" s="808">
        <f>'数据-取费表'!B38</f>
        <v>0.02</v>
      </c>
      <c r="G21" s="1576"/>
      <c r="H21" s="2467"/>
      <c r="I21" s="792"/>
      <c r="J21" s="69"/>
      <c r="K21" s="815"/>
      <c r="L21" s="783" t="s">
        <v>1760</v>
      </c>
      <c r="M21" s="784">
        <f ca="1">INDIRECT("'数据-取费表'!r"&amp;$G$1)</f>
        <v>44202.909999999996</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1761</v>
      </c>
      <c r="C22" s="53"/>
      <c r="D22" s="2533" t="str">
        <f>IF(F23&lt;=1,"单利计息。","复利计息。")&amp;"建造成本、管理费用、销售费用产生的利息。"</f>
        <v>复利计息。建造成本、管理费用、销售费用产生的利息。</v>
      </c>
      <c r="E22" s="1964"/>
      <c r="F22" s="56"/>
      <c r="G22" s="1575"/>
      <c r="H22" s="1631" t="s">
        <v>1883</v>
      </c>
      <c r="I22" s="783" t="s">
        <v>1762</v>
      </c>
      <c r="J22" s="53">
        <f ca="1">ROUND(J14*M22,0)</f>
        <v>600</v>
      </c>
      <c r="K22" s="2445" t="s">
        <v>1763</v>
      </c>
      <c r="L22" s="783" t="s">
        <v>1741</v>
      </c>
      <c r="M22" s="816">
        <f ca="1">INDIRECT("'数据-取费表'!Ak"&amp;$G$1)</f>
        <v>1.4999999999999999E-2</v>
      </c>
    </row>
    <row r="23" spans="1:33" s="2046" customFormat="1" ht="18" customHeight="1">
      <c r="A23" s="1630" t="s">
        <v>1825</v>
      </c>
      <c r="B23" s="783" t="s">
        <v>2526</v>
      </c>
      <c r="C23" s="53">
        <f ca="1">ROUND(IF('数据-取费表'!B22&lt;=1,(C19+C20)*F24*F23/2,(C19+C20)*(POWER((1+F24),F23/2)-1)),0)</f>
        <v>2418</v>
      </c>
      <c r="D23" s="2532" t="str">
        <f>IF(F23&lt;=1,"(建造成本+管理费用)×利率×(建设周期÷2)","(建造成本+管理费用)×((1+利率)^(建设周期÷2)-1)")</f>
        <v>(建造成本+管理费用)×((1+利率)^(建设周期÷2)-1)</v>
      </c>
      <c r="E23" s="783" t="s">
        <v>1764</v>
      </c>
      <c r="F23" s="639">
        <f>'数据-取费表'!B20</f>
        <v>3</v>
      </c>
      <c r="G23" s="1576"/>
      <c r="H23" s="1631" t="s">
        <v>1884</v>
      </c>
      <c r="I23" s="783" t="s">
        <v>679</v>
      </c>
      <c r="J23" s="53">
        <f ca="1">ROUND(J13*M23,0)</f>
        <v>0</v>
      </c>
      <c r="K23" s="2445" t="s">
        <v>1765</v>
      </c>
      <c r="L23" s="783" t="s">
        <v>1741</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1766</v>
      </c>
      <c r="C24" s="53">
        <f ca="1">ROUND(IF('数据-取费表'!B22&lt;=1,F21*F24*F23/2,F21*(POWER((1+F24),F23/2)-1)),4)</f>
        <v>1.4E-3</v>
      </c>
      <c r="D24" s="2532" t="str">
        <f>IF(F23&lt;=1,"销售费用×利率×(建设周期÷2)","销售费用×((1+利率)^(建设周期÷2)-1)")</f>
        <v>销售费用×((1+利率)^(建设周期÷2)-1)</v>
      </c>
      <c r="E24" s="783" t="s">
        <v>1767</v>
      </c>
      <c r="F24" s="818">
        <f ca="1">'数据-取费表'!B40</f>
        <v>4.7500000000000001E-2</v>
      </c>
      <c r="G24" s="1576"/>
      <c r="H24" s="2512" t="s">
        <v>1885</v>
      </c>
      <c r="I24" s="2507" t="s">
        <v>666</v>
      </c>
      <c r="J24" s="2505">
        <f ca="1">ROUND(J5*M24,0)</f>
        <v>0</v>
      </c>
      <c r="K24" s="2506" t="s">
        <v>1768</v>
      </c>
      <c r="L24" s="2507" t="s">
        <v>1741</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684</v>
      </c>
      <c r="C25" s="53"/>
      <c r="D25" s="260" t="s">
        <v>1769</v>
      </c>
      <c r="E25" s="1964"/>
      <c r="F25" s="56"/>
      <c r="G25" s="1575"/>
      <c r="H25" s="1811" t="s">
        <v>1770</v>
      </c>
      <c r="I25" s="2842" t="s">
        <v>2812</v>
      </c>
      <c r="J25" s="791">
        <f ca="1">J5-J16</f>
        <v>-3993</v>
      </c>
      <c r="K25" s="2509" t="s">
        <v>1771</v>
      </c>
      <c r="L25" s="2510"/>
      <c r="M25" s="2511"/>
    </row>
    <row r="26" spans="1:33" ht="18" customHeight="1">
      <c r="A26" s="1630" t="s">
        <v>1825</v>
      </c>
      <c r="B26" s="783" t="s">
        <v>2429</v>
      </c>
      <c r="C26" s="53">
        <f ca="1">ROUND((C19+C20)*F26,0)</f>
        <v>1006</v>
      </c>
      <c r="D26" s="811" t="s">
        <v>1772</v>
      </c>
      <c r="E26" s="794" t="s">
        <v>1773</v>
      </c>
      <c r="F26" s="793">
        <f ca="1">INDIRECT("'数据-取费表'!q"&amp;$G$1)</f>
        <v>0.03</v>
      </c>
      <c r="G26" s="1575"/>
      <c r="H26" s="2463" t="s">
        <v>1774</v>
      </c>
      <c r="I26" s="2214" t="s">
        <v>2817</v>
      </c>
      <c r="J26" s="782">
        <f ca="1">IF(J5&lt;&gt;0,ROUND(J25*(1-((1+M28)/(1+M26))^M27)/(M26-M28),0),0)</f>
        <v>0</v>
      </c>
      <c r="K26" s="813" t="s">
        <v>1775</v>
      </c>
      <c r="L26" s="783" t="s">
        <v>2410</v>
      </c>
      <c r="M26" s="793">
        <f ca="1">INDIRECT("'数据-取费表'!I"&amp;$G$1)</f>
        <v>4.4999999999999998E-2</v>
      </c>
    </row>
    <row r="27" spans="1:33" ht="18" customHeight="1">
      <c r="A27" s="1630" t="s">
        <v>1826</v>
      </c>
      <c r="B27" s="783" t="s">
        <v>686</v>
      </c>
      <c r="C27" s="53">
        <f ca="1">ROUND(F21*F26,4)</f>
        <v>5.9999999999999995E-4</v>
      </c>
      <c r="D27" s="811" t="s">
        <v>1776</v>
      </c>
      <c r="E27" s="805"/>
      <c r="F27" s="806"/>
      <c r="G27" s="1575"/>
      <c r="H27" s="2464"/>
      <c r="I27" s="786"/>
      <c r="J27" s="787"/>
      <c r="K27" s="820" t="s">
        <v>1777</v>
      </c>
      <c r="L27" s="783" t="s">
        <v>1778</v>
      </c>
      <c r="M27" s="821">
        <f ca="1">INDIRECT("'数据-取费表'!ag"&amp;$G$1)</f>
        <v>0</v>
      </c>
    </row>
    <row r="28" spans="1:33" s="2046" customFormat="1" ht="18" customHeight="1">
      <c r="A28" s="1632" t="s">
        <v>1835</v>
      </c>
      <c r="B28" s="783" t="s">
        <v>687</v>
      </c>
      <c r="C28" s="53">
        <f>ROUND(F28/(1+'数据-取费表'!C42),4)</f>
        <v>5.33E-2</v>
      </c>
      <c r="D28" s="811" t="s">
        <v>2290</v>
      </c>
      <c r="E28" s="783" t="s">
        <v>1779</v>
      </c>
      <c r="F28" s="808">
        <f>'数据-取费表'!B41</f>
        <v>5.6000000000000001E-2</v>
      </c>
      <c r="G28" s="1576"/>
      <c r="H28" s="1811"/>
      <c r="I28" s="790"/>
      <c r="J28" s="791"/>
      <c r="K28" s="815"/>
      <c r="L28" s="783" t="s">
        <v>1780</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2291</v>
      </c>
      <c r="C29" s="2505">
        <f ca="1">ROUND((C19+C20+C23+C26)/(1-F21-C24-C27-C28),0)</f>
        <v>39979</v>
      </c>
      <c r="D29" s="2506"/>
      <c r="E29" s="2507"/>
      <c r="F29" s="2508"/>
      <c r="G29" s="1576"/>
      <c r="H29" s="822" t="s">
        <v>1781</v>
      </c>
      <c r="I29" s="823" t="s">
        <v>1782</v>
      </c>
      <c r="J29" s="824">
        <f ca="1">ROUND(J26/(1+F40)^F41,0)</f>
        <v>0</v>
      </c>
      <c r="K29" s="825" t="s">
        <v>1783</v>
      </c>
      <c r="L29" s="826"/>
      <c r="M29" s="827">
        <f ca="1">INDIRECT("'数据-取费表'!k"&amp;$G$1)</f>
        <v>109970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1887</v>
      </c>
      <c r="B30" s="1809" t="s">
        <v>1784</v>
      </c>
      <c r="C30" s="791">
        <f ca="1">ROUND(C31+C36+C37+C38,0)</f>
        <v>938</v>
      </c>
      <c r="D30" s="1803" t="s">
        <v>1785</v>
      </c>
      <c r="E30" s="2447"/>
      <c r="F30" s="2452"/>
      <c r="G30" s="2044"/>
      <c r="H30" s="2047"/>
      <c r="I30" s="2048"/>
      <c r="J30" s="2049"/>
      <c r="K30" s="2050"/>
      <c r="L30" s="2051"/>
      <c r="M30" s="2052"/>
    </row>
    <row r="31" spans="1:33" ht="18" customHeight="1">
      <c r="A31" s="1631" t="s">
        <v>1824</v>
      </c>
      <c r="B31" s="783" t="s">
        <v>656</v>
      </c>
      <c r="C31" s="53">
        <f ca="1">ROUND(IF(项目基本情况!B11="自然人",C6*F31/(1+'数据-取费表'!C42),C32+C33+C34),1)</f>
        <v>264.2</v>
      </c>
      <c r="D31" s="1961" t="s">
        <v>1786</v>
      </c>
      <c r="E31" s="1959" t="s">
        <v>1787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1788</v>
      </c>
      <c r="C32" s="53">
        <f ca="1">ROUND(C6*F32/(1+'数据-取费表'!C42),1)</f>
        <v>72.8</v>
      </c>
      <c r="D32" s="1959" t="s">
        <v>1789</v>
      </c>
      <c r="E32" s="783" t="s">
        <v>1790</v>
      </c>
      <c r="F32" s="808">
        <f>'数据-取费表'!B41</f>
        <v>5.6000000000000001E-2</v>
      </c>
      <c r="G32" s="2044"/>
      <c r="H32" s="2053"/>
      <c r="I32" s="2054"/>
      <c r="J32" s="2055"/>
      <c r="K32" s="2056"/>
      <c r="L32" s="2057"/>
      <c r="M32" s="2058"/>
    </row>
    <row r="33" spans="1:18" ht="18" customHeight="1">
      <c r="A33" s="1630" t="s">
        <v>1826</v>
      </c>
      <c r="B33" s="783" t="s">
        <v>1791</v>
      </c>
      <c r="C33" s="53">
        <f ca="1">IF(D33="按租金收入计税",ROUND(C6*F33/(1+'数据-取费表'!C42),1),IF(D33="按房产原值计税",ROUND(C29*F33*0.7,1),INDIRECT("'数据-取费表'!Aj"&amp;$G$1)))</f>
        <v>156</v>
      </c>
      <c r="D33" s="810" t="s">
        <v>3027</v>
      </c>
      <c r="E33" s="783" t="s">
        <v>1790</v>
      </c>
      <c r="F33" s="808">
        <f>IF(D33="按租金收入计税",'数据-取费表'!B51,'数据-取费表'!B50)</f>
        <v>0.12</v>
      </c>
      <c r="G33" s="2044"/>
      <c r="H33" s="2059"/>
      <c r="I33" s="2059"/>
      <c r="J33" s="2059"/>
      <c r="K33" s="2060"/>
      <c r="L33" s="2059"/>
      <c r="M33" s="2059"/>
    </row>
    <row r="34" spans="1:18" ht="18" customHeight="1">
      <c r="A34" s="1633" t="s">
        <v>1827</v>
      </c>
      <c r="B34" s="340" t="s">
        <v>1792</v>
      </c>
      <c r="C34" s="54">
        <f ca="1">ROUND(F34*F35/10000,1)</f>
        <v>35.4</v>
      </c>
      <c r="D34" s="813" t="s">
        <v>1793</v>
      </c>
      <c r="E34" s="783" t="s">
        <v>1794</v>
      </c>
      <c r="F34" s="639">
        <f>'数据-取费表'!B52</f>
        <v>8</v>
      </c>
      <c r="G34" s="2044"/>
      <c r="H34" s="2047"/>
      <c r="I34" s="834" t="s">
        <v>1807</v>
      </c>
      <c r="J34" s="835"/>
      <c r="K34" s="2062"/>
      <c r="L34" s="2061"/>
      <c r="M34" s="2061"/>
    </row>
    <row r="35" spans="1:18" ht="18" customHeight="1">
      <c r="A35" s="814"/>
      <c r="B35" s="792"/>
      <c r="C35" s="69"/>
      <c r="D35" s="815"/>
      <c r="E35" s="783" t="s">
        <v>1795</v>
      </c>
      <c r="F35" s="784">
        <f ca="1">INDIRECT("'数据-取费表'!r"&amp;$G$1)</f>
        <v>44202.909999999996</v>
      </c>
      <c r="G35" s="2044"/>
      <c r="H35" s="2047"/>
      <c r="I35" s="836" t="s">
        <v>1808</v>
      </c>
      <c r="J35" s="837">
        <f ca="1">ROUND(C13*J36,0)</f>
        <v>3198</v>
      </c>
      <c r="K35" s="2060"/>
      <c r="L35" s="2059"/>
      <c r="M35" s="2059"/>
    </row>
    <row r="36" spans="1:18" ht="18" customHeight="1">
      <c r="A36" s="1631" t="s">
        <v>1883</v>
      </c>
      <c r="B36" s="783" t="s">
        <v>1796</v>
      </c>
      <c r="C36" s="53">
        <f ca="1">ROUND(C29*F36,1)</f>
        <v>599.70000000000005</v>
      </c>
      <c r="D36" s="1959" t="s">
        <v>1797</v>
      </c>
      <c r="E36" s="783" t="s">
        <v>1790</v>
      </c>
      <c r="F36" s="816">
        <f ca="1">INDIRECT("'数据-取费表'!Ak"&amp;$G$1)</f>
        <v>1.4999999999999999E-2</v>
      </c>
      <c r="G36" s="2044"/>
      <c r="H36" s="2059"/>
      <c r="I36" s="838" t="s">
        <v>1809</v>
      </c>
      <c r="J36" s="839">
        <f ca="1">INDIRECT("'数据-取费表'!j"&amp;$G$1)</f>
        <v>0.08</v>
      </c>
      <c r="K36" s="2064"/>
      <c r="L36" s="2059"/>
      <c r="M36" s="2059"/>
    </row>
    <row r="37" spans="1:18" ht="18" customHeight="1">
      <c r="A37" s="1631" t="s">
        <v>1884</v>
      </c>
      <c r="B37" s="783" t="s">
        <v>679</v>
      </c>
      <c r="C37" s="53">
        <f ca="1">ROUND(C13*F37,1)</f>
        <v>60</v>
      </c>
      <c r="D37" s="1959" t="s">
        <v>1798</v>
      </c>
      <c r="E37" s="783" t="s">
        <v>1790</v>
      </c>
      <c r="F37" s="817">
        <f ca="1">INDIRECT("'数据-取费表'!Al"&amp;$G$1)</f>
        <v>1.5E-3</v>
      </c>
      <c r="G37" s="2044"/>
      <c r="H37" s="2059"/>
      <c r="I37" s="840" t="s">
        <v>1810</v>
      </c>
      <c r="J37" s="841"/>
      <c r="K37" s="2064"/>
      <c r="L37" s="2059"/>
      <c r="M37" s="2059"/>
    </row>
    <row r="38" spans="1:18" ht="18" customHeight="1" thickBot="1">
      <c r="A38" s="2512" t="s">
        <v>1885</v>
      </c>
      <c r="B38" s="2507" t="s">
        <v>666</v>
      </c>
      <c r="C38" s="2505">
        <f ca="1">ROUND(C5*F38,1)</f>
        <v>13.7</v>
      </c>
      <c r="D38" s="2506" t="s">
        <v>1799</v>
      </c>
      <c r="E38" s="2507" t="s">
        <v>1790</v>
      </c>
      <c r="F38" s="2503">
        <f ca="1">INDIRECT("'数据-取费表'!Am"&amp;$G$1)</f>
        <v>0.01</v>
      </c>
      <c r="G38" s="2044"/>
      <c r="H38" s="2059"/>
      <c r="I38" s="842" t="s">
        <v>1811</v>
      </c>
      <c r="J38" s="843"/>
      <c r="K38" s="2065"/>
      <c r="L38" s="2059"/>
      <c r="M38" s="2059"/>
    </row>
    <row r="39" spans="1:18" ht="24.6" customHeight="1" thickTop="1">
      <c r="A39" s="1811" t="s">
        <v>1888</v>
      </c>
      <c r="B39" s="2842" t="s">
        <v>2812</v>
      </c>
      <c r="C39" s="791">
        <f ca="1">C5-C30</f>
        <v>427</v>
      </c>
      <c r="D39" s="2509" t="s">
        <v>1800</v>
      </c>
      <c r="E39" s="2510"/>
      <c r="F39" s="2511"/>
      <c r="G39" s="2044"/>
      <c r="H39" s="2059"/>
      <c r="I39" s="836" t="s">
        <v>1812</v>
      </c>
      <c r="J39" s="844">
        <f ca="1">ROUND(J35/C39,3)</f>
        <v>7.4889999999999999</v>
      </c>
      <c r="K39" s="2065"/>
      <c r="L39" s="2059"/>
      <c r="M39" s="2059"/>
    </row>
    <row r="40" spans="1:18" ht="18" customHeight="1">
      <c r="A40" s="780" t="s">
        <v>1889</v>
      </c>
      <c r="B40" s="2214" t="s">
        <v>2292</v>
      </c>
      <c r="C40" s="782">
        <f ca="1">ROUND(C39*(1-((1+F42)/(1+F40))^F41)/(F40-F42),0)</f>
        <v>10853</v>
      </c>
      <c r="D40" s="813" t="s">
        <v>1801</v>
      </c>
      <c r="E40" s="783" t="s">
        <v>2410</v>
      </c>
      <c r="F40" s="793">
        <f ca="1">INDIRECT("'数据-取费表'!I"&amp;$G$1)</f>
        <v>4.4999999999999998E-2</v>
      </c>
      <c r="G40" s="2044"/>
      <c r="H40" s="2044"/>
      <c r="I40" s="836" t="s">
        <v>1813</v>
      </c>
      <c r="J40" s="844">
        <f ca="1">1-J39</f>
        <v>-6.4889999999999999</v>
      </c>
      <c r="K40" s="2065"/>
      <c r="L40" s="2044"/>
      <c r="M40" s="2044"/>
    </row>
    <row r="41" spans="1:18" ht="18" customHeight="1">
      <c r="A41" s="785"/>
      <c r="B41" s="786"/>
      <c r="C41" s="787"/>
      <c r="D41" s="820" t="s">
        <v>1802</v>
      </c>
      <c r="E41" s="783" t="s">
        <v>2953</v>
      </c>
      <c r="F41" s="821">
        <f ca="1">IF(INDIRECT("'数据-取费表'!af"&amp;$G$1)=0,INDIRECT("'数据-取费表'!ae"&amp;$G$1),INDIRECT("'数据-取费表'!af"&amp;$G$1))</f>
        <v>41.67</v>
      </c>
      <c r="G41" s="2044"/>
      <c r="H41" s="1970"/>
      <c r="I41" s="842" t="s">
        <v>1814</v>
      </c>
      <c r="J41" s="845"/>
      <c r="K41" s="2064"/>
      <c r="L41" s="1970"/>
      <c r="M41" s="1970"/>
    </row>
    <row r="42" spans="1:18" ht="18" customHeight="1">
      <c r="A42" s="789"/>
      <c r="B42" s="790"/>
      <c r="C42" s="791"/>
      <c r="D42" s="815"/>
      <c r="E42" s="783" t="s">
        <v>1803</v>
      </c>
      <c r="F42" s="793">
        <f ca="1">INDIRECT("'数据-取费表'!v"&amp;$G$1)</f>
        <v>0.02</v>
      </c>
      <c r="G42" s="2044"/>
      <c r="H42" s="1970"/>
      <c r="I42" s="846" t="s">
        <v>1815</v>
      </c>
      <c r="J42" s="844">
        <f ca="1">ROUND(C13/C40,3)</f>
        <v>3.6840000000000002</v>
      </c>
      <c r="K42" s="2064"/>
      <c r="L42" s="1970"/>
      <c r="M42" s="1970"/>
    </row>
    <row r="43" spans="1:18" ht="18" customHeight="1" thickBot="1">
      <c r="A43" s="822" t="s">
        <v>1781</v>
      </c>
      <c r="B43" s="823" t="s">
        <v>1804</v>
      </c>
      <c r="C43" s="824">
        <f ca="1">ROUND(C40*10000/F43,0)</f>
        <v>987</v>
      </c>
      <c r="D43" s="825" t="s">
        <v>1805</v>
      </c>
      <c r="E43" s="826" t="s">
        <v>1806</v>
      </c>
      <c r="F43" s="827">
        <f ca="1">INDIRECT("'数据-取费表'!k"&amp;$G$1)</f>
        <v>109970</v>
      </c>
      <c r="G43" s="2044"/>
      <c r="H43" s="1970"/>
      <c r="I43" s="846" t="s">
        <v>1816</v>
      </c>
      <c r="J43" s="847">
        <f ca="1">1-J42</f>
        <v>-2.6840000000000002</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2286</v>
      </c>
      <c r="B46" s="2067"/>
      <c r="C46" s="2535">
        <f ca="1">C67-C40</f>
        <v>-23830</v>
      </c>
      <c r="D46" s="2067"/>
      <c r="E46" s="2067"/>
      <c r="F46" s="2067"/>
      <c r="I46" s="2339" t="s">
        <v>2334</v>
      </c>
      <c r="J46" s="2340"/>
      <c r="K46" s="2341"/>
      <c r="L46" s="2957" t="str">
        <f ca="1">IF(OR(M47="住宅",D1="土地（套用方法）"),0,IF(L48&gt;J51,L60,J60))</f>
        <v>0</v>
      </c>
      <c r="O46" s="2355" t="s">
        <v>2401</v>
      </c>
      <c r="P46" s="1575"/>
      <c r="Q46" s="1586"/>
      <c r="R46" s="1575"/>
    </row>
    <row r="47" spans="1:18" s="2041" customFormat="1" ht="18" customHeight="1" thickBot="1">
      <c r="A47" s="2333">
        <v>1</v>
      </c>
      <c r="B47" s="2334" t="s">
        <v>635</v>
      </c>
      <c r="C47" s="2535">
        <f ca="1">C48+C52+C54</f>
        <v>0</v>
      </c>
      <c r="D47" s="2067"/>
      <c r="E47" s="2067"/>
      <c r="F47" s="2067"/>
      <c r="I47" s="2948" t="s">
        <v>2335</v>
      </c>
      <c r="J47" s="2342" t="s">
        <v>3028</v>
      </c>
      <c r="K47" s="2954" t="s">
        <v>2340</v>
      </c>
      <c r="L47" s="2958">
        <f ca="1">INDIRECT("'数据-取费表'!d"&amp;$G$1)</f>
        <v>50</v>
      </c>
      <c r="M47" s="1586" t="str">
        <f>IF(ISNUMBER(FIND("住宅",C1)),"住宅","非住宅")</f>
        <v>非住宅</v>
      </c>
      <c r="O47" s="2356" t="s">
        <v>2366</v>
      </c>
      <c r="P47" s="2357" t="s">
        <v>2367</v>
      </c>
      <c r="Q47" s="2358" t="s">
        <v>2368</v>
      </c>
      <c r="R47" s="2357" t="s">
        <v>2369</v>
      </c>
    </row>
    <row r="48" spans="1:18" s="2041" customFormat="1" ht="18" customHeight="1" thickBot="1">
      <c r="A48" s="2603" t="s">
        <v>2528</v>
      </c>
      <c r="B48" s="2604" t="s">
        <v>2529</v>
      </c>
      <c r="C48" s="2335">
        <f ca="1">ROUND(F48*F50*F49*(1-F51)/10000,0)</f>
        <v>0</v>
      </c>
      <c r="D48" s="2336" t="s">
        <v>636</v>
      </c>
      <c r="E48" s="2337" t="s">
        <v>2287</v>
      </c>
      <c r="F48" s="2338"/>
      <c r="G48" s="2072"/>
      <c r="I48" s="2944" t="s">
        <v>2336</v>
      </c>
      <c r="J48" s="2343" t="s">
        <v>2341</v>
      </c>
      <c r="K48" s="2955" t="s">
        <v>2342</v>
      </c>
      <c r="L48" s="1890">
        <f ca="1">INDIRECT("'数据-取费表'!f"&amp;$G$1)</f>
        <v>41.67</v>
      </c>
      <c r="O48" s="2359" t="s">
        <v>2370</v>
      </c>
      <c r="P48" s="2360" t="s">
        <v>2396</v>
      </c>
      <c r="Q48" s="2361">
        <f ca="1">C40+J29</f>
        <v>10853</v>
      </c>
      <c r="R48" s="2360" t="s">
        <v>2371</v>
      </c>
    </row>
    <row r="49" spans="1:18" s="2041" customFormat="1" ht="18" customHeight="1" thickBot="1">
      <c r="A49" s="785"/>
      <c r="B49" s="786"/>
      <c r="C49" s="787"/>
      <c r="D49" s="788"/>
      <c r="E49" s="783" t="s">
        <v>1733</v>
      </c>
      <c r="F49" s="784">
        <f ca="1">F7</f>
        <v>3159</v>
      </c>
      <c r="G49" s="2072"/>
      <c r="H49" s="2075"/>
      <c r="I49" s="2944" t="s">
        <v>2337</v>
      </c>
      <c r="J49" s="2344"/>
      <c r="K49" s="2956" t="s">
        <v>2343</v>
      </c>
      <c r="L49" s="2345"/>
      <c r="O49" s="2359" t="s">
        <v>2372</v>
      </c>
      <c r="P49" s="2360" t="s">
        <v>2397</v>
      </c>
      <c r="Q49" s="2361" t="str">
        <f ca="1">J60</f>
        <v>0</v>
      </c>
      <c r="R49" s="2360" t="s">
        <v>2373</v>
      </c>
    </row>
    <row r="50" spans="1:18" s="2041" customFormat="1" ht="18" customHeight="1" thickBot="1">
      <c r="A50" s="785"/>
      <c r="B50" s="786"/>
      <c r="C50" s="787"/>
      <c r="D50" s="788"/>
      <c r="E50" s="783" t="s">
        <v>1734</v>
      </c>
      <c r="F50" s="784">
        <f ca="1">F8</f>
        <v>12</v>
      </c>
      <c r="G50" s="2077"/>
      <c r="H50" s="2075"/>
      <c r="I50" s="2944" t="s">
        <v>2338</v>
      </c>
      <c r="J50" s="2952">
        <f>SUMPRODUCT((I63:I65=J47)*(J62:L62=J48)*(J63:L65))</f>
        <v>60</v>
      </c>
      <c r="K50" s="2956" t="s">
        <v>2344</v>
      </c>
      <c r="L50" s="2345"/>
      <c r="O50" s="2362" t="s">
        <v>2374</v>
      </c>
      <c r="P50" s="2360" t="s">
        <v>2398</v>
      </c>
      <c r="Q50" s="2361">
        <f ca="1">C29</f>
        <v>39979</v>
      </c>
      <c r="R50" s="2360" t="s">
        <v>2371</v>
      </c>
    </row>
    <row r="51" spans="1:18" s="2041" customFormat="1" ht="18" customHeight="1" thickBot="1">
      <c r="A51" s="785"/>
      <c r="B51" s="786"/>
      <c r="C51" s="787"/>
      <c r="D51" s="788"/>
      <c r="E51" s="783" t="s">
        <v>640</v>
      </c>
      <c r="F51" s="2332"/>
      <c r="H51" s="2075"/>
      <c r="I51" s="2949" t="s">
        <v>2339</v>
      </c>
      <c r="J51" s="2953">
        <f>IF(J49="",J50,J49+J50-YEAR('数据-取费表'!B2))</f>
        <v>60</v>
      </c>
      <c r="K51" s="2944" t="s">
        <v>2345</v>
      </c>
      <c r="L51" s="2959">
        <f ca="1">ROUND(-PV(INDIRECT("'数据-取费表'!h"&amp;$G$1),J51,(C39-C13*J36),0),0)</f>
        <v>-62697</v>
      </c>
      <c r="O51" s="2362" t="s">
        <v>2375</v>
      </c>
      <c r="P51" s="2360" t="s">
        <v>2376</v>
      </c>
      <c r="Q51" s="2363" t="e">
        <f ca="1">J58</f>
        <v>#VALUE!</v>
      </c>
      <c r="R51" s="2364"/>
    </row>
    <row r="52" spans="1:18" s="2041" customFormat="1" ht="18" customHeight="1" thickBot="1">
      <c r="A52" s="780" t="s">
        <v>2527</v>
      </c>
      <c r="B52" s="2455" t="s">
        <v>2450</v>
      </c>
      <c r="C52" s="798">
        <f ca="1">ROUND(IF(F52="押一",C48/12*F11,IF(F52="押二",C48/12*2*F11,IF(F52="押三",C48/12*3*F11,C53*F11))),0)</f>
        <v>0</v>
      </c>
      <c r="D52" s="2462" t="s">
        <v>2964</v>
      </c>
      <c r="E52" s="2459" t="s">
        <v>2455</v>
      </c>
      <c r="F52" s="2582"/>
      <c r="I52" s="2950" t="s">
        <v>2412</v>
      </c>
      <c r="J52" s="2346"/>
      <c r="K52" s="2950" t="s">
        <v>2411</v>
      </c>
      <c r="L52" s="2346"/>
      <c r="O52" s="2362" t="s">
        <v>2377</v>
      </c>
      <c r="P52" s="2360" t="s">
        <v>2378</v>
      </c>
      <c r="Q52" s="2363">
        <f>J52</f>
        <v>0</v>
      </c>
      <c r="R52" s="2364"/>
    </row>
    <row r="53" spans="1:18" s="2041" customFormat="1" ht="39.75" customHeight="1" thickBot="1">
      <c r="A53" s="785"/>
      <c r="B53" s="2456" t="s">
        <v>2564</v>
      </c>
      <c r="C53" s="2460"/>
      <c r="D53" s="2462"/>
      <c r="E53" s="2459"/>
      <c r="F53" s="799"/>
      <c r="I53" s="2951" t="s">
        <v>2967</v>
      </c>
      <c r="J53" s="3028">
        <f ca="1">IF(M47="住宅",IF(D1="——",MAX(J51,L48),MAX(J51,L48-'数据-取费表'!B20)),IF(D1="——",MIN(J51,L48),MIN(J51,L48-'数据-取费表'!B20)))</f>
        <v>41.67</v>
      </c>
      <c r="K53" s="3520" t="s">
        <v>2955</v>
      </c>
      <c r="L53" s="3521"/>
      <c r="O53" s="2362" t="s">
        <v>2379</v>
      </c>
      <c r="P53" s="2360" t="s">
        <v>2380</v>
      </c>
      <c r="Q53" s="2361">
        <f ca="1">J53</f>
        <v>41.67</v>
      </c>
      <c r="R53" s="2360" t="s">
        <v>2381</v>
      </c>
    </row>
    <row r="54" spans="1:18" s="2041" customFormat="1" ht="18" customHeight="1" thickBot="1">
      <c r="A54" s="2498" t="s">
        <v>2458</v>
      </c>
      <c r="B54" s="2499" t="s">
        <v>2451</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2382</v>
      </c>
      <c r="P54" s="2360" t="s">
        <v>2399</v>
      </c>
      <c r="Q54" s="2361">
        <f ca="1">Q48+Q49</f>
        <v>10853</v>
      </c>
      <c r="R54" s="2364" t="s">
        <v>2383</v>
      </c>
    </row>
    <row r="55" spans="1:18" s="2041" customFormat="1" ht="18" customHeight="1" thickTop="1" thickBot="1">
      <c r="A55" s="796">
        <v>2</v>
      </c>
      <c r="B55" s="797" t="s">
        <v>644</v>
      </c>
      <c r="C55" s="798">
        <f ca="1">C13</f>
        <v>39979</v>
      </c>
      <c r="D55" s="794"/>
      <c r="E55" s="794"/>
      <c r="F55" s="799"/>
      <c r="I55" s="2962" t="s">
        <v>2346</v>
      </c>
      <c r="J55" s="2927" t="e">
        <f ca="1">ROUND(IF(J47="钢混",J57/J50,1-(1-2%)*(J50-J57)/J50),3)</f>
        <v>#VALUE!</v>
      </c>
      <c r="K55" s="2963" t="s">
        <v>2347</v>
      </c>
      <c r="L55" s="2347"/>
      <c r="O55" s="2365" t="s">
        <v>2402</v>
      </c>
      <c r="P55" s="1575"/>
      <c r="Q55" s="1586"/>
      <c r="R55" s="1575"/>
    </row>
    <row r="56" spans="1:18" s="2041" customFormat="1" ht="42.75" customHeight="1" thickBot="1">
      <c r="A56" s="1632"/>
      <c r="B56" s="2213" t="s">
        <v>2293</v>
      </c>
      <c r="C56" s="53">
        <f ca="1">C29</f>
        <v>39979</v>
      </c>
      <c r="D56" s="2600"/>
      <c r="E56" s="783"/>
      <c r="F56" s="808"/>
      <c r="I56" s="2964" t="s">
        <v>2348</v>
      </c>
      <c r="J56" s="2974" t="s">
        <v>1675</v>
      </c>
      <c r="K56" s="2944" t="s">
        <v>2353</v>
      </c>
      <c r="L56" s="1890" t="str">
        <f ca="1">IF(L48&lt;J51,"——",L48-J51)</f>
        <v>——</v>
      </c>
      <c r="O56" s="2356" t="s">
        <v>2366</v>
      </c>
      <c r="P56" s="2357" t="s">
        <v>2367</v>
      </c>
      <c r="Q56" s="2358" t="s">
        <v>2368</v>
      </c>
      <c r="R56" s="2357" t="s">
        <v>2369</v>
      </c>
    </row>
    <row r="57" spans="1:18" s="2041" customFormat="1" ht="28.5" customHeight="1" thickBot="1">
      <c r="A57" s="796" t="s">
        <v>1742</v>
      </c>
      <c r="B57" s="797" t="s">
        <v>651</v>
      </c>
      <c r="C57" s="798">
        <f ca="1">ROUND(C58+C63+C64+C65,0)</f>
        <v>695</v>
      </c>
      <c r="D57" s="26" t="s">
        <v>1744</v>
      </c>
      <c r="E57" s="2601"/>
      <c r="F57" s="56"/>
      <c r="I57" s="2965" t="s">
        <v>2349</v>
      </c>
      <c r="J57" s="2966" t="str">
        <f ca="1">IF(OR(M47="住宅",J51&lt;L48,J56="是"),"——",J51-L48)</f>
        <v>——</v>
      </c>
      <c r="K57" s="2944" t="s">
        <v>2354</v>
      </c>
      <c r="L57" s="1890" t="str">
        <f ca="1">IF(L48&lt;J51,"——",IF(L55="比较法",L49,IF(L55="基准地价",L50,L51)))</f>
        <v>——</v>
      </c>
      <c r="O57" s="2359" t="s">
        <v>2370</v>
      </c>
      <c r="P57" s="2360" t="s">
        <v>2400</v>
      </c>
      <c r="Q57" s="2361">
        <f ca="1">C40+J29</f>
        <v>10853</v>
      </c>
      <c r="R57" s="2360" t="s">
        <v>2371</v>
      </c>
    </row>
    <row r="58" spans="1:18" s="2041" customFormat="1" ht="28.5" customHeight="1" thickBot="1">
      <c r="A58" s="1631" t="s">
        <v>1818</v>
      </c>
      <c r="B58" s="783" t="s">
        <v>656</v>
      </c>
      <c r="C58" s="53">
        <f ca="1">ROUND(IF(项目基本情况!B11="自然人",C47*F58,C59+C60+C61),1)</f>
        <v>35.4</v>
      </c>
      <c r="D58" s="2599" t="s">
        <v>657</v>
      </c>
      <c r="E58" s="2600" t="s">
        <v>690</v>
      </c>
      <c r="F58" s="809" t="str">
        <f ca="1">IF(项目基本情况!B11="企业","",IF(INDIRECT("'数据-取费表'!c"&amp;$G$1)="住宅",5%,IF(F48*F49*F50/12/(1+'数据-取费表'!C42)&gt;20000,12%,7%)))</f>
        <v/>
      </c>
      <c r="I58" s="2965" t="s">
        <v>2350</v>
      </c>
      <c r="J58" s="2928" t="e">
        <f ca="1">IF(J55&lt;0.4,0.4,J55)</f>
        <v>#VALUE!</v>
      </c>
      <c r="K58" s="2944" t="s">
        <v>2355</v>
      </c>
      <c r="L58" s="1890" t="e">
        <f ca="1">ROUND(POWER(1+L52,L47-L48)*(POWER(1+L52,L48)-1)/(POWER(1+L52,L47)-1),4)</f>
        <v>#DIV/0!</v>
      </c>
      <c r="O58" s="2359" t="s">
        <v>2372</v>
      </c>
      <c r="P58" s="2360" t="s">
        <v>2403</v>
      </c>
      <c r="Q58" s="2361">
        <f ca="1">L60</f>
        <v>0</v>
      </c>
      <c r="R58" s="2364" t="s">
        <v>2405</v>
      </c>
    </row>
    <row r="59" spans="1:18" s="2041" customFormat="1" ht="28.5" customHeight="1" thickBot="1">
      <c r="A59" s="1630" t="s">
        <v>1825</v>
      </c>
      <c r="B59" s="783" t="s">
        <v>660</v>
      </c>
      <c r="C59" s="53">
        <f ca="1">ROUND(C47*F59/1.05,1)</f>
        <v>0</v>
      </c>
      <c r="D59" s="2600" t="s">
        <v>1750</v>
      </c>
      <c r="E59" s="783" t="s">
        <v>1741</v>
      </c>
      <c r="F59" s="808">
        <f t="shared" ref="F59:F65" si="0">F32</f>
        <v>5.6000000000000001E-2</v>
      </c>
      <c r="I59" s="2965" t="s">
        <v>2351</v>
      </c>
      <c r="J59" s="2966" t="str">
        <f ca="1">IF(OR(M47="住宅",J51&lt;L48,J56="是"),"——",ROUND(C29*J58,0))</f>
        <v>——</v>
      </c>
      <c r="K59" s="2944"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#DIV/0!</v>
      </c>
      <c r="O59" s="2362" t="s">
        <v>2374</v>
      </c>
      <c r="P59" s="2360" t="s">
        <v>2404</v>
      </c>
      <c r="Q59" s="2361">
        <f>IF(L55="比较法",L49,IF(L55="基准地价",L50,0))</f>
        <v>0</v>
      </c>
      <c r="R59" s="2360" t="s">
        <v>2371</v>
      </c>
    </row>
    <row r="60" spans="1:18" s="2041" customFormat="1" ht="18" customHeight="1" thickBot="1">
      <c r="A60" s="1630" t="s">
        <v>1826</v>
      </c>
      <c r="B60" s="783" t="s">
        <v>1752</v>
      </c>
      <c r="C60" s="53">
        <f ca="1">IF(D60="按租金收入计税",ROUND(C47*F60,1),IF(D60="按房产原值计税",ROUND(C56*F60*0.7,1),INDIRECT("'数据-取费表'!Aj"&amp;$G$1)))</f>
        <v>0</v>
      </c>
      <c r="D60" s="2600" t="str">
        <f>D33</f>
        <v>按租金收入计税</v>
      </c>
      <c r="E60" s="783" t="s">
        <v>1741</v>
      </c>
      <c r="F60" s="808">
        <f t="shared" si="0"/>
        <v>0.12</v>
      </c>
      <c r="I60" s="2967" t="s">
        <v>2352</v>
      </c>
      <c r="J60" s="2968" t="str">
        <f ca="1">IF(OR(M47="住宅",J51&lt;L48,J56="是"),"0",ROUND(J59/(1+J52)^J53,0))</f>
        <v>0</v>
      </c>
      <c r="K60" s="2969" t="s">
        <v>2357</v>
      </c>
      <c r="L60" s="2968">
        <f ca="1">IF(OR(M47="住宅",L48&lt;J51),0,ROUND(L57*(L58/L59-1),0))</f>
        <v>0</v>
      </c>
      <c r="O60" s="2362" t="s">
        <v>2375</v>
      </c>
      <c r="P60" s="2360" t="s">
        <v>2384</v>
      </c>
      <c r="Q60" s="2363">
        <f>L52</f>
        <v>0</v>
      </c>
      <c r="R60" s="2364"/>
    </row>
    <row r="61" spans="1:18" s="2041" customFormat="1" ht="18" customHeight="1" thickBot="1">
      <c r="A61" s="1633" t="s">
        <v>1827</v>
      </c>
      <c r="B61" s="340" t="s">
        <v>668</v>
      </c>
      <c r="C61" s="54">
        <f ca="1">ROUND(F61*F62/10000,1)</f>
        <v>35.4</v>
      </c>
      <c r="D61" s="813" t="s">
        <v>669</v>
      </c>
      <c r="E61" s="783" t="s">
        <v>670</v>
      </c>
      <c r="F61" s="639">
        <f t="shared" si="0"/>
        <v>8</v>
      </c>
      <c r="K61" s="2068"/>
      <c r="O61" s="2362" t="s">
        <v>2377</v>
      </c>
      <c r="P61" s="2360" t="s">
        <v>2385</v>
      </c>
      <c r="Q61" s="2361" t="e">
        <f ca="1">L58</f>
        <v>#DIV/0!</v>
      </c>
      <c r="R61" s="2364" t="s">
        <v>2386</v>
      </c>
    </row>
    <row r="62" spans="1:18" s="2041" customFormat="1" ht="15.75" thickBot="1">
      <c r="A62" s="814"/>
      <c r="B62" s="792"/>
      <c r="C62" s="69"/>
      <c r="D62" s="815"/>
      <c r="E62" s="783" t="s">
        <v>674</v>
      </c>
      <c r="F62" s="784">
        <f t="shared" ca="1" si="0"/>
        <v>44202.909999999996</v>
      </c>
      <c r="I62" s="2970" t="s">
        <v>2358</v>
      </c>
      <c r="J62" s="2971" t="s">
        <v>2359</v>
      </c>
      <c r="K62" s="2971" t="s">
        <v>2360</v>
      </c>
      <c r="L62" s="2971" t="s">
        <v>2341</v>
      </c>
      <c r="M62" s="2972" t="s">
        <v>2932</v>
      </c>
      <c r="O62" s="2362" t="s">
        <v>2379</v>
      </c>
      <c r="P62" s="2360" t="str">
        <f>K59</f>
        <v>建筑物剩余耐用年限下的土地年期修正系数Kn</v>
      </c>
      <c r="Q62" s="2361" t="e">
        <f ca="1">L59</f>
        <v>#DIV/0!</v>
      </c>
      <c r="R62" s="2364" t="s">
        <v>2388</v>
      </c>
    </row>
    <row r="63" spans="1:18" s="2041" customFormat="1" ht="15.75" thickBot="1">
      <c r="A63" s="1631" t="s">
        <v>1883</v>
      </c>
      <c r="B63" s="783" t="s">
        <v>676</v>
      </c>
      <c r="C63" s="53">
        <f ca="1">ROUND(C56*F63,1)</f>
        <v>599.70000000000005</v>
      </c>
      <c r="D63" s="2600" t="s">
        <v>1797</v>
      </c>
      <c r="E63" s="783" t="s">
        <v>1741</v>
      </c>
      <c r="F63" s="816">
        <f t="shared" ca="1" si="0"/>
        <v>1.4999999999999999E-2</v>
      </c>
      <c r="I63" s="2970" t="s">
        <v>2361</v>
      </c>
      <c r="J63" s="2971">
        <v>70</v>
      </c>
      <c r="K63" s="2971">
        <v>50</v>
      </c>
      <c r="L63" s="2971">
        <v>80</v>
      </c>
      <c r="M63" s="2973">
        <v>0.02</v>
      </c>
      <c r="O63" s="2359" t="s">
        <v>2382</v>
      </c>
      <c r="P63" s="2360" t="s">
        <v>2399</v>
      </c>
      <c r="Q63" s="2361">
        <f ca="1">Q57+Q58</f>
        <v>10853</v>
      </c>
      <c r="R63" s="2364" t="s">
        <v>2383</v>
      </c>
    </row>
    <row r="64" spans="1:18" s="2041" customFormat="1" ht="16.5" thickBot="1">
      <c r="A64" s="1631" t="s">
        <v>1884</v>
      </c>
      <c r="B64" s="783" t="s">
        <v>679</v>
      </c>
      <c r="C64" s="53">
        <f ca="1">ROUND(C55*F64,1)</f>
        <v>60</v>
      </c>
      <c r="D64" s="2600" t="s">
        <v>680</v>
      </c>
      <c r="E64" s="783" t="s">
        <v>1741</v>
      </c>
      <c r="F64" s="817">
        <f t="shared" ca="1" si="0"/>
        <v>1.5E-3</v>
      </c>
      <c r="I64" s="2970" t="s">
        <v>2362</v>
      </c>
      <c r="J64" s="2971">
        <v>50</v>
      </c>
      <c r="K64" s="2971">
        <v>35</v>
      </c>
      <c r="L64" s="2971">
        <v>60</v>
      </c>
      <c r="M64" s="845">
        <v>0</v>
      </c>
      <c r="O64" s="2365" t="s">
        <v>2406</v>
      </c>
      <c r="P64" s="1575"/>
      <c r="Q64" s="1586"/>
      <c r="R64" s="1575"/>
    </row>
    <row r="65" spans="1:18" s="2041" customFormat="1" ht="15.75" thickBot="1">
      <c r="A65" s="1631" t="s">
        <v>1885</v>
      </c>
      <c r="B65" s="783" t="s">
        <v>666</v>
      </c>
      <c r="C65" s="53">
        <f ca="1">ROUND(C47*F65,1)</f>
        <v>0</v>
      </c>
      <c r="D65" s="2600" t="s">
        <v>683</v>
      </c>
      <c r="E65" s="783" t="s">
        <v>1741</v>
      </c>
      <c r="F65" s="793">
        <f t="shared" ca="1" si="0"/>
        <v>0.01</v>
      </c>
      <c r="I65" s="2970" t="s">
        <v>2363</v>
      </c>
      <c r="J65" s="2971">
        <v>40</v>
      </c>
      <c r="K65" s="2971">
        <v>30</v>
      </c>
      <c r="L65" s="2971">
        <v>50</v>
      </c>
      <c r="M65" s="2973">
        <v>0.02</v>
      </c>
      <c r="O65" s="2356" t="s">
        <v>2366</v>
      </c>
      <c r="P65" s="2357" t="s">
        <v>2367</v>
      </c>
      <c r="Q65" s="2358" t="s">
        <v>2368</v>
      </c>
      <c r="R65" s="2357" t="s">
        <v>2369</v>
      </c>
    </row>
    <row r="66" spans="1:18" s="2041" customFormat="1" ht="24.75" thickBot="1">
      <c r="A66" s="796" t="s">
        <v>1770</v>
      </c>
      <c r="B66" s="2843" t="s">
        <v>2812</v>
      </c>
      <c r="C66" s="798">
        <f ca="1">C47-C57</f>
        <v>-695</v>
      </c>
      <c r="D66" s="2599" t="s">
        <v>700</v>
      </c>
      <c r="E66" s="2598"/>
      <c r="F66" s="819"/>
      <c r="K66" s="2068"/>
      <c r="O66" s="2359" t="s">
        <v>2370</v>
      </c>
      <c r="P66" s="2360" t="s">
        <v>2400</v>
      </c>
      <c r="Q66" s="2361">
        <f ca="1">C40+J29</f>
        <v>10853</v>
      </c>
      <c r="R66" s="2360" t="s">
        <v>2371</v>
      </c>
    </row>
    <row r="67" spans="1:18" s="2041" customFormat="1" ht="20.25" thickBot="1">
      <c r="A67" s="780" t="s">
        <v>1774</v>
      </c>
      <c r="B67" s="2214" t="s">
        <v>2292</v>
      </c>
      <c r="C67" s="782">
        <f ca="1">ROUND(C66*(1-((1+F69)/(1+F67))^F68)/(F67-F69),0)</f>
        <v>-12977</v>
      </c>
      <c r="D67" s="813" t="s">
        <v>704</v>
      </c>
      <c r="E67" s="783" t="s">
        <v>705</v>
      </c>
      <c r="F67" s="793">
        <f ca="1">F40</f>
        <v>4.4999999999999998E-2</v>
      </c>
      <c r="K67" s="2068"/>
      <c r="O67" s="2359" t="s">
        <v>2372</v>
      </c>
      <c r="P67" s="2360" t="s">
        <v>2403</v>
      </c>
      <c r="Q67" s="2361">
        <f ca="1">L60</f>
        <v>0</v>
      </c>
      <c r="R67" s="2364" t="s">
        <v>2405</v>
      </c>
    </row>
    <row r="68" spans="1:18" ht="21.75" thickBot="1">
      <c r="A68" s="785"/>
      <c r="B68" s="786"/>
      <c r="C68" s="787"/>
      <c r="D68" s="820" t="s">
        <v>1802</v>
      </c>
      <c r="E68" s="783" t="s">
        <v>1778</v>
      </c>
      <c r="F68" s="821">
        <f ca="1">F41</f>
        <v>41.67</v>
      </c>
      <c r="O68" s="2362" t="s">
        <v>2374</v>
      </c>
      <c r="P68" s="2360" t="s">
        <v>2404</v>
      </c>
      <c r="Q68" s="2366">
        <f ca="1">L51</f>
        <v>-62697</v>
      </c>
      <c r="R68" s="2367" t="s">
        <v>2407</v>
      </c>
    </row>
    <row r="69" spans="1:18" ht="20.25" thickBot="1">
      <c r="A69" s="789"/>
      <c r="B69" s="790"/>
      <c r="C69" s="791"/>
      <c r="D69" s="815"/>
      <c r="E69" s="783" t="s">
        <v>710</v>
      </c>
      <c r="F69" s="2332"/>
      <c r="O69" s="2362" t="s">
        <v>2375</v>
      </c>
      <c r="P69" s="2368" t="s">
        <v>2389</v>
      </c>
      <c r="Q69" s="2361">
        <f ca="1">ROUND(Q70-Q71*Q72,0)</f>
        <v>-2771</v>
      </c>
      <c r="R69" s="2364"/>
    </row>
    <row r="70" spans="1:18" ht="15.75" thickBot="1">
      <c r="A70" s="822" t="s">
        <v>1781</v>
      </c>
      <c r="B70" s="823" t="s">
        <v>1804</v>
      </c>
      <c r="C70" s="824">
        <f ca="1">ROUND(C67*10000/F70,0)</f>
        <v>-1180</v>
      </c>
      <c r="D70" s="825" t="s">
        <v>1805</v>
      </c>
      <c r="E70" s="826" t="s">
        <v>1806</v>
      </c>
      <c r="F70" s="827">
        <f ca="1">F43</f>
        <v>109970</v>
      </c>
      <c r="O70" s="2362" t="s">
        <v>2390</v>
      </c>
      <c r="P70" s="2368" t="s">
        <v>2391</v>
      </c>
      <c r="Q70" s="2361">
        <f ca="1">C39</f>
        <v>427</v>
      </c>
      <c r="R70" s="2360" t="s">
        <v>2371</v>
      </c>
    </row>
    <row r="71" spans="1:18" ht="15.75" thickBot="1">
      <c r="O71" s="2362" t="s">
        <v>2392</v>
      </c>
      <c r="P71" s="2368" t="s">
        <v>2393</v>
      </c>
      <c r="Q71" s="2361">
        <f ca="1">C13</f>
        <v>39979</v>
      </c>
      <c r="R71" s="2360" t="s">
        <v>2371</v>
      </c>
    </row>
    <row r="72" spans="1:18" ht="15.75" thickBot="1">
      <c r="O72" s="2362" t="s">
        <v>2394</v>
      </c>
      <c r="P72" s="2368" t="s">
        <v>2395</v>
      </c>
      <c r="Q72" s="2363">
        <f ca="1">J36</f>
        <v>0.08</v>
      </c>
      <c r="R72" s="2364"/>
    </row>
    <row r="73" spans="1:18" ht="15.75" thickBot="1">
      <c r="O73" s="2362" t="s">
        <v>2377</v>
      </c>
      <c r="P73" s="2360" t="s">
        <v>2384</v>
      </c>
      <c r="Q73" s="2363">
        <f>L52</f>
        <v>0</v>
      </c>
      <c r="R73" s="2364"/>
    </row>
    <row r="74" spans="1:18" ht="20.25" thickBot="1">
      <c r="O74" s="2362" t="s">
        <v>2379</v>
      </c>
      <c r="P74" s="2360" t="s">
        <v>2385</v>
      </c>
      <c r="Q74" s="2361" t="e">
        <f ca="1">L58</f>
        <v>#DIV/0!</v>
      </c>
      <c r="R74" s="2364" t="s">
        <v>2386</v>
      </c>
    </row>
    <row r="75" spans="1:18" ht="15.75" thickBot="1">
      <c r="O75" s="2362" t="s">
        <v>2408</v>
      </c>
      <c r="P75" s="2360" t="str">
        <f>K59</f>
        <v>建筑物剩余耐用年限下的土地年期修正系数Kn</v>
      </c>
      <c r="Q75" s="2361" t="e">
        <f ca="1">L59</f>
        <v>#DIV/0!</v>
      </c>
      <c r="R75" s="2364" t="s">
        <v>2388</v>
      </c>
    </row>
    <row r="76" spans="1:18" ht="15.75" thickBot="1">
      <c r="O76" s="2359" t="s">
        <v>2382</v>
      </c>
      <c r="P76" s="2360" t="s">
        <v>2399</v>
      </c>
      <c r="Q76" s="2361">
        <f ca="1">Q66+Q67</f>
        <v>10853</v>
      </c>
      <c r="R76" s="2364" t="s">
        <v>2383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7" priority="7">
      <formula>$L$48&gt;$J$51</formula>
    </cfRule>
  </conditionalFormatting>
  <conditionalFormatting sqref="I55">
    <cfRule type="expression" dxfId="36" priority="8">
      <formula>$J$51&gt;$L$48</formula>
    </cfRule>
  </conditionalFormatting>
  <conditionalFormatting sqref="I60">
    <cfRule type="expression" dxfId="35" priority="6">
      <formula>$J$51&gt;$L$48</formula>
    </cfRule>
  </conditionalFormatting>
  <conditionalFormatting sqref="K60">
    <cfRule type="expression" dxfId="34" priority="5">
      <formula>$L$48&gt;$J$51</formula>
    </cfRule>
  </conditionalFormatting>
  <conditionalFormatting sqref="C11">
    <cfRule type="expression" dxfId="33" priority="4">
      <formula>$F$10="自定义"</formula>
    </cfRule>
  </conditionalFormatting>
  <conditionalFormatting sqref="J11">
    <cfRule type="expression" dxfId="32" priority="2">
      <formula>$M$10="自定义"</formula>
    </cfRule>
  </conditionalFormatting>
  <conditionalFormatting sqref="C53">
    <cfRule type="expression" dxfId="31" priority="1">
      <formula>$F$52="自定义"</formula>
    </cfRule>
  </conditionalFormatting>
  <dataValidations count="8">
    <dataValidation type="list" allowBlank="1" showInputMessage="1" showErrorMessage="1" sqref="C1:C3" xr:uid="{00000000-0002-0000-2900-000000000000}">
      <formula1>项目类型</formula1>
    </dataValidation>
    <dataValidation type="list" allowBlank="1" showInputMessage="1" showErrorMessage="1" sqref="K19" xr:uid="{00000000-0002-0000-2900-000001000000}">
      <formula1>"按租金收入计税,按房产原值计税"</formula1>
    </dataValidation>
    <dataValidation type="list" allowBlank="1" showInputMessage="1" showErrorMessage="1" sqref="D33" xr:uid="{00000000-0002-0000-2900-000002000000}">
      <formula1>"按租金收入计税,按房产原值计税,按票据"</formula1>
    </dataValidation>
    <dataValidation type="list" allowBlank="1" showInputMessage="1" showErrorMessage="1" sqref="J56" xr:uid="{00000000-0002-0000-2900-000003000000}">
      <formula1>判定</formula1>
    </dataValidation>
    <dataValidation type="list" allowBlank="1" showInputMessage="1" showErrorMessage="1" sqref="J47" xr:uid="{00000000-0002-0000-2900-000004000000}">
      <formula1>"钢,钢混,砖混"</formula1>
    </dataValidation>
    <dataValidation type="list" allowBlank="1" showInputMessage="1" showErrorMessage="1" sqref="J48" xr:uid="{00000000-0002-0000-2900-000005000000}">
      <formula1>"非生产用房,生产用房,受腐蚀的生产用房"</formula1>
    </dataValidation>
    <dataValidation type="list" allowBlank="1" showInputMessage="1" showErrorMessage="1" sqref="F10 M10 F52" xr:uid="{00000000-0002-0000-2900-000006000000}">
      <formula1>"押一,押二,押三,自定义"</formula1>
    </dataValidation>
    <dataValidation type="list" allowBlank="1" showInputMessage="1" showErrorMessage="1" sqref="D1" xr:uid="{00000000-0002-0000-29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8"/>
  <sheetViews>
    <sheetView workbookViewId="0">
      <selection activeCell="D12" sqref="D12"/>
    </sheetView>
  </sheetViews>
  <sheetFormatPr defaultColWidth="9" defaultRowHeight="13.5"/>
  <cols>
    <col min="1" max="1" width="9" style="3188"/>
    <col min="2" max="2" width="11.625" style="3188" bestFit="1" customWidth="1"/>
    <col min="3" max="16384" width="9" style="3188"/>
  </cols>
  <sheetData>
    <row r="1" spans="1:4">
      <c r="A1" s="3187" t="s">
        <v>3031</v>
      </c>
    </row>
    <row r="2" spans="1:4">
      <c r="B2" s="3187" t="s">
        <v>3032</v>
      </c>
      <c r="C2" s="3187" t="s">
        <v>3033</v>
      </c>
    </row>
    <row r="3" spans="1:4">
      <c r="B3" s="3189">
        <v>43339</v>
      </c>
      <c r="C3" s="3188">
        <v>170187</v>
      </c>
    </row>
    <row r="4" spans="1:4">
      <c r="B4" s="3189">
        <v>43404</v>
      </c>
      <c r="C4" s="3188">
        <v>167467</v>
      </c>
      <c r="D4" s="3188">
        <f>C4/C3-1</f>
        <v>-1.5982419338727349E-2</v>
      </c>
    </row>
    <row r="5" spans="1:4">
      <c r="B5" s="3189">
        <v>43454</v>
      </c>
      <c r="C5" s="3188">
        <v>168606</v>
      </c>
      <c r="D5" s="3188">
        <f>C5/C4-1</f>
        <v>6.8013399654858198E-3</v>
      </c>
    </row>
    <row r="6" spans="1:4">
      <c r="B6" s="3189">
        <v>43619</v>
      </c>
      <c r="C6" s="3188">
        <f>[1]结果表!G19</f>
        <v>172360</v>
      </c>
      <c r="D6" s="3188">
        <f>C6/C5-1</f>
        <v>2.2264925328873142E-2</v>
      </c>
    </row>
    <row r="7" spans="1:4">
      <c r="B7" s="3189">
        <v>43738</v>
      </c>
      <c r="C7" s="3188">
        <v>172360</v>
      </c>
    </row>
    <row r="8" spans="1:4">
      <c r="B8" s="3189">
        <v>44050</v>
      </c>
      <c r="C8" s="3188">
        <f ca="1">结果表!G19</f>
        <v>194742</v>
      </c>
      <c r="D8" s="3188">
        <f ca="1">C8/C7-1</f>
        <v>0.12985611510791362</v>
      </c>
    </row>
  </sheetData>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2"/>
      <c r="C1" s="503" t="s">
        <v>792</v>
      </c>
      <c r="D1" s="848"/>
      <c r="E1" s="505"/>
      <c r="F1" s="2643"/>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794</v>
      </c>
      <c r="B2" s="849"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795</v>
      </c>
      <c r="B3" s="509" t="e">
        <f>IF(B37="元/平方米",C39,ROUND(B2*10000/D3,0))</f>
        <v>#DIV/0!</v>
      </c>
      <c r="C3" s="851" t="s">
        <v>796</v>
      </c>
      <c r="D3" s="850">
        <f>SUMIF('数据-汇总表'!$C19:$C33,D1,'数据-汇总表'!$E19:$E33)</f>
        <v>0</v>
      </c>
      <c r="E3" s="1830" t="s">
        <v>2068</v>
      </c>
      <c r="F3" s="850">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797</v>
      </c>
      <c r="B4" s="512"/>
      <c r="C4" s="3410" t="s">
        <v>798</v>
      </c>
      <c r="D4" s="3411"/>
      <c r="E4" s="3410" t="s">
        <v>799</v>
      </c>
      <c r="F4" s="3411"/>
      <c r="G4" s="3410" t="s">
        <v>800</v>
      </c>
      <c r="H4" s="3411"/>
      <c r="I4" s="3410" t="s">
        <v>801</v>
      </c>
      <c r="J4" s="3411"/>
      <c r="K4" s="513" t="s">
        <v>802</v>
      </c>
      <c r="L4" s="2115"/>
      <c r="M4" s="2116"/>
      <c r="N4" s="2116"/>
      <c r="O4" s="2116"/>
      <c r="P4" s="3412" t="s">
        <v>803</v>
      </c>
      <c r="Q4" s="3413"/>
      <c r="R4" s="3398" t="s">
        <v>799</v>
      </c>
      <c r="S4" s="3399"/>
      <c r="T4" s="3398" t="s">
        <v>800</v>
      </c>
      <c r="U4" s="3399"/>
      <c r="V4" s="3418" t="s">
        <v>801</v>
      </c>
      <c r="W4" s="3418"/>
      <c r="X4" s="1550"/>
      <c r="Y4" s="3398" t="s">
        <v>803</v>
      </c>
      <c r="Z4" s="3399"/>
      <c r="AA4" s="3393" t="s">
        <v>799</v>
      </c>
      <c r="AB4" s="3394" t="s">
        <v>800</v>
      </c>
      <c r="AC4" s="3393" t="s">
        <v>801</v>
      </c>
    </row>
    <row r="5" spans="1:29" ht="15">
      <c r="A5" s="514"/>
      <c r="B5" s="515"/>
      <c r="C5" s="3421" t="s">
        <v>2919</v>
      </c>
      <c r="D5" s="3422"/>
      <c r="E5" s="3421" t="s">
        <v>2920</v>
      </c>
      <c r="F5" s="3422"/>
      <c r="G5" s="3421" t="s">
        <v>2921</v>
      </c>
      <c r="H5" s="3422"/>
      <c r="I5" s="3421" t="s">
        <v>2922</v>
      </c>
      <c r="J5" s="3422"/>
      <c r="K5" s="513"/>
      <c r="L5" s="2115"/>
      <c r="M5" s="2116"/>
      <c r="N5" s="2116"/>
      <c r="O5" s="2116"/>
      <c r="P5" s="3414"/>
      <c r="Q5" s="3415"/>
      <c r="R5" s="3400"/>
      <c r="S5" s="3401"/>
      <c r="T5" s="3400"/>
      <c r="U5" s="3401"/>
      <c r="V5" s="3418"/>
      <c r="W5" s="3418"/>
      <c r="X5" s="1550"/>
      <c r="Y5" s="3400"/>
      <c r="Z5" s="3401"/>
      <c r="AA5" s="3394"/>
      <c r="AB5" s="3394"/>
      <c r="AC5" s="3394"/>
    </row>
    <row r="6" spans="1:29" ht="15.75" thickBot="1">
      <c r="A6" s="516"/>
      <c r="B6" s="517"/>
      <c r="C6" s="3419" t="s">
        <v>2923</v>
      </c>
      <c r="D6" s="3420"/>
      <c r="E6" s="3423" t="s">
        <v>2923</v>
      </c>
      <c r="F6" s="3424"/>
      <c r="G6" s="3419" t="s">
        <v>2923</v>
      </c>
      <c r="H6" s="3420"/>
      <c r="I6" s="3419" t="s">
        <v>2923</v>
      </c>
      <c r="J6" s="3420"/>
      <c r="K6" s="513" t="s">
        <v>528</v>
      </c>
      <c r="L6" s="2115"/>
      <c r="M6" s="2116"/>
      <c r="N6" s="2116"/>
      <c r="O6" s="2116"/>
      <c r="P6" s="3416"/>
      <c r="Q6" s="3417"/>
      <c r="R6" s="3400"/>
      <c r="S6" s="3401"/>
      <c r="T6" s="3402"/>
      <c r="U6" s="3403"/>
      <c r="V6" s="3418"/>
      <c r="W6" s="3418"/>
      <c r="X6" s="1550"/>
      <c r="Y6" s="3402"/>
      <c r="Z6" s="3403"/>
      <c r="AA6" s="3395"/>
      <c r="AB6" s="3395"/>
      <c r="AC6" s="3395"/>
    </row>
    <row r="7" spans="1:29" s="1214" customFormat="1" ht="15.75" thickBot="1">
      <c r="A7" s="2748"/>
      <c r="B7" s="2755" t="s">
        <v>529</v>
      </c>
      <c r="C7" s="518">
        <f>'数据-取费表'!B2</f>
        <v>44050</v>
      </c>
      <c r="D7" s="519">
        <v>100</v>
      </c>
      <c r="E7" s="520"/>
      <c r="F7" s="521">
        <f>SUMIF(48:48,YEAR(E7)&amp;"-"&amp;MONTH(E7),49:49)</f>
        <v>0</v>
      </c>
      <c r="G7" s="522"/>
      <c r="H7" s="519">
        <f>SUMIF(48:48,YEAR(G7)&amp;"-"&amp;MONTH(G7),49:49)</f>
        <v>0</v>
      </c>
      <c r="I7" s="522"/>
      <c r="J7" s="519">
        <f>SUMIF(48:48,YEAR(I7)&amp;"-"&amp;MONTH(I7),49:49)</f>
        <v>0</v>
      </c>
      <c r="K7" s="523"/>
      <c r="L7" s="2117"/>
      <c r="M7" s="2118"/>
      <c r="N7" s="2118"/>
      <c r="O7" s="2118"/>
      <c r="P7" s="3396" t="s">
        <v>530</v>
      </c>
      <c r="Q7" s="3405"/>
      <c r="R7" s="1551" t="s">
        <v>8</v>
      </c>
      <c r="S7" s="1552">
        <f t="shared" ref="S7:S14" si="0">F7</f>
        <v>0</v>
      </c>
      <c r="T7" s="1551" t="s">
        <v>8</v>
      </c>
      <c r="U7" s="1552">
        <f t="shared" ref="U7:U14" si="1">H7</f>
        <v>0</v>
      </c>
      <c r="V7" s="1551" t="s">
        <v>8</v>
      </c>
      <c r="W7" s="1552">
        <f t="shared" ref="W7:W14" si="2">J7</f>
        <v>0</v>
      </c>
      <c r="X7" s="1553"/>
      <c r="Y7" s="3396" t="s">
        <v>530</v>
      </c>
      <c r="Z7" s="3397"/>
      <c r="AA7" s="1554" t="e">
        <f>D7/F7</f>
        <v>#DIV/0!</v>
      </c>
      <c r="AB7" s="1554" t="e">
        <f>D7/H7</f>
        <v>#DIV/0!</v>
      </c>
      <c r="AC7" s="1554" t="e">
        <f>D7/J7</f>
        <v>#DIV/0!</v>
      </c>
    </row>
    <row r="8" spans="1:29" s="1214" customFormat="1" ht="15.75" thickBot="1">
      <c r="A8" s="2749"/>
      <c r="B8" s="2756" t="s">
        <v>531</v>
      </c>
      <c r="C8" s="524" t="s">
        <v>576</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396" t="s">
        <v>533</v>
      </c>
      <c r="Q8" s="3397"/>
      <c r="R8" s="1551" t="s">
        <v>8</v>
      </c>
      <c r="S8" s="1552">
        <f t="shared" si="0"/>
        <v>0</v>
      </c>
      <c r="T8" s="1551" t="s">
        <v>8</v>
      </c>
      <c r="U8" s="1552">
        <f t="shared" si="1"/>
        <v>0</v>
      </c>
      <c r="V8" s="1551" t="s">
        <v>8</v>
      </c>
      <c r="W8" s="1552">
        <f t="shared" si="2"/>
        <v>0</v>
      </c>
      <c r="X8" s="1553"/>
      <c r="Y8" s="3396" t="s">
        <v>533</v>
      </c>
      <c r="Z8" s="3397"/>
      <c r="AA8" s="1554" t="e">
        <f t="shared" ref="AA8:AA36" si="3">D8/F8</f>
        <v>#DIV/0!</v>
      </c>
      <c r="AB8" s="1554" t="e">
        <f t="shared" ref="AB8:AB36" si="4">D8/H8</f>
        <v>#DIV/0!</v>
      </c>
      <c r="AC8" s="1554" t="e">
        <f t="shared" ref="AC8:AC36" si="5">D8/J8</f>
        <v>#DIV/0!</v>
      </c>
    </row>
    <row r="9" spans="1:29" s="1214" customFormat="1" ht="15">
      <c r="A9" s="2750"/>
      <c r="B9" s="2757" t="s">
        <v>2746</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404" t="s">
        <v>535</v>
      </c>
      <c r="Q9" s="1145" t="str">
        <f t="shared" ref="Q9:Q14" si="6">B9</f>
        <v>用途</v>
      </c>
      <c r="R9" s="1551" t="s">
        <v>8</v>
      </c>
      <c r="S9" s="1552">
        <f t="shared" si="0"/>
        <v>100</v>
      </c>
      <c r="T9" s="1551" t="s">
        <v>8</v>
      </c>
      <c r="U9" s="1552">
        <f t="shared" si="1"/>
        <v>100</v>
      </c>
      <c r="V9" s="1551" t="s">
        <v>8</v>
      </c>
      <c r="W9" s="1552">
        <f t="shared" si="2"/>
        <v>100</v>
      </c>
      <c r="X9" s="1553"/>
      <c r="Y9" s="3358" t="s">
        <v>536</v>
      </c>
      <c r="Z9" s="1144" t="str">
        <f t="shared" ref="Z9:Z14" si="7">Q9</f>
        <v>用途</v>
      </c>
      <c r="AA9" s="1554">
        <f t="shared" si="3"/>
        <v>1</v>
      </c>
      <c r="AB9" s="1554">
        <f t="shared" si="4"/>
        <v>1</v>
      </c>
      <c r="AC9" s="1554">
        <f t="shared" si="5"/>
        <v>1</v>
      </c>
    </row>
    <row r="10" spans="1:29" s="1332" customFormat="1" ht="27">
      <c r="A10" s="2751"/>
      <c r="B10" s="2756" t="s">
        <v>2747</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404"/>
      <c r="Q10" s="1145" t="str">
        <f t="shared" si="6"/>
        <v>土地使用年限（年）</v>
      </c>
      <c r="R10" s="1551" t="s">
        <v>8</v>
      </c>
      <c r="S10" s="1552">
        <f t="shared" si="0"/>
        <v>100</v>
      </c>
      <c r="T10" s="1551" t="s">
        <v>8</v>
      </c>
      <c r="U10" s="1552">
        <f t="shared" si="1"/>
        <v>100</v>
      </c>
      <c r="V10" s="1551" t="s">
        <v>8</v>
      </c>
      <c r="W10" s="1552">
        <f t="shared" si="2"/>
        <v>100</v>
      </c>
      <c r="X10" s="1553"/>
      <c r="Y10" s="3358"/>
      <c r="Z10" s="1144" t="str">
        <f t="shared" si="7"/>
        <v>土地使用年限（年）</v>
      </c>
      <c r="AA10" s="1554">
        <f t="shared" si="3"/>
        <v>1</v>
      </c>
      <c r="AB10" s="1554">
        <f t="shared" si="4"/>
        <v>1</v>
      </c>
      <c r="AC10" s="1554">
        <f t="shared" si="5"/>
        <v>1</v>
      </c>
    </row>
    <row r="11" spans="1:29" ht="15">
      <c r="A11" s="2753"/>
      <c r="B11" s="2759">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404"/>
      <c r="Q11" s="1145">
        <f t="shared" si="6"/>
        <v>111</v>
      </c>
      <c r="R11" s="1551" t="s">
        <v>8</v>
      </c>
      <c r="S11" s="1552">
        <f t="shared" si="0"/>
        <v>100</v>
      </c>
      <c r="T11" s="1551" t="s">
        <v>8</v>
      </c>
      <c r="U11" s="1552">
        <f t="shared" si="1"/>
        <v>100</v>
      </c>
      <c r="V11" s="1551" t="s">
        <v>8</v>
      </c>
      <c r="W11" s="1552">
        <f t="shared" si="2"/>
        <v>100</v>
      </c>
      <c r="X11" s="1553"/>
      <c r="Y11" s="3358"/>
      <c r="Z11" s="1144">
        <f t="shared" si="7"/>
        <v>111</v>
      </c>
      <c r="AA11" s="1554">
        <f t="shared" si="3"/>
        <v>1</v>
      </c>
      <c r="AB11" s="1554">
        <f t="shared" si="4"/>
        <v>1</v>
      </c>
      <c r="AC11" s="1554">
        <f t="shared" si="5"/>
        <v>1</v>
      </c>
    </row>
    <row r="12" spans="1:29" s="1214" customFormat="1" ht="15">
      <c r="A12" s="2753"/>
      <c r="B12" s="2759">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404"/>
      <c r="Q12" s="1145">
        <f t="shared" si="6"/>
        <v>111</v>
      </c>
      <c r="R12" s="1551" t="s">
        <v>8</v>
      </c>
      <c r="S12" s="1552">
        <f t="shared" si="0"/>
        <v>100</v>
      </c>
      <c r="T12" s="1551" t="s">
        <v>8</v>
      </c>
      <c r="U12" s="1552">
        <f t="shared" si="1"/>
        <v>100</v>
      </c>
      <c r="V12" s="1551" t="s">
        <v>8</v>
      </c>
      <c r="W12" s="1552">
        <f t="shared" si="2"/>
        <v>100</v>
      </c>
      <c r="X12" s="1553"/>
      <c r="Y12" s="3358"/>
      <c r="Z12" s="1144">
        <f t="shared" si="7"/>
        <v>111</v>
      </c>
      <c r="AA12" s="1554">
        <f>D12/F12</f>
        <v>1</v>
      </c>
      <c r="AB12" s="1554">
        <f>D12/H12</f>
        <v>1</v>
      </c>
      <c r="AC12" s="1554">
        <f>D12/J12</f>
        <v>1</v>
      </c>
    </row>
    <row r="13" spans="1:29" ht="15.75" thickBot="1">
      <c r="A13" s="2754"/>
      <c r="B13" s="2760">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404"/>
      <c r="Q13" s="1145">
        <f t="shared" si="6"/>
        <v>111</v>
      </c>
      <c r="R13" s="1551" t="s">
        <v>8</v>
      </c>
      <c r="S13" s="1552">
        <f t="shared" si="0"/>
        <v>100</v>
      </c>
      <c r="T13" s="1551" t="s">
        <v>8</v>
      </c>
      <c r="U13" s="1552">
        <f t="shared" si="1"/>
        <v>100</v>
      </c>
      <c r="V13" s="1551" t="s">
        <v>8</v>
      </c>
      <c r="W13" s="1552">
        <f t="shared" si="2"/>
        <v>100</v>
      </c>
      <c r="X13" s="1553"/>
      <c r="Y13" s="3358"/>
      <c r="Z13" s="1144">
        <f t="shared" si="7"/>
        <v>111</v>
      </c>
      <c r="AA13" s="1554">
        <f t="shared" si="3"/>
        <v>1</v>
      </c>
      <c r="AB13" s="1554">
        <f t="shared" si="4"/>
        <v>1</v>
      </c>
      <c r="AC13" s="1554">
        <f t="shared" si="5"/>
        <v>1</v>
      </c>
    </row>
    <row r="14" spans="1:29" ht="85.5">
      <c r="A14" s="2746" t="s">
        <v>2744</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4"/>
      <c r="M14" s="2116"/>
      <c r="N14" s="2116"/>
      <c r="O14" s="2123"/>
      <c r="P14" s="3406" t="s">
        <v>540</v>
      </c>
      <c r="Q14" s="1555" t="str">
        <f t="shared" si="6"/>
        <v>交通便捷度</v>
      </c>
      <c r="R14" s="1556" t="s">
        <v>8</v>
      </c>
      <c r="S14" s="1557">
        <f t="shared" si="0"/>
        <v>100</v>
      </c>
      <c r="T14" s="1556" t="s">
        <v>8</v>
      </c>
      <c r="U14" s="1557">
        <f t="shared" si="1"/>
        <v>100</v>
      </c>
      <c r="V14" s="1556" t="s">
        <v>8</v>
      </c>
      <c r="W14" s="1557">
        <f t="shared" si="2"/>
        <v>100</v>
      </c>
      <c r="X14" s="1550"/>
      <c r="Y14" s="3406" t="s">
        <v>540</v>
      </c>
      <c r="Z14" s="1558" t="str">
        <f t="shared" si="7"/>
        <v>交通便捷度</v>
      </c>
      <c r="AA14" s="1559">
        <f t="shared" si="3"/>
        <v>1</v>
      </c>
      <c r="AB14" s="1559">
        <f t="shared" si="4"/>
        <v>1</v>
      </c>
      <c r="AC14" s="1559">
        <f t="shared" si="5"/>
        <v>1</v>
      </c>
    </row>
    <row r="15" spans="1:29" ht="15">
      <c r="A15" s="514"/>
      <c r="B15" s="923"/>
      <c r="C15" s="575"/>
      <c r="D15" s="554"/>
      <c r="E15" s="575"/>
      <c r="F15" s="556"/>
      <c r="G15" s="575"/>
      <c r="H15" s="558"/>
      <c r="I15" s="575"/>
      <c r="J15" s="554"/>
      <c r="K15" s="898"/>
      <c r="L15" s="2124"/>
      <c r="M15" s="2116"/>
      <c r="N15" s="2116"/>
      <c r="O15" s="2123"/>
      <c r="P15" s="3407"/>
      <c r="Q15" s="1555"/>
      <c r="R15" s="1556"/>
      <c r="S15" s="1557"/>
      <c r="T15" s="1556"/>
      <c r="U15" s="1557"/>
      <c r="V15" s="1556"/>
      <c r="W15" s="1557"/>
      <c r="X15" s="1550"/>
      <c r="Y15" s="3407"/>
      <c r="Z15" s="1558"/>
      <c r="AA15" s="1559">
        <v>1</v>
      </c>
      <c r="AB15" s="1559">
        <v>1</v>
      </c>
      <c r="AC15" s="1559">
        <v>1</v>
      </c>
    </row>
    <row r="16" spans="1:29" ht="42.75">
      <c r="A16" s="514"/>
      <c r="B16" s="2564" t="s">
        <v>2537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4"/>
      <c r="M16" s="2116"/>
      <c r="N16" s="2116"/>
      <c r="O16" s="2123"/>
      <c r="P16" s="3407"/>
      <c r="Q16" s="1555" t="str">
        <f>B16</f>
        <v>公共配套设施</v>
      </c>
      <c r="R16" s="1556" t="s">
        <v>8</v>
      </c>
      <c r="S16" s="1557">
        <f>F16</f>
        <v>100</v>
      </c>
      <c r="T16" s="1556" t="s">
        <v>8</v>
      </c>
      <c r="U16" s="1557">
        <f>H16</f>
        <v>100</v>
      </c>
      <c r="V16" s="1556" t="s">
        <v>8</v>
      </c>
      <c r="W16" s="1557">
        <f>J16</f>
        <v>100</v>
      </c>
      <c r="X16" s="1550"/>
      <c r="Y16" s="3407"/>
      <c r="Z16" s="1558" t="str">
        <f>Q16</f>
        <v>公共配套设施</v>
      </c>
      <c r="AA16" s="1559">
        <f t="shared" si="3"/>
        <v>1</v>
      </c>
      <c r="AB16" s="1559">
        <f t="shared" si="4"/>
        <v>1</v>
      </c>
      <c r="AC16" s="1559">
        <f t="shared" si="5"/>
        <v>1</v>
      </c>
    </row>
    <row r="17" spans="1:29" ht="15">
      <c r="A17" s="514"/>
      <c r="B17" s="565"/>
      <c r="C17" s="872"/>
      <c r="D17" s="554"/>
      <c r="E17" s="575"/>
      <c r="F17" s="556"/>
      <c r="G17" s="575"/>
      <c r="H17" s="554"/>
      <c r="I17" s="575"/>
      <c r="J17" s="554"/>
      <c r="K17" s="898"/>
      <c r="L17" s="2124"/>
      <c r="M17" s="2116"/>
      <c r="N17" s="2116"/>
      <c r="O17" s="2123"/>
      <c r="P17" s="3407"/>
      <c r="Q17" s="1555"/>
      <c r="R17" s="1556"/>
      <c r="S17" s="1557"/>
      <c r="T17" s="1556"/>
      <c r="U17" s="1557"/>
      <c r="V17" s="1556"/>
      <c r="W17" s="1557"/>
      <c r="X17" s="1550"/>
      <c r="Y17" s="3407"/>
      <c r="Z17" s="1558"/>
      <c r="AA17" s="1559">
        <v>1</v>
      </c>
      <c r="AB17" s="1559">
        <v>1</v>
      </c>
      <c r="AC17" s="1559">
        <v>1</v>
      </c>
    </row>
    <row r="18" spans="1:29" ht="28.5">
      <c r="A18" s="514"/>
      <c r="B18" s="2552" t="s">
        <v>2549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4"/>
      <c r="M18" s="2116"/>
      <c r="N18" s="2116"/>
      <c r="O18" s="2123"/>
      <c r="P18" s="3407"/>
      <c r="Q18" s="2540" t="str">
        <f>B18</f>
        <v>基础设施水平</v>
      </c>
      <c r="R18" s="1556" t="s">
        <v>8</v>
      </c>
      <c r="S18" s="1557">
        <f>F18</f>
        <v>100</v>
      </c>
      <c r="T18" s="1556" t="s">
        <v>8</v>
      </c>
      <c r="U18" s="1557">
        <f>H18</f>
        <v>100</v>
      </c>
      <c r="V18" s="1556" t="s">
        <v>8</v>
      </c>
      <c r="W18" s="1557">
        <f>J18</f>
        <v>100</v>
      </c>
      <c r="X18" s="2542"/>
      <c r="Y18" s="3407"/>
      <c r="Z18" s="2541" t="str">
        <f>Q18</f>
        <v>基础设施水平</v>
      </c>
      <c r="AA18" s="1559">
        <f t="shared" ref="AA18" si="8">D18/F18</f>
        <v>1</v>
      </c>
      <c r="AB18" s="1559">
        <f t="shared" ref="AB18" si="9">D18/H18</f>
        <v>1</v>
      </c>
      <c r="AC18" s="1559">
        <f t="shared" ref="AC18" si="10">D18/J18</f>
        <v>1</v>
      </c>
    </row>
    <row r="19" spans="1:29" ht="15">
      <c r="A19" s="514"/>
      <c r="B19" s="577"/>
      <c r="C19" s="872"/>
      <c r="D19" s="558"/>
      <c r="E19" s="575"/>
      <c r="F19" s="556"/>
      <c r="G19" s="575"/>
      <c r="H19" s="554"/>
      <c r="I19" s="575"/>
      <c r="J19" s="554"/>
      <c r="K19" s="2563"/>
      <c r="L19" s="2124"/>
      <c r="M19" s="2116"/>
      <c r="N19" s="2116"/>
      <c r="O19" s="2123"/>
      <c r="P19" s="3407"/>
      <c r="Q19" s="2540"/>
      <c r="R19" s="1556"/>
      <c r="S19" s="1557"/>
      <c r="T19" s="1556"/>
      <c r="U19" s="1557"/>
      <c r="V19" s="1556"/>
      <c r="W19" s="1557"/>
      <c r="X19" s="2542"/>
      <c r="Y19" s="3407"/>
      <c r="Z19" s="2541"/>
      <c r="AA19" s="1559">
        <v>1</v>
      </c>
      <c r="AB19" s="1559">
        <v>1</v>
      </c>
      <c r="AC19" s="1559">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4"/>
      <c r="M20" s="2116"/>
      <c r="N20" s="2116"/>
      <c r="O20" s="2123"/>
      <c r="P20" s="3407"/>
      <c r="Q20" s="1555" t="str">
        <f>B20</f>
        <v>自然及人文环境</v>
      </c>
      <c r="R20" s="1556" t="s">
        <v>8</v>
      </c>
      <c r="S20" s="1557">
        <f>F20</f>
        <v>100</v>
      </c>
      <c r="T20" s="1556" t="s">
        <v>8</v>
      </c>
      <c r="U20" s="1557">
        <f>H20</f>
        <v>100</v>
      </c>
      <c r="V20" s="1556" t="s">
        <v>8</v>
      </c>
      <c r="W20" s="1557">
        <f>J20</f>
        <v>100</v>
      </c>
      <c r="X20" s="1550"/>
      <c r="Y20" s="3407"/>
      <c r="Z20" s="1558" t="str">
        <f>Q20</f>
        <v>自然及人文环境</v>
      </c>
      <c r="AA20" s="1559">
        <f t="shared" si="3"/>
        <v>1</v>
      </c>
      <c r="AB20" s="1559">
        <f t="shared" si="4"/>
        <v>1</v>
      </c>
      <c r="AC20" s="1559">
        <f t="shared" si="5"/>
        <v>1</v>
      </c>
    </row>
    <row r="21" spans="1:29" ht="15">
      <c r="A21" s="514"/>
      <c r="B21" s="565"/>
      <c r="C21" s="575"/>
      <c r="D21" s="554"/>
      <c r="E21" s="575"/>
      <c r="F21" s="556"/>
      <c r="G21" s="575"/>
      <c r="H21" s="554"/>
      <c r="I21" s="575"/>
      <c r="J21" s="554"/>
      <c r="K21" s="898"/>
      <c r="L21" s="2124"/>
      <c r="M21" s="2116"/>
      <c r="N21" s="2116"/>
      <c r="O21" s="2123"/>
      <c r="P21" s="3407"/>
      <c r="Q21" s="1555"/>
      <c r="R21" s="1556"/>
      <c r="S21" s="1557"/>
      <c r="T21" s="1556"/>
      <c r="U21" s="1557"/>
      <c r="V21" s="1556"/>
      <c r="W21" s="1557"/>
      <c r="X21" s="1550"/>
      <c r="Y21" s="3407"/>
      <c r="Z21" s="1558"/>
      <c r="AA21" s="1559">
        <v>1</v>
      </c>
      <c r="AB21" s="1559">
        <v>1</v>
      </c>
      <c r="AC21" s="1559">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407"/>
      <c r="Q22" s="1555" t="str">
        <f>B22</f>
        <v>楼层</v>
      </c>
      <c r="R22" s="1556" t="s">
        <v>8</v>
      </c>
      <c r="S22" s="1557">
        <f>F22</f>
        <v>100</v>
      </c>
      <c r="T22" s="1556" t="s">
        <v>8</v>
      </c>
      <c r="U22" s="1557">
        <f>H22</f>
        <v>100</v>
      </c>
      <c r="V22" s="1556" t="s">
        <v>8</v>
      </c>
      <c r="W22" s="1557">
        <f>J22</f>
        <v>100</v>
      </c>
      <c r="X22" s="1550"/>
      <c r="Y22" s="3407"/>
      <c r="Z22" s="1558" t="str">
        <f>Q22</f>
        <v>楼层</v>
      </c>
      <c r="AA22" s="1559">
        <f t="shared" si="3"/>
        <v>1</v>
      </c>
      <c r="AB22" s="1559">
        <f t="shared" si="4"/>
        <v>1</v>
      </c>
      <c r="AC22" s="1559">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407"/>
      <c r="Q23" s="1555">
        <f>B23</f>
        <v>111</v>
      </c>
      <c r="R23" s="1556" t="s">
        <v>8</v>
      </c>
      <c r="S23" s="1557">
        <f>F23</f>
        <v>100</v>
      </c>
      <c r="T23" s="1556" t="s">
        <v>8</v>
      </c>
      <c r="U23" s="1557">
        <f>H23</f>
        <v>100</v>
      </c>
      <c r="V23" s="1556" t="s">
        <v>8</v>
      </c>
      <c r="W23" s="1557">
        <f>J23</f>
        <v>100</v>
      </c>
      <c r="X23" s="1550"/>
      <c r="Y23" s="3407"/>
      <c r="Z23" s="1558">
        <f>Q23</f>
        <v>111</v>
      </c>
      <c r="AA23" s="1559">
        <f t="shared" si="3"/>
        <v>1</v>
      </c>
      <c r="AB23" s="1559">
        <f t="shared" si="4"/>
        <v>1</v>
      </c>
      <c r="AC23" s="1559">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407"/>
      <c r="Q24" s="1555">
        <f t="shared" ref="Q24:Q36" si="11">B24</f>
        <v>111</v>
      </c>
      <c r="R24" s="1556" t="s">
        <v>8</v>
      </c>
      <c r="S24" s="1557">
        <f>F24</f>
        <v>100</v>
      </c>
      <c r="T24" s="1556" t="s">
        <v>8</v>
      </c>
      <c r="U24" s="1557">
        <f>H24</f>
        <v>100</v>
      </c>
      <c r="V24" s="1556" t="s">
        <v>8</v>
      </c>
      <c r="W24" s="1557">
        <f>J24</f>
        <v>100</v>
      </c>
      <c r="X24" s="1550"/>
      <c r="Y24" s="3407"/>
      <c r="Z24" s="1558">
        <f>Q24</f>
        <v>111</v>
      </c>
      <c r="AA24" s="1559">
        <f t="shared" si="3"/>
        <v>1</v>
      </c>
      <c r="AB24" s="1559">
        <f t="shared" si="4"/>
        <v>1</v>
      </c>
      <c r="AC24" s="1559">
        <f t="shared" si="5"/>
        <v>1</v>
      </c>
    </row>
    <row r="25" spans="1:29" s="1214"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7"/>
      <c r="M25" s="2118"/>
      <c r="N25" s="2118"/>
      <c r="O25" s="2119"/>
      <c r="P25" s="3407"/>
      <c r="Q25" s="1145">
        <f t="shared" si="11"/>
        <v>111</v>
      </c>
      <c r="R25" s="1551" t="s">
        <v>8</v>
      </c>
      <c r="S25" s="1552">
        <f>F25</f>
        <v>100</v>
      </c>
      <c r="T25" s="1551" t="s">
        <v>8</v>
      </c>
      <c r="U25" s="1552">
        <f>H25</f>
        <v>100</v>
      </c>
      <c r="V25" s="1551" t="s">
        <v>8</v>
      </c>
      <c r="W25" s="1552">
        <f>J25</f>
        <v>100</v>
      </c>
      <c r="X25" s="1553"/>
      <c r="Y25" s="3407"/>
      <c r="Z25" s="1144">
        <f>Q25</f>
        <v>111</v>
      </c>
      <c r="AA25" s="1559">
        <f>D25/F25</f>
        <v>1</v>
      </c>
      <c r="AB25" s="1559">
        <f>D25/H25</f>
        <v>1</v>
      </c>
      <c r="AC25" s="1559">
        <f>D25/J25</f>
        <v>1</v>
      </c>
    </row>
    <row r="26" spans="1:29" ht="15">
      <c r="A26" s="2743" t="s">
        <v>2745</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408"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09" t="s">
        <v>550</v>
      </c>
      <c r="Z26" s="1558" t="str">
        <f t="shared" ref="Z26:Z36" si="15">Q26</f>
        <v>配套类型</v>
      </c>
      <c r="AA26" s="1559">
        <f t="shared" si="3"/>
        <v>1</v>
      </c>
      <c r="AB26" s="1559">
        <f t="shared" si="4"/>
        <v>1</v>
      </c>
      <c r="AC26" s="1559">
        <f t="shared" si="5"/>
        <v>1</v>
      </c>
    </row>
    <row r="27" spans="1:29" s="1333"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2"/>
      <c r="M27" s="2153"/>
      <c r="N27" s="2153"/>
      <c r="O27" s="2125"/>
      <c r="P27" s="3409"/>
      <c r="Q27" s="1587" t="str">
        <f t="shared" si="11"/>
        <v>项目停车位配比</v>
      </c>
      <c r="R27" s="1560" t="s">
        <v>8</v>
      </c>
      <c r="S27" s="1561">
        <f t="shared" si="12"/>
        <v>100</v>
      </c>
      <c r="T27" s="1560" t="s">
        <v>8</v>
      </c>
      <c r="U27" s="1561">
        <f t="shared" si="13"/>
        <v>100</v>
      </c>
      <c r="V27" s="1560" t="s">
        <v>8</v>
      </c>
      <c r="W27" s="1561">
        <f t="shared" si="14"/>
        <v>100</v>
      </c>
      <c r="X27" s="1562"/>
      <c r="Y27" s="3409"/>
      <c r="Z27" s="1563" t="str">
        <f t="shared" si="15"/>
        <v>项目停车位配比</v>
      </c>
      <c r="AA27" s="1559">
        <f t="shared" si="3"/>
        <v>1</v>
      </c>
      <c r="AB27" s="1559">
        <f t="shared" si="4"/>
        <v>1</v>
      </c>
      <c r="AC27" s="1559">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409"/>
      <c r="Q28" s="1555" t="str">
        <f t="shared" si="11"/>
        <v>公共部分装修</v>
      </c>
      <c r="R28" s="1556" t="s">
        <v>8</v>
      </c>
      <c r="S28" s="1557">
        <f t="shared" si="12"/>
        <v>100</v>
      </c>
      <c r="T28" s="1556" t="s">
        <v>8</v>
      </c>
      <c r="U28" s="1557">
        <f t="shared" si="13"/>
        <v>100</v>
      </c>
      <c r="V28" s="1556" t="s">
        <v>8</v>
      </c>
      <c r="W28" s="1557">
        <f t="shared" si="14"/>
        <v>100</v>
      </c>
      <c r="X28" s="1550"/>
      <c r="Y28" s="3409"/>
      <c r="Z28" s="1558" t="str">
        <f t="shared" si="15"/>
        <v>公共部分装修</v>
      </c>
      <c r="AA28" s="1559">
        <f t="shared" si="3"/>
        <v>1</v>
      </c>
      <c r="AB28" s="1559">
        <f t="shared" si="4"/>
        <v>1</v>
      </c>
      <c r="AC28" s="1559">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4"/>
      <c r="M29" s="2116"/>
      <c r="N29" s="2116"/>
      <c r="O29" s="2123"/>
      <c r="P29" s="3409"/>
      <c r="Q29" s="1555" t="str">
        <f t="shared" si="11"/>
        <v>成新率</v>
      </c>
      <c r="R29" s="1556" t="s">
        <v>8</v>
      </c>
      <c r="S29" s="1557" t="e">
        <f t="shared" si="12"/>
        <v>#N/A</v>
      </c>
      <c r="T29" s="1556" t="s">
        <v>8</v>
      </c>
      <c r="U29" s="1557" t="e">
        <f t="shared" si="13"/>
        <v>#N/A</v>
      </c>
      <c r="V29" s="1556" t="s">
        <v>8</v>
      </c>
      <c r="W29" s="1557" t="e">
        <f t="shared" si="14"/>
        <v>#N/A</v>
      </c>
      <c r="X29" s="1550"/>
      <c r="Y29" s="3409"/>
      <c r="Z29" s="1558" t="str">
        <f t="shared" si="15"/>
        <v>成新率</v>
      </c>
      <c r="AA29" s="1559" t="e">
        <f t="shared" si="3"/>
        <v>#N/A</v>
      </c>
      <c r="AB29" s="1559" t="e">
        <f t="shared" si="4"/>
        <v>#N/A</v>
      </c>
      <c r="AC29" s="1559"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4"/>
      <c r="M30" s="2116"/>
      <c r="N30" s="2116"/>
      <c r="O30" s="2123"/>
      <c r="P30" s="3409"/>
      <c r="Q30" s="1555" t="str">
        <f t="shared" si="11"/>
        <v>物业等级</v>
      </c>
      <c r="R30" s="1556" t="s">
        <v>8</v>
      </c>
      <c r="S30" s="1557">
        <f t="shared" si="12"/>
        <v>100</v>
      </c>
      <c r="T30" s="1556" t="s">
        <v>8</v>
      </c>
      <c r="U30" s="1557">
        <f t="shared" si="13"/>
        <v>100</v>
      </c>
      <c r="V30" s="1556" t="s">
        <v>8</v>
      </c>
      <c r="W30" s="1557">
        <f t="shared" si="14"/>
        <v>100</v>
      </c>
      <c r="X30" s="1550"/>
      <c r="Y30" s="3409"/>
      <c r="Z30" s="1558" t="str">
        <f t="shared" si="15"/>
        <v>物业等级</v>
      </c>
      <c r="AA30" s="1559">
        <f t="shared" si="3"/>
        <v>1</v>
      </c>
      <c r="AB30" s="1559">
        <f t="shared" si="4"/>
        <v>1</v>
      </c>
      <c r="AC30" s="1559">
        <f t="shared" si="5"/>
        <v>1</v>
      </c>
    </row>
    <row r="31" spans="1:29" s="1214"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7"/>
      <c r="M31" s="2118"/>
      <c r="N31" s="2118"/>
      <c r="O31" s="2119"/>
      <c r="P31" s="3409"/>
      <c r="Q31" s="1145" t="str">
        <f t="shared" si="11"/>
        <v>停车位面积</v>
      </c>
      <c r="R31" s="1551" t="s">
        <v>8</v>
      </c>
      <c r="S31" s="1552" t="e">
        <f t="shared" si="12"/>
        <v>#N/A</v>
      </c>
      <c r="T31" s="1551" t="s">
        <v>8</v>
      </c>
      <c r="U31" s="1552" t="e">
        <f t="shared" si="13"/>
        <v>#N/A</v>
      </c>
      <c r="V31" s="1551" t="s">
        <v>8</v>
      </c>
      <c r="W31" s="1552" t="e">
        <f t="shared" si="14"/>
        <v>#N/A</v>
      </c>
      <c r="X31" s="1553"/>
      <c r="Y31" s="3409"/>
      <c r="Z31" s="1144" t="str">
        <f t="shared" si="15"/>
        <v>停车位面积</v>
      </c>
      <c r="AA31" s="1554" t="e">
        <f t="shared" si="3"/>
        <v>#N/A</v>
      </c>
      <c r="AB31" s="1554" t="e">
        <f t="shared" si="4"/>
        <v>#N/A</v>
      </c>
      <c r="AC31" s="1554"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409" t="s">
        <v>550</v>
      </c>
      <c r="Q32" s="1555" t="str">
        <f t="shared" si="11"/>
        <v>车位类型</v>
      </c>
      <c r="R32" s="1556" t="s">
        <v>8</v>
      </c>
      <c r="S32" s="1557">
        <f t="shared" si="12"/>
        <v>100</v>
      </c>
      <c r="T32" s="1556" t="s">
        <v>8</v>
      </c>
      <c r="U32" s="1557">
        <f t="shared" si="13"/>
        <v>100</v>
      </c>
      <c r="V32" s="1556" t="s">
        <v>8</v>
      </c>
      <c r="W32" s="1557">
        <f t="shared" si="14"/>
        <v>100</v>
      </c>
      <c r="X32" s="1550"/>
      <c r="Y32" s="3409" t="s">
        <v>550</v>
      </c>
      <c r="Z32" s="1558" t="str">
        <f t="shared" si="15"/>
        <v>车位类型</v>
      </c>
      <c r="AA32" s="1559">
        <f t="shared" si="3"/>
        <v>1</v>
      </c>
      <c r="AB32" s="1559">
        <f t="shared" si="4"/>
        <v>1</v>
      </c>
      <c r="AC32" s="1559">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409"/>
      <c r="Q33" s="1555" t="str">
        <f t="shared" si="11"/>
        <v>是否直接入户</v>
      </c>
      <c r="R33" s="1556" t="s">
        <v>8</v>
      </c>
      <c r="S33" s="1557">
        <f t="shared" si="12"/>
        <v>100</v>
      </c>
      <c r="T33" s="1556" t="s">
        <v>8</v>
      </c>
      <c r="U33" s="1557">
        <f t="shared" si="13"/>
        <v>100</v>
      </c>
      <c r="V33" s="1556" t="s">
        <v>8</v>
      </c>
      <c r="W33" s="1557">
        <f t="shared" si="14"/>
        <v>100</v>
      </c>
      <c r="X33" s="1550"/>
      <c r="Y33" s="3409"/>
      <c r="Z33" s="1558" t="str">
        <f t="shared" si="15"/>
        <v>是否直接入户</v>
      </c>
      <c r="AA33" s="1559">
        <f t="shared" si="3"/>
        <v>1</v>
      </c>
      <c r="AB33" s="1559">
        <f t="shared" si="4"/>
        <v>1</v>
      </c>
      <c r="AC33" s="1559">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409"/>
      <c r="Q34" s="1555">
        <f t="shared" si="11"/>
        <v>111</v>
      </c>
      <c r="R34" s="1556" t="s">
        <v>8</v>
      </c>
      <c r="S34" s="1557">
        <f t="shared" si="12"/>
        <v>100</v>
      </c>
      <c r="T34" s="1556" t="s">
        <v>8</v>
      </c>
      <c r="U34" s="1557">
        <f t="shared" si="13"/>
        <v>100</v>
      </c>
      <c r="V34" s="1556" t="s">
        <v>8</v>
      </c>
      <c r="W34" s="1557">
        <f t="shared" si="14"/>
        <v>100</v>
      </c>
      <c r="X34" s="1550"/>
      <c r="Y34" s="3409"/>
      <c r="Z34" s="1558">
        <f t="shared" si="15"/>
        <v>111</v>
      </c>
      <c r="AA34" s="1559">
        <f t="shared" si="3"/>
        <v>1</v>
      </c>
      <c r="AB34" s="1559">
        <f t="shared" si="4"/>
        <v>1</v>
      </c>
      <c r="AC34" s="1559">
        <f t="shared" si="5"/>
        <v>1</v>
      </c>
    </row>
    <row r="35" spans="1:29" s="1333"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409"/>
      <c r="Q35" s="1587">
        <f t="shared" si="11"/>
        <v>111</v>
      </c>
      <c r="R35" s="1560" t="s">
        <v>8</v>
      </c>
      <c r="S35" s="1561">
        <f t="shared" si="12"/>
        <v>100</v>
      </c>
      <c r="T35" s="1560" t="s">
        <v>8</v>
      </c>
      <c r="U35" s="1561">
        <f t="shared" si="13"/>
        <v>100</v>
      </c>
      <c r="V35" s="1560" t="s">
        <v>8</v>
      </c>
      <c r="W35" s="1561">
        <f t="shared" si="14"/>
        <v>100</v>
      </c>
      <c r="X35" s="1562"/>
      <c r="Y35" s="3409"/>
      <c r="Z35" s="1563">
        <f t="shared" si="15"/>
        <v>111</v>
      </c>
      <c r="AA35" s="1559">
        <f t="shared" si="3"/>
        <v>1</v>
      </c>
      <c r="AB35" s="1559">
        <f t="shared" si="4"/>
        <v>1</v>
      </c>
      <c r="AC35" s="1559">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409"/>
      <c r="Q36" s="1555">
        <f t="shared" si="11"/>
        <v>111</v>
      </c>
      <c r="R36" s="1556" t="s">
        <v>8</v>
      </c>
      <c r="S36" s="1557">
        <f t="shared" si="12"/>
        <v>100</v>
      </c>
      <c r="T36" s="1556" t="s">
        <v>8</v>
      </c>
      <c r="U36" s="1557">
        <f t="shared" si="13"/>
        <v>100</v>
      </c>
      <c r="V36" s="1556" t="s">
        <v>8</v>
      </c>
      <c r="W36" s="1557">
        <f t="shared" si="14"/>
        <v>100</v>
      </c>
      <c r="X36" s="1550"/>
      <c r="Y36" s="3409"/>
      <c r="Z36" s="1558">
        <f t="shared" si="15"/>
        <v>111</v>
      </c>
      <c r="AA36" s="1559">
        <f t="shared" si="3"/>
        <v>1</v>
      </c>
      <c r="AB36" s="1559">
        <f t="shared" si="4"/>
        <v>1</v>
      </c>
      <c r="AC36" s="1559">
        <f t="shared" si="5"/>
        <v>1</v>
      </c>
    </row>
    <row r="37" spans="1:29" ht="15">
      <c r="A37" s="1828" t="s">
        <v>2069</v>
      </c>
      <c r="B37" s="1829" t="s">
        <v>2070</v>
      </c>
      <c r="C37" s="2588" t="s">
        <v>1</v>
      </c>
      <c r="D37" s="2589"/>
      <c r="E37" s="2590"/>
      <c r="F37" s="2591"/>
      <c r="G37" s="2592"/>
      <c r="H37" s="2593"/>
      <c r="I37" s="2590"/>
      <c r="J37" s="2593"/>
      <c r="K37" s="1593"/>
      <c r="L37" s="2126"/>
      <c r="M37" s="2127"/>
      <c r="N37" s="2116"/>
      <c r="O37" s="2127"/>
      <c r="P37" s="3404" t="str">
        <f>A37</f>
        <v>成交单价</v>
      </c>
      <c r="Q37" s="3404"/>
      <c r="R37" s="3508">
        <f>E37</f>
        <v>0</v>
      </c>
      <c r="S37" s="3508"/>
      <c r="T37" s="3508">
        <f>G37</f>
        <v>0</v>
      </c>
      <c r="U37" s="3508"/>
      <c r="V37" s="3508">
        <f>I37</f>
        <v>0</v>
      </c>
      <c r="W37" s="3508"/>
      <c r="X37" s="1542"/>
      <c r="Y37" s="1564"/>
      <c r="Z37" s="1542"/>
      <c r="AA37" s="1542"/>
      <c r="AB37" s="1542"/>
      <c r="AC37" s="1542"/>
    </row>
    <row r="38" spans="1:29" ht="15.75" thickBot="1">
      <c r="A38" s="614" t="s">
        <v>2750</v>
      </c>
      <c r="B38" s="887"/>
      <c r="C38" s="2594" t="e">
        <f>R39</f>
        <v>#DIV/0!</v>
      </c>
      <c r="D38" s="2595"/>
      <c r="E38" s="2596" t="e">
        <f>R38</f>
        <v>#DIV/0!</v>
      </c>
      <c r="F38" s="2596"/>
      <c r="G38" s="2594" t="e">
        <f>T38</f>
        <v>#DIV/0!</v>
      </c>
      <c r="H38" s="2595"/>
      <c r="I38" s="2596" t="e">
        <f>V38</f>
        <v>#DIV/0!</v>
      </c>
      <c r="J38" s="2595"/>
      <c r="K38" s="1594"/>
      <c r="L38" s="2126"/>
      <c r="M38" s="2127"/>
      <c r="N38" s="2127"/>
      <c r="O38" s="2127"/>
      <c r="P38" s="3404" t="str">
        <f>A38</f>
        <v>比较价格（元/平方米）</v>
      </c>
      <c r="Q38" s="3404"/>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1542"/>
      <c r="Y38" s="1542"/>
      <c r="Z38" s="1542"/>
      <c r="AA38" s="1542"/>
      <c r="AB38" s="1542"/>
      <c r="AC38" s="1542"/>
    </row>
    <row r="39" spans="1:29" ht="15.75" thickBot="1">
      <c r="A39" s="620" t="s">
        <v>2925</v>
      </c>
      <c r="B39" s="621"/>
      <c r="C39" s="2597" t="e">
        <f>R39</f>
        <v>#DIV/0!</v>
      </c>
      <c r="D39" s="2597"/>
      <c r="E39" s="2597"/>
      <c r="F39" s="2597"/>
      <c r="G39" s="2597"/>
      <c r="H39" s="2597"/>
      <c r="I39" s="2597"/>
      <c r="J39" s="2597"/>
      <c r="K39" s="1595"/>
      <c r="L39" s="2126"/>
      <c r="M39" s="2127"/>
      <c r="N39" s="2127"/>
      <c r="O39" s="2127"/>
      <c r="P39" s="3425" t="str">
        <f>A39</f>
        <v>估价对象XX用房的比较价格（楼面单价，元/平方米）</v>
      </c>
      <c r="Q39" s="3426"/>
      <c r="R39" s="3507" t="e">
        <f>IF(F1="售价",ROUND(AVERAGE(R38:V38),0),ROUND(AVERAGE(R38:V38),1))</f>
        <v>#DIV/0!</v>
      </c>
      <c r="S39" s="3507"/>
      <c r="T39" s="3507"/>
      <c r="U39" s="3507"/>
      <c r="V39" s="3507"/>
      <c r="W39" s="3507"/>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5">
      <c r="A48" s="644" t="s">
        <v>529</v>
      </c>
      <c r="B48" s="645"/>
      <c r="C48" s="2638" t="str">
        <f>YEAR(C7)&amp;"-"&amp;MONTH(C7)</f>
        <v>2020-8</v>
      </c>
      <c r="D48" s="2640">
        <f>EDATE(C48,-1)</f>
        <v>44013</v>
      </c>
      <c r="E48" s="2640">
        <f t="shared" ref="E48:O48" si="16">EDATE(D48,-1)</f>
        <v>43983</v>
      </c>
      <c r="F48" s="2640">
        <f t="shared" si="16"/>
        <v>43952</v>
      </c>
      <c r="G48" s="2640">
        <f t="shared" si="16"/>
        <v>43922</v>
      </c>
      <c r="H48" s="2640">
        <f t="shared" si="16"/>
        <v>43891</v>
      </c>
      <c r="I48" s="2640">
        <f t="shared" si="16"/>
        <v>43862</v>
      </c>
      <c r="J48" s="2640">
        <f t="shared" si="16"/>
        <v>43831</v>
      </c>
      <c r="K48" s="2640">
        <f t="shared" si="16"/>
        <v>43800</v>
      </c>
      <c r="L48" s="2640">
        <f t="shared" si="16"/>
        <v>43770</v>
      </c>
      <c r="M48" s="2640">
        <f t="shared" si="16"/>
        <v>43739</v>
      </c>
      <c r="N48" s="2640">
        <f t="shared" si="16"/>
        <v>43709</v>
      </c>
      <c r="O48" s="2640">
        <f t="shared" si="16"/>
        <v>43678</v>
      </c>
      <c r="P48" s="2142"/>
      <c r="Q48" s="2143"/>
      <c r="R48" s="2143"/>
      <c r="S48" s="2143"/>
      <c r="T48" s="2143"/>
      <c r="U48" s="2143"/>
      <c r="V48" s="2143"/>
      <c r="W48" s="2143"/>
      <c r="X48" s="2143"/>
      <c r="Y48" s="2143"/>
      <c r="Z48" s="2143"/>
      <c r="AA48" s="2143"/>
      <c r="AB48" s="2143"/>
      <c r="AC48" s="2143"/>
    </row>
    <row r="49" spans="1:29" s="1214" customFormat="1" ht="15">
      <c r="A49" s="646"/>
      <c r="B49" s="647"/>
      <c r="C49" s="2639">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4" customFormat="1" ht="15.7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4" customFormat="1" ht="15">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4" customFormat="1" ht="15.75"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c r="A53" s="663" t="s">
        <v>577</v>
      </c>
      <c r="B53" s="664" t="s">
        <v>534</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5.75"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5.75" thickTop="1">
      <c r="A57" s="668"/>
      <c r="B57" s="934">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3" customFormat="1" ht="15.75"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3" customFormat="1" ht="15.75"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3" customFormat="1" ht="15.75"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3" customFormat="1" ht="15.75"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1878" t="s">
        <v>2548</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2558" t="s">
        <v>2549</v>
      </c>
      <c r="C67" s="2559" t="s">
        <v>2550</v>
      </c>
      <c r="D67" s="2559" t="s">
        <v>2551</v>
      </c>
      <c r="E67" s="2559" t="s">
        <v>2552</v>
      </c>
      <c r="F67" s="2559" t="s">
        <v>2553</v>
      </c>
      <c r="G67" s="2559" t="s">
        <v>2554</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7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4" customFormat="1" ht="15.75" thickTop="1">
      <c r="A73" s="708"/>
      <c r="B73" s="672">
        <f>B23</f>
        <v>111</v>
      </c>
      <c r="C73" s="540"/>
      <c r="D73" s="540"/>
      <c r="E73" s="540"/>
      <c r="F73" s="540"/>
      <c r="G73" s="687"/>
      <c r="H73" s="687"/>
      <c r="I73" s="687"/>
      <c r="J73" s="687"/>
      <c r="K73" s="687"/>
      <c r="L73" s="889"/>
      <c r="M73" s="890"/>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4" customFormat="1" ht="15.75" thickTop="1">
      <c r="A75" s="708"/>
      <c r="B75" s="672">
        <f>B24</f>
        <v>111</v>
      </c>
      <c r="C75" s="540"/>
      <c r="D75" s="540"/>
      <c r="E75" s="540"/>
      <c r="F75" s="540"/>
      <c r="G75" s="687"/>
      <c r="H75" s="687"/>
      <c r="I75" s="687"/>
      <c r="J75" s="687"/>
      <c r="K75" s="687"/>
      <c r="L75" s="687"/>
      <c r="M75" s="890"/>
      <c r="N75" s="2144"/>
      <c r="O75" s="2144"/>
      <c r="P75" s="2147"/>
      <c r="Q75" s="2140"/>
      <c r="R75" s="1975"/>
      <c r="S75" s="1975"/>
      <c r="T75" s="1975"/>
      <c r="U75" s="1975"/>
      <c r="V75" s="1975"/>
      <c r="W75" s="1975"/>
      <c r="X75" s="1975"/>
      <c r="Y75" s="1975"/>
      <c r="Z75" s="1975"/>
      <c r="AA75" s="1975"/>
      <c r="AB75" s="1975"/>
      <c r="AC75" s="1975"/>
    </row>
    <row r="76" spans="1:29" s="1214" customFormat="1" ht="15.75"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3" customFormat="1" ht="15.75"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3" customFormat="1" ht="15.75"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7.75" thickTop="1">
      <c r="A79" s="663" t="s">
        <v>551</v>
      </c>
      <c r="B79" s="664" t="s">
        <v>814</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8"/>
      <c r="B81" s="672" t="s">
        <v>815</v>
      </c>
      <c r="C81" s="935"/>
      <c r="D81" s="935"/>
      <c r="E81" s="935"/>
      <c r="F81" s="935"/>
      <c r="G81" s="935"/>
      <c r="H81" s="935"/>
      <c r="I81" s="935"/>
      <c r="J81" s="935"/>
      <c r="K81" s="936"/>
      <c r="L81" s="937"/>
      <c r="M81" s="938"/>
      <c r="N81" s="2144"/>
      <c r="O81" s="2144"/>
      <c r="P81" s="2147"/>
      <c r="Q81" s="2140"/>
      <c r="R81" s="2127"/>
      <c r="S81" s="2127"/>
      <c r="T81" s="2127"/>
      <c r="U81" s="2127"/>
      <c r="V81" s="2127"/>
      <c r="W81" s="2127"/>
      <c r="X81" s="2127"/>
      <c r="Y81" s="2127"/>
      <c r="Z81" s="2127"/>
      <c r="AA81" s="2127"/>
      <c r="AB81" s="2127"/>
      <c r="AC81" s="2127"/>
    </row>
    <row r="82" spans="1:29" s="1333" customFormat="1" ht="15.75"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3">
        <v>0.5</v>
      </c>
      <c r="D86" s="893">
        <v>0.6</v>
      </c>
      <c r="E86" s="893">
        <v>0.7</v>
      </c>
      <c r="F86" s="893">
        <v>0.8</v>
      </c>
      <c r="G86" s="893">
        <v>0.9</v>
      </c>
      <c r="H86" s="893">
        <v>1.0001</v>
      </c>
      <c r="I86" s="904"/>
      <c r="J86" s="904"/>
      <c r="K86" s="905"/>
      <c r="L86" s="906"/>
      <c r="M86" s="907"/>
      <c r="N86" s="2146"/>
      <c r="O86" s="2146"/>
      <c r="P86" s="2147"/>
      <c r="Q86" s="2140"/>
      <c r="R86" s="2127"/>
      <c r="S86" s="2127"/>
      <c r="T86" s="2127"/>
      <c r="U86" s="2127"/>
      <c r="V86" s="2127"/>
      <c r="W86" s="2127"/>
      <c r="X86" s="2127"/>
      <c r="Y86" s="2127"/>
      <c r="Z86" s="2127"/>
      <c r="AA86" s="2127"/>
      <c r="AB86" s="2127"/>
      <c r="AC86" s="2127"/>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5" thickTop="1">
      <c r="A97" s="734"/>
      <c r="B97" s="916">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5.75"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3" customFormat="1" ht="15"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3" customFormat="1" ht="15.75"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5"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0" priority="14" stopIfTrue="1" operator="containsText" text="超过">
      <formula>NOT(ISERROR(SEARCH("超过",F42)))</formula>
    </cfRule>
  </conditionalFormatting>
  <conditionalFormatting sqref="J44">
    <cfRule type="containsText" dxfId="29" priority="13" stopIfTrue="1" operator="containsText" text="超过">
      <formula>NOT(ISERROR(SEARCH("超过",J44)))</formula>
    </cfRule>
  </conditionalFormatting>
  <conditionalFormatting sqref="H44">
    <cfRule type="containsText" dxfId="28" priority="12" stopIfTrue="1" operator="containsText" text="超过">
      <formula>NOT(ISERROR(SEARCH("超过",H44)))</formula>
    </cfRule>
  </conditionalFormatting>
  <conditionalFormatting sqref="F44">
    <cfRule type="containsText" dxfId="27" priority="11" stopIfTrue="1" operator="containsText" text="超过">
      <formula>NOT(ISERROR(SEARCH("超过",F44)))</formula>
    </cfRule>
  </conditionalFormatting>
  <conditionalFormatting sqref="F43 H43 J43">
    <cfRule type="containsText" dxfId="26" priority="10" stopIfTrue="1" operator="containsText" text="超过">
      <formula>NOT(ISERROR(SEARCH("超过",F43)))</formula>
    </cfRule>
  </conditionalFormatting>
  <conditionalFormatting sqref="E42">
    <cfRule type="expression" dxfId="25" priority="9" stopIfTrue="1">
      <formula>$F$42="超过30%"</formula>
    </cfRule>
  </conditionalFormatting>
  <conditionalFormatting sqref="G44">
    <cfRule type="expression" dxfId="24" priority="8" stopIfTrue="1">
      <formula>$H$54+$H$44="超过30%"</formula>
    </cfRule>
  </conditionalFormatting>
  <conditionalFormatting sqref="E43">
    <cfRule type="expression" dxfId="23" priority="7" stopIfTrue="1">
      <formula>$F$43="超过20%"</formula>
    </cfRule>
  </conditionalFormatting>
  <conditionalFormatting sqref="E44">
    <cfRule type="expression" dxfId="22" priority="6" stopIfTrue="1">
      <formula>$F$44="超过30%"</formula>
    </cfRule>
  </conditionalFormatting>
  <conditionalFormatting sqref="G42">
    <cfRule type="expression" dxfId="21" priority="5" stopIfTrue="1">
      <formula>$H$52+$H$42="超过30%"</formula>
    </cfRule>
  </conditionalFormatting>
  <conditionalFormatting sqref="G43">
    <cfRule type="expression" dxfId="20" priority="4" stopIfTrue="1">
      <formula>$H$43="超过20%"</formula>
    </cfRule>
  </conditionalFormatting>
  <conditionalFormatting sqref="I42">
    <cfRule type="expression" dxfId="19" priority="3" stopIfTrue="1">
      <formula>$J$52+$J$42="超过30%"</formula>
    </cfRule>
  </conditionalFormatting>
  <conditionalFormatting sqref="I43">
    <cfRule type="expression" dxfId="18" priority="2" stopIfTrue="1">
      <formula>$J$53+$J$43="超过20%"</formula>
    </cfRule>
  </conditionalFormatting>
  <conditionalFormatting sqref="I44">
    <cfRule type="expression" dxfId="17" priority="1" stopIfTrue="1">
      <formula>$J$44="超过30%"</formula>
    </cfRule>
  </conditionalFormatting>
  <dataValidations count="17">
    <dataValidation type="list" allowBlank="1" showInputMessage="1" showErrorMessage="1" sqref="C10 E10 G10 I10" xr:uid="{00000000-0002-0000-2B00-000000000000}">
      <formula1>土地年限区间</formula1>
    </dataValidation>
    <dataValidation type="list" allowBlank="1" showInputMessage="1" showErrorMessage="1" sqref="D1" xr:uid="{00000000-0002-0000-2B00-000001000000}">
      <formula1>项目类型</formula1>
    </dataValidation>
    <dataValidation type="list" allowBlank="1" showInputMessage="1" showErrorMessage="1" sqref="G17 C17 I17 E17" xr:uid="{00000000-0002-0000-2B00-000002000000}">
      <formula1>公共配套设施</formula1>
    </dataValidation>
    <dataValidation type="list" allowBlank="1" showInputMessage="1" showErrorMessage="1" sqref="G15 E15 C15 I15" xr:uid="{00000000-0002-0000-2B00-000003000000}">
      <formula1>交通便捷度</formula1>
    </dataValidation>
    <dataValidation type="list" allowBlank="1" showInputMessage="1" showErrorMessage="1" sqref="C8 E8 G8 I8" xr:uid="{00000000-0002-0000-2B00-000004000000}">
      <formula1>车位交易情况</formula1>
    </dataValidation>
    <dataValidation type="list" allowBlank="1" showInputMessage="1" showErrorMessage="1" sqref="E9 G9 I9" xr:uid="{00000000-0002-0000-2B00-000005000000}">
      <formula1>车位用途</formula1>
    </dataValidation>
    <dataValidation type="list" allowBlank="1" showInputMessage="1" showErrorMessage="1" sqref="C22 E22 G22 I22" xr:uid="{00000000-0002-0000-2B00-000006000000}">
      <formula1>车位楼层</formula1>
    </dataValidation>
    <dataValidation type="list" allowBlank="1" showInputMessage="1" showErrorMessage="1" sqref="C30 E30 G30 I30" xr:uid="{00000000-0002-0000-2B00-000007000000}">
      <formula1>车位物业等级</formula1>
    </dataValidation>
    <dataValidation type="list" allowBlank="1" showInputMessage="1" showErrorMessage="1" sqref="C32 E32 G32 I32" xr:uid="{00000000-0002-0000-2B00-000008000000}">
      <formula1>车位类型</formula1>
    </dataValidation>
    <dataValidation type="list" allowBlank="1" showInputMessage="1" showErrorMessage="1" sqref="C33 E33 G33 I33" xr:uid="{00000000-0002-0000-2B00-000009000000}">
      <formula1>是否直接入户</formula1>
    </dataValidation>
    <dataValidation type="list" allowBlank="1" showInputMessage="1" showErrorMessage="1" sqref="B1" xr:uid="{00000000-0002-0000-2B00-00000A000000}">
      <formula1>地类判定</formula1>
    </dataValidation>
    <dataValidation type="list" allowBlank="1" showInputMessage="1" showErrorMessage="1" sqref="I26 E26 G26" xr:uid="{00000000-0002-0000-2B00-00000B000000}">
      <formula1>车位配套类型</formula1>
    </dataValidation>
    <dataValidation type="list" allowBlank="1" showInputMessage="1" showErrorMessage="1" sqref="C28 E28 G28 I28" xr:uid="{00000000-0002-0000-2B00-00000C000000}">
      <formula1>车位公共部分装修</formula1>
    </dataValidation>
    <dataValidation type="list" allowBlank="1" showInputMessage="1" showErrorMessage="1" sqref="B37" xr:uid="{00000000-0002-0000-2B00-00000D000000}">
      <formula1>"元/平方米,元/车位"</formula1>
    </dataValidation>
    <dataValidation type="list" allowBlank="1" showInputMessage="1" showErrorMessage="1" sqref="C21 E21 G21 I21" xr:uid="{00000000-0002-0000-2B00-00000E000000}">
      <formula1>环境</formula1>
    </dataValidation>
    <dataValidation type="list" allowBlank="1" showInputMessage="1" showErrorMessage="1" sqref="C19 E19 G19 I19" xr:uid="{00000000-0002-0000-2B00-00000F000000}">
      <formula1>基础设施水平</formula1>
    </dataValidation>
    <dataValidation type="list" allowBlank="1" showInputMessage="1" showErrorMessage="1" sqref="F1" xr:uid="{00000000-0002-0000-2B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2"/>
      <c r="C1" s="503" t="s">
        <v>792</v>
      </c>
      <c r="D1" s="848"/>
      <c r="E1" s="505"/>
      <c r="F1" s="2643"/>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794</v>
      </c>
      <c r="B2" s="849"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797</v>
      </c>
      <c r="B4" s="512"/>
      <c r="C4" s="3410" t="s">
        <v>798</v>
      </c>
      <c r="D4" s="3411"/>
      <c r="E4" s="3434" t="s">
        <v>799</v>
      </c>
      <c r="F4" s="3435"/>
      <c r="G4" s="3410" t="s">
        <v>800</v>
      </c>
      <c r="H4" s="3411"/>
      <c r="I4" s="3410" t="s">
        <v>801</v>
      </c>
      <c r="J4" s="3411"/>
      <c r="K4" s="513" t="s">
        <v>802</v>
      </c>
      <c r="L4" s="2115"/>
      <c r="M4" s="2116"/>
      <c r="N4" s="2116"/>
      <c r="O4" s="2116"/>
      <c r="P4" s="3412" t="s">
        <v>803</v>
      </c>
      <c r="Q4" s="3413"/>
      <c r="R4" s="3398" t="s">
        <v>799</v>
      </c>
      <c r="S4" s="3399"/>
      <c r="T4" s="3398" t="s">
        <v>800</v>
      </c>
      <c r="U4" s="3399"/>
      <c r="V4" s="3418" t="s">
        <v>801</v>
      </c>
      <c r="W4" s="3418"/>
      <c r="X4" s="1550"/>
      <c r="Y4" s="3398" t="s">
        <v>803</v>
      </c>
      <c r="Z4" s="3399"/>
      <c r="AA4" s="3393" t="s">
        <v>799</v>
      </c>
      <c r="AB4" s="3394" t="s">
        <v>800</v>
      </c>
      <c r="AC4" s="3393" t="s">
        <v>801</v>
      </c>
    </row>
    <row r="5" spans="1:29" ht="15">
      <c r="A5" s="514"/>
      <c r="B5" s="515"/>
      <c r="C5" s="3421" t="s">
        <v>2919</v>
      </c>
      <c r="D5" s="3422"/>
      <c r="E5" s="3436" t="s">
        <v>2920</v>
      </c>
      <c r="F5" s="3437"/>
      <c r="G5" s="3421" t="s">
        <v>2921</v>
      </c>
      <c r="H5" s="3422"/>
      <c r="I5" s="3421" t="s">
        <v>2922</v>
      </c>
      <c r="J5" s="3422"/>
      <c r="K5" s="513"/>
      <c r="L5" s="2115"/>
      <c r="M5" s="2116"/>
      <c r="N5" s="2116"/>
      <c r="O5" s="2116"/>
      <c r="P5" s="3414"/>
      <c r="Q5" s="3415"/>
      <c r="R5" s="3400"/>
      <c r="S5" s="3401"/>
      <c r="T5" s="3400"/>
      <c r="U5" s="3401"/>
      <c r="V5" s="3418"/>
      <c r="W5" s="3418"/>
      <c r="X5" s="1550"/>
      <c r="Y5" s="3400"/>
      <c r="Z5" s="3401"/>
      <c r="AA5" s="3394"/>
      <c r="AB5" s="3394"/>
      <c r="AC5" s="3394"/>
    </row>
    <row r="6" spans="1:29" ht="15.75" thickBot="1">
      <c r="A6" s="516"/>
      <c r="B6" s="517"/>
      <c r="C6" s="3419" t="s">
        <v>2923</v>
      </c>
      <c r="D6" s="3420"/>
      <c r="E6" s="3438" t="s">
        <v>2923</v>
      </c>
      <c r="F6" s="3439"/>
      <c r="G6" s="3419" t="s">
        <v>2923</v>
      </c>
      <c r="H6" s="3420"/>
      <c r="I6" s="3419" t="s">
        <v>2923</v>
      </c>
      <c r="J6" s="3420"/>
      <c r="K6" s="513" t="s">
        <v>528</v>
      </c>
      <c r="L6" s="2115"/>
      <c r="M6" s="2116"/>
      <c r="N6" s="2116"/>
      <c r="O6" s="2116"/>
      <c r="P6" s="3416"/>
      <c r="Q6" s="3417"/>
      <c r="R6" s="3400"/>
      <c r="S6" s="3401"/>
      <c r="T6" s="3402"/>
      <c r="U6" s="3403"/>
      <c r="V6" s="3418"/>
      <c r="W6" s="3418"/>
      <c r="X6" s="1550"/>
      <c r="Y6" s="3402"/>
      <c r="Z6" s="3403"/>
      <c r="AA6" s="3395"/>
      <c r="AB6" s="3395"/>
      <c r="AC6" s="3395"/>
    </row>
    <row r="7" spans="1:29" s="1214" customFormat="1" ht="15.75" thickBot="1">
      <c r="A7" s="2748"/>
      <c r="B7" s="2755" t="s">
        <v>529</v>
      </c>
      <c r="C7" s="518">
        <f>'数据-取费表'!B2</f>
        <v>44050</v>
      </c>
      <c r="D7" s="519">
        <v>100</v>
      </c>
      <c r="E7" s="520"/>
      <c r="F7" s="521">
        <f>SUMIF(46:46,YEAR(E7)&amp;"-"&amp;MONTH(E7),47:47)</f>
        <v>0</v>
      </c>
      <c r="G7" s="522"/>
      <c r="H7" s="519">
        <f>SUMIF(46:46,YEAR(G7)&amp;"-"&amp;MONTH(G7),47:47)</f>
        <v>0</v>
      </c>
      <c r="I7" s="522"/>
      <c r="J7" s="519">
        <f>SUMIF(46:46,YEAR(I7)&amp;"-"&amp;MONTH(I7),47:47)</f>
        <v>0</v>
      </c>
      <c r="K7" s="523"/>
      <c r="L7" s="2117"/>
      <c r="M7" s="2118"/>
      <c r="N7" s="2118"/>
      <c r="O7" s="2118"/>
      <c r="P7" s="3396" t="s">
        <v>530</v>
      </c>
      <c r="Q7" s="3405"/>
      <c r="R7" s="1551" t="s">
        <v>8</v>
      </c>
      <c r="S7" s="1552">
        <f t="shared" ref="S7:S14" si="0">F7</f>
        <v>0</v>
      </c>
      <c r="T7" s="1551" t="s">
        <v>8</v>
      </c>
      <c r="U7" s="1552">
        <f t="shared" ref="U7:U14" si="1">H7</f>
        <v>0</v>
      </c>
      <c r="V7" s="1551" t="s">
        <v>8</v>
      </c>
      <c r="W7" s="1552">
        <f t="shared" ref="W7:W14" si="2">J7</f>
        <v>0</v>
      </c>
      <c r="X7" s="1553"/>
      <c r="Y7" s="3396" t="s">
        <v>530</v>
      </c>
      <c r="Z7" s="3397"/>
      <c r="AA7" s="1554" t="e">
        <f>D7/F7</f>
        <v>#DIV/0!</v>
      </c>
      <c r="AB7" s="1554" t="e">
        <f>D7/H7</f>
        <v>#DIV/0!</v>
      </c>
      <c r="AC7" s="1554" t="e">
        <f>D7/J7</f>
        <v>#DIV/0!</v>
      </c>
    </row>
    <row r="8" spans="1:29" s="1214" customFormat="1" ht="15.75" thickBot="1">
      <c r="A8" s="2749"/>
      <c r="B8" s="2756"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396" t="s">
        <v>533</v>
      </c>
      <c r="Q8" s="3397"/>
      <c r="R8" s="1551" t="s">
        <v>8</v>
      </c>
      <c r="S8" s="1552">
        <f t="shared" si="0"/>
        <v>0</v>
      </c>
      <c r="T8" s="1551" t="s">
        <v>8</v>
      </c>
      <c r="U8" s="1552">
        <f t="shared" si="1"/>
        <v>0</v>
      </c>
      <c r="V8" s="1551" t="s">
        <v>8</v>
      </c>
      <c r="W8" s="1552">
        <f t="shared" si="2"/>
        <v>0</v>
      </c>
      <c r="X8" s="1553"/>
      <c r="Y8" s="3396" t="s">
        <v>533</v>
      </c>
      <c r="Z8" s="3397"/>
      <c r="AA8" s="1554" t="e">
        <f t="shared" ref="AA8:AA34" si="3">D8/F8</f>
        <v>#DIV/0!</v>
      </c>
      <c r="AB8" s="1554" t="e">
        <f t="shared" ref="AB8:AB34" si="4">D8/H8</f>
        <v>#DIV/0!</v>
      </c>
      <c r="AC8" s="1554" t="e">
        <f t="shared" ref="AC8:AC34" si="5">D8/J8</f>
        <v>#DIV/0!</v>
      </c>
    </row>
    <row r="9" spans="1:29" s="1214" customFormat="1" ht="15">
      <c r="A9" s="2750"/>
      <c r="B9" s="2757" t="s">
        <v>2746</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404" t="s">
        <v>535</v>
      </c>
      <c r="Q9" s="1145" t="str">
        <f t="shared" ref="Q9:Q14" si="6">B9</f>
        <v>用途</v>
      </c>
      <c r="R9" s="1551" t="s">
        <v>8</v>
      </c>
      <c r="S9" s="1552">
        <f t="shared" si="0"/>
        <v>100</v>
      </c>
      <c r="T9" s="1551" t="s">
        <v>8</v>
      </c>
      <c r="U9" s="1552">
        <f t="shared" si="1"/>
        <v>100</v>
      </c>
      <c r="V9" s="1551" t="s">
        <v>8</v>
      </c>
      <c r="W9" s="1552">
        <f t="shared" si="2"/>
        <v>100</v>
      </c>
      <c r="X9" s="1553"/>
      <c r="Y9" s="3358" t="s">
        <v>536</v>
      </c>
      <c r="Z9" s="1144" t="str">
        <f t="shared" ref="Z9:Z14" si="7">Q9</f>
        <v>用途</v>
      </c>
      <c r="AA9" s="1554">
        <f t="shared" si="3"/>
        <v>1</v>
      </c>
      <c r="AB9" s="1554">
        <f t="shared" si="4"/>
        <v>1</v>
      </c>
      <c r="AC9" s="1554">
        <f t="shared" si="5"/>
        <v>1</v>
      </c>
    </row>
    <row r="10" spans="1:29" s="1332" customFormat="1" ht="27">
      <c r="A10" s="2751"/>
      <c r="B10" s="2756" t="s">
        <v>2747</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404"/>
      <c r="Q10" s="1145" t="str">
        <f t="shared" si="6"/>
        <v>土地使用年限（年）</v>
      </c>
      <c r="R10" s="1551" t="s">
        <v>8</v>
      </c>
      <c r="S10" s="1552">
        <f t="shared" si="0"/>
        <v>100</v>
      </c>
      <c r="T10" s="1551" t="s">
        <v>8</v>
      </c>
      <c r="U10" s="1552">
        <f t="shared" si="1"/>
        <v>100</v>
      </c>
      <c r="V10" s="1551" t="s">
        <v>8</v>
      </c>
      <c r="W10" s="1552">
        <f t="shared" si="2"/>
        <v>100</v>
      </c>
      <c r="X10" s="1553"/>
      <c r="Y10" s="3358"/>
      <c r="Z10" s="1144" t="str">
        <f t="shared" si="7"/>
        <v>土地使用年限（年）</v>
      </c>
      <c r="AA10" s="1554">
        <f t="shared" si="3"/>
        <v>1</v>
      </c>
      <c r="AB10" s="1554">
        <f t="shared" si="4"/>
        <v>1</v>
      </c>
      <c r="AC10" s="1554">
        <f t="shared" si="5"/>
        <v>1</v>
      </c>
    </row>
    <row r="11" spans="1:29" ht="15">
      <c r="A11" s="2753"/>
      <c r="B11" s="2759">
        <v>111</v>
      </c>
      <c r="C11" s="527"/>
      <c r="D11" s="254">
        <v>100</v>
      </c>
      <c r="E11" s="879"/>
      <c r="F11" s="254">
        <f>SUMIF(55:55,E11,56:56)-SUMIF(55:55,C11,56:56)+100</f>
        <v>100</v>
      </c>
      <c r="G11" s="879"/>
      <c r="H11" s="254">
        <f>SUMIF(55:55,G11,56:56)-SUMIF(55:55,C11,56:56)+100</f>
        <v>100</v>
      </c>
      <c r="I11" s="879"/>
      <c r="J11" s="254">
        <f>SUMIF(55:55,I11,56:56)-SUMIF(55:55,C11,56:56)+100</f>
        <v>100</v>
      </c>
      <c r="K11" s="580"/>
      <c r="L11" s="2122"/>
      <c r="M11" s="2116"/>
      <c r="N11" s="2116"/>
      <c r="O11" s="2123"/>
      <c r="P11" s="3404"/>
      <c r="Q11" s="1145">
        <f t="shared" si="6"/>
        <v>111</v>
      </c>
      <c r="R11" s="1551" t="s">
        <v>8</v>
      </c>
      <c r="S11" s="1552">
        <f t="shared" si="0"/>
        <v>100</v>
      </c>
      <c r="T11" s="1551" t="s">
        <v>8</v>
      </c>
      <c r="U11" s="1552">
        <f t="shared" si="1"/>
        <v>100</v>
      </c>
      <c r="V11" s="1551" t="s">
        <v>8</v>
      </c>
      <c r="W11" s="1552">
        <f t="shared" si="2"/>
        <v>100</v>
      </c>
      <c r="X11" s="1553"/>
      <c r="Y11" s="3358"/>
      <c r="Z11" s="1144">
        <f t="shared" si="7"/>
        <v>111</v>
      </c>
      <c r="AA11" s="1554">
        <f t="shared" si="3"/>
        <v>1</v>
      </c>
      <c r="AB11" s="1554">
        <f t="shared" si="4"/>
        <v>1</v>
      </c>
      <c r="AC11" s="1554">
        <f t="shared" si="5"/>
        <v>1</v>
      </c>
    </row>
    <row r="12" spans="1:29" s="1214" customFormat="1" ht="15">
      <c r="A12" s="2753"/>
      <c r="B12" s="2759">
        <v>111</v>
      </c>
      <c r="C12" s="527"/>
      <c r="D12" s="537">
        <v>100</v>
      </c>
      <c r="E12" s="879"/>
      <c r="F12" s="254">
        <f>SUMIF(57:57,E12,58:58)-SUMIF(57:57,C12,58:58)+100</f>
        <v>100</v>
      </c>
      <c r="G12" s="879"/>
      <c r="H12" s="254">
        <f>SUMIF(57:57,G12,58:58)-SUMIF(57:57,C12,58:58)+100</f>
        <v>100</v>
      </c>
      <c r="I12" s="879"/>
      <c r="J12" s="254">
        <f>SUMIF(57:57,I12,58:58)-SUMIF(57:57,C12,58:58)+100</f>
        <v>100</v>
      </c>
      <c r="K12" s="580"/>
      <c r="L12" s="2117"/>
      <c r="M12" s="2118"/>
      <c r="N12" s="2118"/>
      <c r="O12" s="2119"/>
      <c r="P12" s="3404"/>
      <c r="Q12" s="1145">
        <f t="shared" si="6"/>
        <v>111</v>
      </c>
      <c r="R12" s="1551" t="s">
        <v>8</v>
      </c>
      <c r="S12" s="1552">
        <f t="shared" si="0"/>
        <v>100</v>
      </c>
      <c r="T12" s="1551" t="s">
        <v>8</v>
      </c>
      <c r="U12" s="1552">
        <f t="shared" si="1"/>
        <v>100</v>
      </c>
      <c r="V12" s="1551" t="s">
        <v>8</v>
      </c>
      <c r="W12" s="1552">
        <f t="shared" si="2"/>
        <v>100</v>
      </c>
      <c r="X12" s="1553"/>
      <c r="Y12" s="3358"/>
      <c r="Z12" s="1144">
        <f t="shared" si="7"/>
        <v>111</v>
      </c>
      <c r="AA12" s="1554">
        <f>D12/F12</f>
        <v>1</v>
      </c>
      <c r="AB12" s="1554">
        <f>D12/H12</f>
        <v>1</v>
      </c>
      <c r="AC12" s="1554">
        <f>D12/J12</f>
        <v>1</v>
      </c>
    </row>
    <row r="13" spans="1:29" ht="15.75" thickBot="1">
      <c r="A13" s="2754"/>
      <c r="B13" s="2760">
        <v>111</v>
      </c>
      <c r="C13" s="538"/>
      <c r="D13" s="539">
        <v>100</v>
      </c>
      <c r="E13" s="879"/>
      <c r="F13" s="254">
        <f>SUMIF(59:59,E13,60:60)-SUMIF(59:59,C13,60:60)+100</f>
        <v>100</v>
      </c>
      <c r="G13" s="879"/>
      <c r="H13" s="539">
        <f>SUMIF(59:59,G13,60:60)-SUMIF(59:59,C13,60:60)+100</f>
        <v>100</v>
      </c>
      <c r="I13" s="879"/>
      <c r="J13" s="539">
        <f>SUMIF(59:59,I13,60:60)-SUMIF(59:59,C13,60:60)+100</f>
        <v>100</v>
      </c>
      <c r="K13" s="580"/>
      <c r="L13" s="2124"/>
      <c r="M13" s="2116"/>
      <c r="N13" s="2116"/>
      <c r="O13" s="2123"/>
      <c r="P13" s="3404"/>
      <c r="Q13" s="1145">
        <f t="shared" si="6"/>
        <v>111</v>
      </c>
      <c r="R13" s="1551" t="s">
        <v>8</v>
      </c>
      <c r="S13" s="1552">
        <f t="shared" si="0"/>
        <v>100</v>
      </c>
      <c r="T13" s="1551" t="s">
        <v>8</v>
      </c>
      <c r="U13" s="1552">
        <f t="shared" si="1"/>
        <v>100</v>
      </c>
      <c r="V13" s="1551" t="s">
        <v>8</v>
      </c>
      <c r="W13" s="1552">
        <f t="shared" si="2"/>
        <v>100</v>
      </c>
      <c r="X13" s="1553"/>
      <c r="Y13" s="3358"/>
      <c r="Z13" s="1144">
        <f t="shared" si="7"/>
        <v>111</v>
      </c>
      <c r="AA13" s="1554">
        <f t="shared" si="3"/>
        <v>1</v>
      </c>
      <c r="AB13" s="1554">
        <f t="shared" si="4"/>
        <v>1</v>
      </c>
      <c r="AC13" s="1554">
        <f t="shared" si="5"/>
        <v>1</v>
      </c>
    </row>
    <row r="14" spans="1:29" ht="85.5">
      <c r="A14" s="2746" t="s">
        <v>2744</v>
      </c>
      <c r="B14" s="165"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4"/>
      <c r="M14" s="2116"/>
      <c r="N14" s="2116"/>
      <c r="O14" s="2123"/>
      <c r="P14" s="3406" t="s">
        <v>540</v>
      </c>
      <c r="Q14" s="1555" t="str">
        <f t="shared" si="6"/>
        <v>交通便捷度</v>
      </c>
      <c r="R14" s="1556" t="s">
        <v>8</v>
      </c>
      <c r="S14" s="1557">
        <f t="shared" si="0"/>
        <v>100</v>
      </c>
      <c r="T14" s="1556" t="s">
        <v>8</v>
      </c>
      <c r="U14" s="1557">
        <f t="shared" si="1"/>
        <v>100</v>
      </c>
      <c r="V14" s="1556" t="s">
        <v>8</v>
      </c>
      <c r="W14" s="1557">
        <f t="shared" si="2"/>
        <v>100</v>
      </c>
      <c r="X14" s="1550"/>
      <c r="Y14" s="3406" t="s">
        <v>540</v>
      </c>
      <c r="Z14" s="1558" t="str">
        <f t="shared" si="7"/>
        <v>交通便捷度</v>
      </c>
      <c r="AA14" s="1559">
        <f t="shared" si="3"/>
        <v>1</v>
      </c>
      <c r="AB14" s="1559">
        <f t="shared" si="4"/>
        <v>1</v>
      </c>
      <c r="AC14" s="1559">
        <f t="shared" si="5"/>
        <v>1</v>
      </c>
    </row>
    <row r="15" spans="1:29" ht="15">
      <c r="A15" s="531"/>
      <c r="B15" s="868"/>
      <c r="C15" s="575"/>
      <c r="D15" s="554"/>
      <c r="E15" s="575"/>
      <c r="F15" s="556"/>
      <c r="G15" s="575"/>
      <c r="H15" s="558"/>
      <c r="I15" s="575"/>
      <c r="J15" s="554"/>
      <c r="K15" s="898"/>
      <c r="L15" s="2124"/>
      <c r="M15" s="2116"/>
      <c r="N15" s="2116"/>
      <c r="O15" s="2123"/>
      <c r="P15" s="3407"/>
      <c r="Q15" s="1555"/>
      <c r="R15" s="1556"/>
      <c r="S15" s="1557"/>
      <c r="T15" s="1556"/>
      <c r="U15" s="1557"/>
      <c r="V15" s="1556"/>
      <c r="W15" s="1557"/>
      <c r="X15" s="1550"/>
      <c r="Y15" s="3407"/>
      <c r="Z15" s="1558"/>
      <c r="AA15" s="1559">
        <v>1</v>
      </c>
      <c r="AB15" s="1559">
        <v>1</v>
      </c>
      <c r="AC15" s="1559">
        <v>1</v>
      </c>
    </row>
    <row r="16" spans="1:29" ht="42.75">
      <c r="A16" s="531"/>
      <c r="B16" s="2564" t="s">
        <v>2537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4"/>
      <c r="M16" s="2116"/>
      <c r="N16" s="2116"/>
      <c r="O16" s="2123"/>
      <c r="P16" s="3407"/>
      <c r="Q16" s="1555" t="str">
        <f>B16</f>
        <v>公共配套设施</v>
      </c>
      <c r="R16" s="1556" t="s">
        <v>8</v>
      </c>
      <c r="S16" s="1557">
        <f>F16</f>
        <v>100</v>
      </c>
      <c r="T16" s="1556" t="s">
        <v>8</v>
      </c>
      <c r="U16" s="1557">
        <f>H16</f>
        <v>100</v>
      </c>
      <c r="V16" s="1556" t="s">
        <v>8</v>
      </c>
      <c r="W16" s="1557">
        <f>J16</f>
        <v>100</v>
      </c>
      <c r="X16" s="1550"/>
      <c r="Y16" s="3407"/>
      <c r="Z16" s="1558" t="str">
        <f>Q16</f>
        <v>公共配套设施</v>
      </c>
      <c r="AA16" s="1559">
        <f t="shared" si="3"/>
        <v>1</v>
      </c>
      <c r="AB16" s="1559">
        <f t="shared" si="4"/>
        <v>1</v>
      </c>
      <c r="AC16" s="1559">
        <f t="shared" si="5"/>
        <v>1</v>
      </c>
    </row>
    <row r="17" spans="1:29" ht="15">
      <c r="A17" s="531"/>
      <c r="B17" s="565"/>
      <c r="C17" s="872"/>
      <c r="D17" s="554"/>
      <c r="E17" s="575"/>
      <c r="F17" s="556"/>
      <c r="G17" s="575"/>
      <c r="H17" s="554"/>
      <c r="I17" s="575"/>
      <c r="J17" s="554"/>
      <c r="K17" s="898"/>
      <c r="L17" s="2124"/>
      <c r="M17" s="2116"/>
      <c r="N17" s="2116"/>
      <c r="O17" s="2123"/>
      <c r="P17" s="3407"/>
      <c r="Q17" s="1555"/>
      <c r="R17" s="1556"/>
      <c r="S17" s="1557"/>
      <c r="T17" s="1556"/>
      <c r="U17" s="1557"/>
      <c r="V17" s="1556"/>
      <c r="W17" s="1557"/>
      <c r="X17" s="1550"/>
      <c r="Y17" s="3407"/>
      <c r="Z17" s="1558"/>
      <c r="AA17" s="1559">
        <v>1</v>
      </c>
      <c r="AB17" s="1559">
        <v>1</v>
      </c>
      <c r="AC17" s="1559">
        <v>1</v>
      </c>
    </row>
    <row r="18" spans="1:29" ht="28.5">
      <c r="A18" s="531"/>
      <c r="B18" s="2552" t="s">
        <v>2549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4"/>
      <c r="M18" s="2116"/>
      <c r="N18" s="2116"/>
      <c r="O18" s="2123"/>
      <c r="P18" s="3407"/>
      <c r="Q18" s="2540" t="str">
        <f>B18</f>
        <v>基础设施水平</v>
      </c>
      <c r="R18" s="1556" t="s">
        <v>8</v>
      </c>
      <c r="S18" s="1557">
        <f>F18</f>
        <v>100</v>
      </c>
      <c r="T18" s="1556" t="s">
        <v>8</v>
      </c>
      <c r="U18" s="1557">
        <f>H18</f>
        <v>100</v>
      </c>
      <c r="V18" s="1556" t="s">
        <v>8</v>
      </c>
      <c r="W18" s="1557">
        <f>J18</f>
        <v>100</v>
      </c>
      <c r="X18" s="2542"/>
      <c r="Y18" s="3407"/>
      <c r="Z18" s="2541" t="str">
        <f>Q18</f>
        <v>基础设施水平</v>
      </c>
      <c r="AA18" s="1559">
        <f t="shared" ref="AA18" si="8">D18/F18</f>
        <v>1</v>
      </c>
      <c r="AB18" s="1559">
        <f t="shared" ref="AB18" si="9">D18/H18</f>
        <v>1</v>
      </c>
      <c r="AC18" s="1559">
        <f t="shared" ref="AC18" si="10">D18/J18</f>
        <v>1</v>
      </c>
    </row>
    <row r="19" spans="1:29" ht="15">
      <c r="A19" s="531"/>
      <c r="B19" s="577"/>
      <c r="C19" s="872"/>
      <c r="D19" s="558"/>
      <c r="E19" s="872"/>
      <c r="F19" s="562"/>
      <c r="G19" s="872"/>
      <c r="H19" s="554"/>
      <c r="I19" s="575"/>
      <c r="J19" s="554"/>
      <c r="K19" s="2563"/>
      <c r="L19" s="2124"/>
      <c r="M19" s="2116"/>
      <c r="N19" s="2116"/>
      <c r="O19" s="2123"/>
      <c r="P19" s="3407"/>
      <c r="Q19" s="2540"/>
      <c r="R19" s="1556"/>
      <c r="S19" s="1557"/>
      <c r="T19" s="1556"/>
      <c r="U19" s="1557"/>
      <c r="V19" s="1556"/>
      <c r="W19" s="1557"/>
      <c r="X19" s="2542"/>
      <c r="Y19" s="3407"/>
      <c r="Z19" s="2541"/>
      <c r="AA19" s="1559">
        <v>1</v>
      </c>
      <c r="AB19" s="1559">
        <v>1</v>
      </c>
      <c r="AC19" s="1559">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4"/>
      <c r="M20" s="2116"/>
      <c r="N20" s="2116"/>
      <c r="O20" s="2123"/>
      <c r="P20" s="3407"/>
      <c r="Q20" s="1555" t="str">
        <f>B20</f>
        <v>自然及人文环境</v>
      </c>
      <c r="R20" s="1556" t="s">
        <v>8</v>
      </c>
      <c r="S20" s="1557">
        <f>F20</f>
        <v>100</v>
      </c>
      <c r="T20" s="1556" t="s">
        <v>8</v>
      </c>
      <c r="U20" s="1557">
        <f>H20</f>
        <v>100</v>
      </c>
      <c r="V20" s="1556" t="s">
        <v>8</v>
      </c>
      <c r="W20" s="1557">
        <f>J20</f>
        <v>100</v>
      </c>
      <c r="X20" s="1550"/>
      <c r="Y20" s="3407"/>
      <c r="Z20" s="1558" t="str">
        <f>Q20</f>
        <v>自然及人文环境</v>
      </c>
      <c r="AA20" s="1559">
        <f t="shared" si="3"/>
        <v>1</v>
      </c>
      <c r="AB20" s="1559">
        <f t="shared" si="4"/>
        <v>1</v>
      </c>
      <c r="AC20" s="1559">
        <f t="shared" si="5"/>
        <v>1</v>
      </c>
    </row>
    <row r="21" spans="1:29" ht="15">
      <c r="A21" s="531"/>
      <c r="B21" s="594"/>
      <c r="C21" s="575"/>
      <c r="D21" s="554"/>
      <c r="E21" s="575"/>
      <c r="F21" s="556"/>
      <c r="G21" s="575"/>
      <c r="H21" s="554"/>
      <c r="I21" s="575"/>
      <c r="J21" s="554"/>
      <c r="K21" s="898"/>
      <c r="L21" s="2124"/>
      <c r="M21" s="2116"/>
      <c r="N21" s="2116"/>
      <c r="O21" s="2123"/>
      <c r="P21" s="3407"/>
      <c r="Q21" s="1555"/>
      <c r="R21" s="1556"/>
      <c r="S21" s="1557"/>
      <c r="T21" s="1556"/>
      <c r="U21" s="1557"/>
      <c r="V21" s="1556"/>
      <c r="W21" s="1557"/>
      <c r="X21" s="1550"/>
      <c r="Y21" s="3407"/>
      <c r="Z21" s="1558"/>
      <c r="AA21" s="1559">
        <v>1</v>
      </c>
      <c r="AB21" s="1559">
        <v>1</v>
      </c>
      <c r="AC21" s="1559">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407"/>
      <c r="Q22" s="1555" t="str">
        <f>B22</f>
        <v>楼层</v>
      </c>
      <c r="R22" s="1556" t="s">
        <v>8</v>
      </c>
      <c r="S22" s="1557">
        <f>F22</f>
        <v>100</v>
      </c>
      <c r="T22" s="1556" t="s">
        <v>8</v>
      </c>
      <c r="U22" s="1557">
        <f>H22</f>
        <v>100</v>
      </c>
      <c r="V22" s="1556" t="s">
        <v>8</v>
      </c>
      <c r="W22" s="1557">
        <f>J22</f>
        <v>100</v>
      </c>
      <c r="X22" s="1550"/>
      <c r="Y22" s="3407"/>
      <c r="Z22" s="1558" t="str">
        <f>Q22</f>
        <v>楼层</v>
      </c>
      <c r="AA22" s="1559">
        <f t="shared" si="3"/>
        <v>1</v>
      </c>
      <c r="AB22" s="1559">
        <f t="shared" si="4"/>
        <v>1</v>
      </c>
      <c r="AC22" s="1559">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407"/>
      <c r="Q23" s="1555">
        <f>B23</f>
        <v>111</v>
      </c>
      <c r="R23" s="1556" t="s">
        <v>8</v>
      </c>
      <c r="S23" s="1557">
        <f>F23</f>
        <v>100</v>
      </c>
      <c r="T23" s="1556" t="s">
        <v>8</v>
      </c>
      <c r="U23" s="1557">
        <f>H23</f>
        <v>100</v>
      </c>
      <c r="V23" s="1556" t="s">
        <v>8</v>
      </c>
      <c r="W23" s="1557">
        <f>J23</f>
        <v>100</v>
      </c>
      <c r="X23" s="1550"/>
      <c r="Y23" s="3407"/>
      <c r="Z23" s="1558">
        <f>Q23</f>
        <v>111</v>
      </c>
      <c r="AA23" s="1559">
        <f t="shared" si="3"/>
        <v>1</v>
      </c>
      <c r="AB23" s="1559">
        <f t="shared" si="4"/>
        <v>1</v>
      </c>
      <c r="AC23" s="1559">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407"/>
      <c r="Q24" s="1555">
        <f t="shared" ref="Q24:Q34" si="11">B24</f>
        <v>111</v>
      </c>
      <c r="R24" s="1556" t="s">
        <v>8</v>
      </c>
      <c r="S24" s="1557">
        <f>F24</f>
        <v>100</v>
      </c>
      <c r="T24" s="1556" t="s">
        <v>8</v>
      </c>
      <c r="U24" s="1557">
        <f>H24</f>
        <v>100</v>
      </c>
      <c r="V24" s="1556" t="s">
        <v>8</v>
      </c>
      <c r="W24" s="1557">
        <f>J24</f>
        <v>100</v>
      </c>
      <c r="X24" s="1550"/>
      <c r="Y24" s="3407"/>
      <c r="Z24" s="1558">
        <f>Q24</f>
        <v>111</v>
      </c>
      <c r="AA24" s="1559">
        <f t="shared" si="3"/>
        <v>1</v>
      </c>
      <c r="AB24" s="1559">
        <f t="shared" si="4"/>
        <v>1</v>
      </c>
      <c r="AC24" s="1559">
        <f t="shared" si="5"/>
        <v>1</v>
      </c>
    </row>
    <row r="25" spans="1:29" s="1214"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7"/>
      <c r="M25" s="2118"/>
      <c r="N25" s="2118"/>
      <c r="O25" s="2119"/>
      <c r="P25" s="3407"/>
      <c r="Q25" s="1145">
        <f t="shared" si="11"/>
        <v>111</v>
      </c>
      <c r="R25" s="1551" t="s">
        <v>8</v>
      </c>
      <c r="S25" s="1552">
        <f>F25</f>
        <v>100</v>
      </c>
      <c r="T25" s="1551" t="s">
        <v>8</v>
      </c>
      <c r="U25" s="1552">
        <f>H25</f>
        <v>100</v>
      </c>
      <c r="V25" s="1551" t="s">
        <v>8</v>
      </c>
      <c r="W25" s="1552">
        <f>J25</f>
        <v>100</v>
      </c>
      <c r="X25" s="1553"/>
      <c r="Y25" s="3407"/>
      <c r="Z25" s="1144">
        <f>Q25</f>
        <v>111</v>
      </c>
      <c r="AA25" s="1559">
        <f>D25/F25</f>
        <v>1</v>
      </c>
      <c r="AB25" s="1559">
        <f>D25/H25</f>
        <v>1</v>
      </c>
      <c r="AC25" s="1559">
        <f>D25/J25</f>
        <v>1</v>
      </c>
    </row>
    <row r="26" spans="1:29" ht="15">
      <c r="A26" s="2743" t="s">
        <v>2745</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24"/>
      <c r="M26" s="2116"/>
      <c r="N26" s="2116"/>
      <c r="O26" s="2123"/>
      <c r="P26" s="3408"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09" t="s">
        <v>821</v>
      </c>
      <c r="Z26" s="1558" t="str">
        <f t="shared" ref="Z26:Z34" si="15">Q26</f>
        <v>公共部分装修</v>
      </c>
      <c r="AA26" s="1559">
        <f t="shared" si="3"/>
        <v>1</v>
      </c>
      <c r="AB26" s="1559">
        <f t="shared" si="4"/>
        <v>1</v>
      </c>
      <c r="AC26" s="1559">
        <f t="shared" si="5"/>
        <v>1</v>
      </c>
    </row>
    <row r="27" spans="1:29" s="1333"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2"/>
      <c r="M27" s="2153"/>
      <c r="N27" s="2153"/>
      <c r="O27" s="2125"/>
      <c r="P27" s="3409"/>
      <c r="Q27" s="1587" t="str">
        <f t="shared" si="11"/>
        <v>成新率</v>
      </c>
      <c r="R27" s="1560" t="s">
        <v>8</v>
      </c>
      <c r="S27" s="1561" t="e">
        <f t="shared" si="12"/>
        <v>#N/A</v>
      </c>
      <c r="T27" s="1560" t="s">
        <v>8</v>
      </c>
      <c r="U27" s="1561" t="e">
        <f t="shared" si="13"/>
        <v>#N/A</v>
      </c>
      <c r="V27" s="1560" t="s">
        <v>8</v>
      </c>
      <c r="W27" s="1561" t="e">
        <f t="shared" si="14"/>
        <v>#N/A</v>
      </c>
      <c r="X27" s="1562"/>
      <c r="Y27" s="3409"/>
      <c r="Z27" s="1563" t="str">
        <f t="shared" si="15"/>
        <v>成新率</v>
      </c>
      <c r="AA27" s="1559" t="e">
        <f t="shared" si="3"/>
        <v>#N/A</v>
      </c>
      <c r="AB27" s="1559" t="e">
        <f t="shared" si="4"/>
        <v>#N/A</v>
      </c>
      <c r="AC27" s="1559"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409"/>
      <c r="Q28" s="1555" t="str">
        <f t="shared" si="11"/>
        <v>物业等级</v>
      </c>
      <c r="R28" s="1556" t="s">
        <v>8</v>
      </c>
      <c r="S28" s="1557">
        <f t="shared" si="12"/>
        <v>100</v>
      </c>
      <c r="T28" s="1556" t="s">
        <v>8</v>
      </c>
      <c r="U28" s="1557">
        <f t="shared" si="13"/>
        <v>100</v>
      </c>
      <c r="V28" s="1556" t="s">
        <v>8</v>
      </c>
      <c r="W28" s="1557">
        <f t="shared" si="14"/>
        <v>100</v>
      </c>
      <c r="X28" s="1550"/>
      <c r="Y28" s="3409"/>
      <c r="Z28" s="1558" t="str">
        <f t="shared" si="15"/>
        <v>物业等级</v>
      </c>
      <c r="AA28" s="1559">
        <f t="shared" si="3"/>
        <v>1</v>
      </c>
      <c r="AB28" s="1559">
        <f t="shared" si="4"/>
        <v>1</v>
      </c>
      <c r="AC28" s="1559">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4"/>
      <c r="M29" s="2116"/>
      <c r="N29" s="2116"/>
      <c r="O29" s="2123"/>
      <c r="P29" s="3409"/>
      <c r="Q29" s="1555" t="str">
        <f t="shared" si="11"/>
        <v>有无电梯</v>
      </c>
      <c r="R29" s="1556" t="s">
        <v>8</v>
      </c>
      <c r="S29" s="1557">
        <f t="shared" si="12"/>
        <v>100</v>
      </c>
      <c r="T29" s="1556" t="s">
        <v>8</v>
      </c>
      <c r="U29" s="1557">
        <f t="shared" si="13"/>
        <v>100</v>
      </c>
      <c r="V29" s="1556" t="s">
        <v>8</v>
      </c>
      <c r="W29" s="1557">
        <f t="shared" si="14"/>
        <v>100</v>
      </c>
      <c r="X29" s="1550"/>
      <c r="Y29" s="3409"/>
      <c r="Z29" s="1558" t="str">
        <f t="shared" si="15"/>
        <v>有无电梯</v>
      </c>
      <c r="AA29" s="1559">
        <f t="shared" si="3"/>
        <v>1</v>
      </c>
      <c r="AB29" s="1559">
        <f t="shared" si="4"/>
        <v>1</v>
      </c>
      <c r="AC29" s="1559">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4"/>
      <c r="M30" s="2116"/>
      <c r="N30" s="2116"/>
      <c r="O30" s="2123"/>
      <c r="P30" s="3409"/>
      <c r="Q30" s="1555" t="str">
        <f t="shared" si="11"/>
        <v>建筑面积</v>
      </c>
      <c r="R30" s="1556" t="s">
        <v>8</v>
      </c>
      <c r="S30" s="1557" t="e">
        <f t="shared" si="12"/>
        <v>#N/A</v>
      </c>
      <c r="T30" s="1556" t="s">
        <v>8</v>
      </c>
      <c r="U30" s="1557" t="e">
        <f t="shared" si="13"/>
        <v>#N/A</v>
      </c>
      <c r="V30" s="1556" t="s">
        <v>8</v>
      </c>
      <c r="W30" s="1557" t="e">
        <f t="shared" si="14"/>
        <v>#N/A</v>
      </c>
      <c r="X30" s="1550"/>
      <c r="Y30" s="3409"/>
      <c r="Z30" s="1558" t="str">
        <f t="shared" si="15"/>
        <v>建筑面积</v>
      </c>
      <c r="AA30" s="1559" t="e">
        <f t="shared" si="3"/>
        <v>#N/A</v>
      </c>
      <c r="AB30" s="1559" t="e">
        <f t="shared" si="4"/>
        <v>#N/A</v>
      </c>
      <c r="AC30" s="1559" t="e">
        <f t="shared" si="5"/>
        <v>#N/A</v>
      </c>
    </row>
    <row r="31" spans="1:29" s="1214"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7"/>
      <c r="M31" s="2118"/>
      <c r="N31" s="2118"/>
      <c r="O31" s="2119"/>
      <c r="P31" s="3409"/>
      <c r="Q31" s="1145" t="str">
        <f t="shared" si="11"/>
        <v>是否封闭</v>
      </c>
      <c r="R31" s="1551" t="s">
        <v>8</v>
      </c>
      <c r="S31" s="1552">
        <f t="shared" si="12"/>
        <v>100</v>
      </c>
      <c r="T31" s="1551" t="s">
        <v>8</v>
      </c>
      <c r="U31" s="1552">
        <f t="shared" si="13"/>
        <v>100</v>
      </c>
      <c r="V31" s="1551" t="s">
        <v>8</v>
      </c>
      <c r="W31" s="1552">
        <f t="shared" si="14"/>
        <v>100</v>
      </c>
      <c r="X31" s="1553"/>
      <c r="Y31" s="3409"/>
      <c r="Z31" s="1144" t="str">
        <f t="shared" si="15"/>
        <v>是否封闭</v>
      </c>
      <c r="AA31" s="1554">
        <f t="shared" si="3"/>
        <v>1</v>
      </c>
      <c r="AB31" s="1554">
        <f t="shared" si="4"/>
        <v>1</v>
      </c>
      <c r="AC31" s="1554">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4"/>
      <c r="M32" s="2116"/>
      <c r="N32" s="2116"/>
      <c r="O32" s="2123"/>
      <c r="P32" s="3409" t="s">
        <v>550</v>
      </c>
      <c r="Q32" s="1555">
        <f t="shared" si="11"/>
        <v>111</v>
      </c>
      <c r="R32" s="1556" t="s">
        <v>8</v>
      </c>
      <c r="S32" s="1557">
        <f t="shared" si="12"/>
        <v>100</v>
      </c>
      <c r="T32" s="1556" t="s">
        <v>8</v>
      </c>
      <c r="U32" s="1557">
        <f t="shared" si="13"/>
        <v>100</v>
      </c>
      <c r="V32" s="1556" t="s">
        <v>8</v>
      </c>
      <c r="W32" s="1557">
        <f t="shared" si="14"/>
        <v>100</v>
      </c>
      <c r="X32" s="1550"/>
      <c r="Y32" s="3409" t="s">
        <v>550</v>
      </c>
      <c r="Z32" s="1558">
        <f t="shared" si="15"/>
        <v>111</v>
      </c>
      <c r="AA32" s="1559">
        <f t="shared" si="3"/>
        <v>1</v>
      </c>
      <c r="AB32" s="1559">
        <f t="shared" si="4"/>
        <v>1</v>
      </c>
      <c r="AC32" s="1559">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4"/>
      <c r="M33" s="2116"/>
      <c r="N33" s="2116"/>
      <c r="O33" s="2123"/>
      <c r="P33" s="3409"/>
      <c r="Q33" s="1555">
        <f t="shared" si="11"/>
        <v>111</v>
      </c>
      <c r="R33" s="1556" t="s">
        <v>8</v>
      </c>
      <c r="S33" s="1557">
        <f t="shared" si="12"/>
        <v>100</v>
      </c>
      <c r="T33" s="1556" t="s">
        <v>8</v>
      </c>
      <c r="U33" s="1557">
        <f t="shared" si="13"/>
        <v>100</v>
      </c>
      <c r="V33" s="1556" t="s">
        <v>8</v>
      </c>
      <c r="W33" s="1557">
        <f t="shared" si="14"/>
        <v>100</v>
      </c>
      <c r="X33" s="1550"/>
      <c r="Y33" s="3409"/>
      <c r="Z33" s="1558">
        <f t="shared" si="15"/>
        <v>111</v>
      </c>
      <c r="AA33" s="1559">
        <f t="shared" si="3"/>
        <v>1</v>
      </c>
      <c r="AB33" s="1559">
        <f t="shared" si="4"/>
        <v>1</v>
      </c>
      <c r="AC33" s="1559">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4"/>
      <c r="M34" s="2116"/>
      <c r="N34" s="2116"/>
      <c r="O34" s="2123"/>
      <c r="P34" s="3409"/>
      <c r="Q34" s="1555">
        <f t="shared" si="11"/>
        <v>111</v>
      </c>
      <c r="R34" s="1556" t="s">
        <v>8</v>
      </c>
      <c r="S34" s="1557">
        <f t="shared" si="12"/>
        <v>100</v>
      </c>
      <c r="T34" s="1556" t="s">
        <v>8</v>
      </c>
      <c r="U34" s="1557">
        <f t="shared" si="13"/>
        <v>100</v>
      </c>
      <c r="V34" s="1556" t="s">
        <v>8</v>
      </c>
      <c r="W34" s="1557">
        <f t="shared" si="14"/>
        <v>100</v>
      </c>
      <c r="X34" s="1550"/>
      <c r="Y34" s="3409"/>
      <c r="Z34" s="1558">
        <f t="shared" si="15"/>
        <v>111</v>
      </c>
      <c r="AA34" s="1559">
        <f t="shared" si="3"/>
        <v>1</v>
      </c>
      <c r="AB34" s="1559">
        <f t="shared" si="4"/>
        <v>1</v>
      </c>
      <c r="AC34" s="1559">
        <f t="shared" si="5"/>
        <v>1</v>
      </c>
    </row>
    <row r="35" spans="1:29" ht="15">
      <c r="A35" s="606" t="s">
        <v>736</v>
      </c>
      <c r="B35" s="886"/>
      <c r="C35" s="2588" t="s">
        <v>1</v>
      </c>
      <c r="D35" s="2589"/>
      <c r="E35" s="2590"/>
      <c r="F35" s="2591"/>
      <c r="G35" s="2592"/>
      <c r="H35" s="2593"/>
      <c r="I35" s="2590"/>
      <c r="J35" s="2593"/>
      <c r="K35" s="1593"/>
      <c r="L35" s="2126"/>
      <c r="M35" s="2127"/>
      <c r="N35" s="2116"/>
      <c r="O35" s="2127"/>
      <c r="P35" s="3404" t="str">
        <f>A35</f>
        <v>成交单价（元/平方米）</v>
      </c>
      <c r="Q35" s="3404"/>
      <c r="R35" s="3508">
        <f>E35</f>
        <v>0</v>
      </c>
      <c r="S35" s="3508"/>
      <c r="T35" s="3508">
        <f>G35</f>
        <v>0</v>
      </c>
      <c r="U35" s="3508"/>
      <c r="V35" s="3508">
        <f>I35</f>
        <v>0</v>
      </c>
      <c r="W35" s="3508"/>
      <c r="X35" s="1542"/>
      <c r="Y35" s="1564"/>
      <c r="Z35" s="1542"/>
      <c r="AA35" s="1542"/>
      <c r="AB35" s="1542"/>
      <c r="AC35" s="1542"/>
    </row>
    <row r="36" spans="1:29" ht="15.75" thickBot="1">
      <c r="A36" s="614" t="s">
        <v>2750</v>
      </c>
      <c r="B36" s="887"/>
      <c r="C36" s="2594" t="e">
        <f>R37</f>
        <v>#DIV/0!</v>
      </c>
      <c r="D36" s="2595"/>
      <c r="E36" s="2596" t="e">
        <f>R36</f>
        <v>#DIV/0!</v>
      </c>
      <c r="F36" s="2596"/>
      <c r="G36" s="2594" t="e">
        <f>T36</f>
        <v>#DIV/0!</v>
      </c>
      <c r="H36" s="2595"/>
      <c r="I36" s="2596" t="e">
        <f>V36</f>
        <v>#DIV/0!</v>
      </c>
      <c r="J36" s="2595"/>
      <c r="K36" s="1594"/>
      <c r="L36" s="2126"/>
      <c r="M36" s="2127"/>
      <c r="N36" s="2116"/>
      <c r="O36" s="2127"/>
      <c r="P36" s="3404" t="str">
        <f>A36</f>
        <v>比较价格（元/平方米）</v>
      </c>
      <c r="Q36" s="3404"/>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42"/>
      <c r="Y36" s="1542"/>
      <c r="Z36" s="1542"/>
      <c r="AA36" s="1542"/>
      <c r="AB36" s="1542"/>
      <c r="AC36" s="1542"/>
    </row>
    <row r="37" spans="1:29" ht="15.75" thickBot="1">
      <c r="A37" s="620" t="s">
        <v>2925</v>
      </c>
      <c r="B37" s="621"/>
      <c r="C37" s="2597" t="e">
        <f>R37</f>
        <v>#DIV/0!</v>
      </c>
      <c r="D37" s="2597"/>
      <c r="E37" s="2597"/>
      <c r="F37" s="2597"/>
      <c r="G37" s="2597"/>
      <c r="H37" s="2597"/>
      <c r="I37" s="2597"/>
      <c r="J37" s="2597"/>
      <c r="K37" s="1595"/>
      <c r="L37" s="2126"/>
      <c r="M37" s="2127"/>
      <c r="N37" s="2127"/>
      <c r="O37" s="2127"/>
      <c r="P37" s="3425" t="str">
        <f>A37</f>
        <v>估价对象XX用房的比较价格（楼面单价，元/平方米）</v>
      </c>
      <c r="Q37" s="3426"/>
      <c r="R37" s="3507" t="e">
        <f>IF(F1="售价",ROUND(AVERAGE(R36:V36),0),ROUND(AVERAGE(R36:V36),1))</f>
        <v>#DIV/0!</v>
      </c>
      <c r="S37" s="3507"/>
      <c r="T37" s="3507"/>
      <c r="U37" s="3507"/>
      <c r="V37" s="3507"/>
      <c r="W37" s="3507"/>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5">
      <c r="A46" s="644" t="s">
        <v>529</v>
      </c>
      <c r="B46" s="645"/>
      <c r="C46" s="2638" t="str">
        <f>YEAR(C7)&amp;"-"&amp;MONTH(C7)</f>
        <v>2020-8</v>
      </c>
      <c r="D46" s="2640">
        <f>EDATE(C46,-1)</f>
        <v>44013</v>
      </c>
      <c r="E46" s="2640">
        <f t="shared" ref="E46:O46" si="16">EDATE(D46,-1)</f>
        <v>43983</v>
      </c>
      <c r="F46" s="2640">
        <f t="shared" si="16"/>
        <v>43952</v>
      </c>
      <c r="G46" s="2640">
        <f t="shared" si="16"/>
        <v>43922</v>
      </c>
      <c r="H46" s="2640">
        <f t="shared" si="16"/>
        <v>43891</v>
      </c>
      <c r="I46" s="2640">
        <f t="shared" si="16"/>
        <v>43862</v>
      </c>
      <c r="J46" s="2640">
        <f t="shared" si="16"/>
        <v>43831</v>
      </c>
      <c r="K46" s="2640">
        <f t="shared" si="16"/>
        <v>43800</v>
      </c>
      <c r="L46" s="2640">
        <f t="shared" si="16"/>
        <v>43770</v>
      </c>
      <c r="M46" s="2640">
        <f t="shared" si="16"/>
        <v>43739</v>
      </c>
      <c r="N46" s="2640">
        <f t="shared" si="16"/>
        <v>43709</v>
      </c>
      <c r="O46" s="2640">
        <f t="shared" si="16"/>
        <v>43678</v>
      </c>
      <c r="P46" s="2142"/>
      <c r="Q46" s="2143"/>
      <c r="R46" s="2143"/>
      <c r="S46" s="2143"/>
      <c r="T46" s="2143"/>
      <c r="U46" s="2143"/>
      <c r="V46" s="2143"/>
      <c r="W46" s="2143"/>
      <c r="X46" s="2143"/>
      <c r="Y46" s="2143"/>
      <c r="Z46" s="2143"/>
      <c r="AA46" s="2143"/>
      <c r="AB46" s="2143"/>
      <c r="AC46" s="2143"/>
    </row>
    <row r="47" spans="1:29" s="1214" customFormat="1" ht="15">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4" customFormat="1" ht="15.7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4" customFormat="1" ht="15">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4" customFormat="1" ht="15.75"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5.75"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5.75" thickTop="1">
      <c r="A55" s="668"/>
      <c r="B55" s="934">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5.75"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3" customFormat="1" ht="15.75"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3" customFormat="1" ht="15.75"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3" customFormat="1" ht="15.75"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3" customFormat="1" ht="15.75"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75" thickTop="1">
      <c r="A63" s="668"/>
      <c r="B63" s="1878" t="s">
        <v>2548</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2558" t="s">
        <v>2549</v>
      </c>
      <c r="C65" s="2559" t="s">
        <v>2550</v>
      </c>
      <c r="D65" s="2559" t="s">
        <v>2551</v>
      </c>
      <c r="E65" s="2559" t="s">
        <v>2552</v>
      </c>
      <c r="F65" s="2559" t="s">
        <v>2553</v>
      </c>
      <c r="G65" s="2559" t="s">
        <v>2554</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48"/>
      <c r="O66" s="2148"/>
      <c r="P66" s="2147"/>
      <c r="Q66" s="2140"/>
      <c r="R66" s="2127"/>
      <c r="S66" s="2127"/>
      <c r="T66" s="2127"/>
      <c r="U66" s="2127"/>
      <c r="V66" s="2127"/>
      <c r="W66" s="2127"/>
      <c r="X66" s="2127"/>
      <c r="Y66" s="2127"/>
      <c r="Z66" s="2127"/>
      <c r="AA66" s="2127"/>
      <c r="AB66" s="2127"/>
      <c r="AC66" s="2127"/>
    </row>
    <row r="67" spans="1:29" ht="15.7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4" customFormat="1" ht="15.75" thickTop="1">
      <c r="A71" s="708"/>
      <c r="B71" s="672">
        <f>B23</f>
        <v>111</v>
      </c>
      <c r="C71" s="540"/>
      <c r="D71" s="540"/>
      <c r="E71" s="540"/>
      <c r="F71" s="540"/>
      <c r="G71" s="687"/>
      <c r="H71" s="687"/>
      <c r="I71" s="687"/>
      <c r="J71" s="687"/>
      <c r="K71" s="687"/>
      <c r="L71" s="889"/>
      <c r="M71" s="890"/>
      <c r="N71" s="2144"/>
      <c r="O71" s="2144"/>
      <c r="P71" s="2147"/>
      <c r="Q71" s="2140"/>
      <c r="R71" s="1975"/>
      <c r="S71" s="1975"/>
      <c r="T71" s="1975"/>
      <c r="U71" s="1975"/>
      <c r="V71" s="1975"/>
      <c r="W71" s="1975"/>
      <c r="X71" s="1975"/>
      <c r="Y71" s="1975"/>
      <c r="Z71" s="1975"/>
      <c r="AA71" s="1975"/>
      <c r="AB71" s="1975"/>
      <c r="AC71" s="1975"/>
    </row>
    <row r="72" spans="1:29" s="1214" customFormat="1" ht="15.75"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4" customFormat="1" ht="15.75" thickTop="1">
      <c r="A73" s="708"/>
      <c r="B73" s="672">
        <f>B24</f>
        <v>111</v>
      </c>
      <c r="C73" s="540"/>
      <c r="D73" s="540"/>
      <c r="E73" s="540"/>
      <c r="F73" s="540"/>
      <c r="G73" s="687"/>
      <c r="H73" s="687"/>
      <c r="I73" s="687"/>
      <c r="J73" s="687"/>
      <c r="K73" s="687"/>
      <c r="L73" s="687"/>
      <c r="M73" s="890"/>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3" customFormat="1" ht="15.75"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3" customFormat="1" ht="15.75"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ht="15">
      <c r="A80" s="668"/>
      <c r="B80" s="680"/>
      <c r="C80" s="893">
        <v>0.5</v>
      </c>
      <c r="D80" s="893">
        <v>0.6</v>
      </c>
      <c r="E80" s="893">
        <v>0.7</v>
      </c>
      <c r="F80" s="893">
        <v>0.8</v>
      </c>
      <c r="G80" s="893">
        <v>0.9</v>
      </c>
      <c r="H80" s="893">
        <v>1.0001</v>
      </c>
      <c r="I80" s="934"/>
      <c r="J80" s="934"/>
      <c r="K80" s="944"/>
      <c r="L80" s="945"/>
      <c r="M80" s="946"/>
      <c r="N80" s="2144"/>
      <c r="O80" s="2144"/>
      <c r="P80" s="2147"/>
      <c r="Q80" s="2140"/>
      <c r="R80" s="2127"/>
      <c r="S80" s="2127"/>
      <c r="T80" s="2127"/>
      <c r="U80" s="2127"/>
      <c r="V80" s="2127"/>
      <c r="W80" s="2127"/>
      <c r="X80" s="2127"/>
      <c r="Y80" s="2127"/>
      <c r="Z80" s="2127"/>
      <c r="AA80" s="2127"/>
      <c r="AB80" s="2127"/>
      <c r="AC80" s="2127"/>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3" customFormat="1" ht="15" thickTop="1">
      <c r="A89" s="727"/>
      <c r="B89" s="672" t="s">
        <v>827</v>
      </c>
      <c r="C89" s="687"/>
      <c r="D89" s="687"/>
      <c r="E89" s="687"/>
      <c r="F89" s="687"/>
      <c r="G89" s="687"/>
      <c r="H89" s="687"/>
      <c r="I89" s="687"/>
      <c r="J89" s="687"/>
      <c r="K89" s="687"/>
      <c r="L89" s="687"/>
      <c r="M89" s="890"/>
      <c r="N89" s="2149"/>
      <c r="O89" s="2149"/>
      <c r="P89" s="2150"/>
      <c r="Q89" s="2151"/>
      <c r="R89" s="2152"/>
      <c r="S89" s="2152"/>
      <c r="T89" s="2152"/>
      <c r="U89" s="2152"/>
      <c r="V89" s="2152"/>
      <c r="W89" s="2152"/>
      <c r="X89" s="2152"/>
      <c r="Y89" s="2152"/>
      <c r="Z89" s="2152"/>
      <c r="AA89" s="2152"/>
      <c r="AB89" s="2152"/>
      <c r="AC89" s="2152"/>
    </row>
    <row r="90" spans="1:29" s="1333" customFormat="1" ht="15.75"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5"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5.75"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5"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5" thickTop="1">
      <c r="A95" s="734"/>
      <c r="B95" s="916">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5.75"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6" priority="14" stopIfTrue="1" operator="containsText" text="超过">
      <formula>NOT(ISERROR(SEARCH("超过",F40)))</formula>
    </cfRule>
  </conditionalFormatting>
  <conditionalFormatting sqref="J42">
    <cfRule type="containsText" dxfId="15" priority="13" stopIfTrue="1" operator="containsText" text="超过">
      <formula>NOT(ISERROR(SEARCH("超过",J42)))</formula>
    </cfRule>
  </conditionalFormatting>
  <conditionalFormatting sqref="H42">
    <cfRule type="containsText" dxfId="14" priority="12" stopIfTrue="1" operator="containsText" text="超过">
      <formula>NOT(ISERROR(SEARCH("超过",H42)))</formula>
    </cfRule>
  </conditionalFormatting>
  <conditionalFormatting sqref="F42">
    <cfRule type="containsText" dxfId="13" priority="11" stopIfTrue="1" operator="containsText" text="超过">
      <formula>NOT(ISERROR(SEARCH("超过",F42)))</formula>
    </cfRule>
  </conditionalFormatting>
  <conditionalFormatting sqref="F41 H41 J41">
    <cfRule type="containsText" dxfId="12" priority="10" stopIfTrue="1" operator="containsText" text="超过">
      <formula>NOT(ISERROR(SEARCH("超过",F41)))</formula>
    </cfRule>
  </conditionalFormatting>
  <conditionalFormatting sqref="E40">
    <cfRule type="expression" dxfId="11" priority="9" stopIfTrue="1">
      <formula>$F$40="超过30%"</formula>
    </cfRule>
  </conditionalFormatting>
  <conditionalFormatting sqref="G42">
    <cfRule type="expression" dxfId="10" priority="8" stopIfTrue="1">
      <formula>$H$54+$H$42="超过30%"</formula>
    </cfRule>
  </conditionalFormatting>
  <conditionalFormatting sqref="E41">
    <cfRule type="expression" dxfId="9" priority="7" stopIfTrue="1">
      <formula>$F$41="超过20%"</formula>
    </cfRule>
  </conditionalFormatting>
  <conditionalFormatting sqref="E42">
    <cfRule type="expression" dxfId="8" priority="6" stopIfTrue="1">
      <formula>$F$42="超过30%"</formula>
    </cfRule>
  </conditionalFormatting>
  <conditionalFormatting sqref="G40">
    <cfRule type="expression" dxfId="7" priority="5" stopIfTrue="1">
      <formula>$H$52+$H$40="超过30%"</formula>
    </cfRule>
  </conditionalFormatting>
  <conditionalFormatting sqref="G41">
    <cfRule type="expression" dxfId="6" priority="4" stopIfTrue="1">
      <formula>$H$53+$H$41="超过20%"</formula>
    </cfRule>
  </conditionalFormatting>
  <conditionalFormatting sqref="I40">
    <cfRule type="expression" dxfId="5" priority="3" stopIfTrue="1">
      <formula>$J$40="超过30%"</formula>
    </cfRule>
  </conditionalFormatting>
  <conditionalFormatting sqref="I41">
    <cfRule type="expression" dxfId="4" priority="2" stopIfTrue="1">
      <formula>$J$41="超过20%"</formula>
    </cfRule>
  </conditionalFormatting>
  <conditionalFormatting sqref="I42">
    <cfRule type="expression" dxfId="3" priority="1" stopIfTrue="1">
      <formula>$J$42="超过30%"</formula>
    </cfRule>
  </conditionalFormatting>
  <dataValidations count="15">
    <dataValidation type="list" allowBlank="1" showInputMessage="1" showErrorMessage="1" sqref="G15 E15 C15 I15" xr:uid="{00000000-0002-0000-2C00-000000000000}">
      <formula1>交通便捷度</formula1>
    </dataValidation>
    <dataValidation type="list" allowBlank="1" showInputMessage="1" showErrorMessage="1" sqref="G17 C17 I17 E17" xr:uid="{00000000-0002-0000-2C00-000001000000}">
      <formula1>公共配套设施</formula1>
    </dataValidation>
    <dataValidation type="list" allowBlank="1" showInputMessage="1" showErrorMessage="1" sqref="D1" xr:uid="{00000000-0002-0000-2C00-000002000000}">
      <formula1>项目类型</formula1>
    </dataValidation>
    <dataValidation type="list" allowBlank="1" showInputMessage="1" showErrorMessage="1" sqref="C10 E10 G10 I10" xr:uid="{00000000-0002-0000-2C00-000003000000}">
      <formula1>土地年限区间</formula1>
    </dataValidation>
    <dataValidation type="list" allowBlank="1" showInputMessage="1" showErrorMessage="1" sqref="C8 E8 G8 I8" xr:uid="{00000000-0002-0000-2C00-000004000000}">
      <formula1>仓储交易情况</formula1>
    </dataValidation>
    <dataValidation type="list" allowBlank="1" showInputMessage="1" showErrorMessage="1" sqref="E9 G9 I9" xr:uid="{00000000-0002-0000-2C00-000005000000}">
      <formula1>仓储用途</formula1>
    </dataValidation>
    <dataValidation type="list" allowBlank="1" showInputMessage="1" showErrorMessage="1" sqref="C21 E21 G21 I21" xr:uid="{00000000-0002-0000-2C00-000006000000}">
      <formula1>环境</formula1>
    </dataValidation>
    <dataValidation type="list" allowBlank="1" showInputMessage="1" showErrorMessage="1" sqref="C22 E22 G22 I22" xr:uid="{00000000-0002-0000-2C00-000007000000}">
      <formula1>仓储楼层</formula1>
    </dataValidation>
    <dataValidation type="list" allowBlank="1" showInputMessage="1" showErrorMessage="1" sqref="C26 E26 G26 I26" xr:uid="{00000000-0002-0000-2C00-000008000000}">
      <formula1>仓储公共部分装修</formula1>
    </dataValidation>
    <dataValidation type="list" allowBlank="1" showInputMessage="1" showErrorMessage="1" sqref="C29 E29 G29 I29" xr:uid="{00000000-0002-0000-2C00-000009000000}">
      <formula1>有无电梯</formula1>
    </dataValidation>
    <dataValidation type="list" allowBlank="1" showInputMessage="1" showErrorMessage="1" sqref="C31 E31 G31 I31" xr:uid="{00000000-0002-0000-2C00-00000A000000}">
      <formula1>是否封闭</formula1>
    </dataValidation>
    <dataValidation type="list" allowBlank="1" showInputMessage="1" showErrorMessage="1" sqref="B1" xr:uid="{00000000-0002-0000-2C00-00000B000000}">
      <formula1>地类判定</formula1>
    </dataValidation>
    <dataValidation type="list" allowBlank="1" showInputMessage="1" showErrorMessage="1" sqref="C28 E28 G28 I28" xr:uid="{00000000-0002-0000-2C00-00000C000000}">
      <formula1>仓储物业等级</formula1>
    </dataValidation>
    <dataValidation type="list" allowBlank="1" showInputMessage="1" showErrorMessage="1" sqref="C19 E19 G19 I19" xr:uid="{00000000-0002-0000-2C00-00000D000000}">
      <formula1>基础设施水平</formula1>
    </dataValidation>
    <dataValidation type="list" allowBlank="1" showInputMessage="1" showErrorMessage="1" sqref="F1" xr:uid="{00000000-0002-0000-2C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3"/>
  <sheetViews>
    <sheetView workbookViewId="0">
      <selection activeCell="I5" sqref="I5"/>
    </sheetView>
  </sheetViews>
  <sheetFormatPr defaultRowHeight="13.5"/>
  <cols>
    <col min="1" max="1" width="4.875" style="2777" customWidth="1"/>
    <col min="2" max="2" width="13.25" style="2783" customWidth="1"/>
    <col min="3" max="3" width="15.625" style="2783" customWidth="1"/>
    <col min="4" max="4" width="9.375" style="2783" bestFit="1" customWidth="1"/>
    <col min="5" max="5" width="13.5" style="2783" customWidth="1"/>
    <col min="6" max="6" width="9" style="2783"/>
    <col min="7" max="7" width="9.375" style="2783" bestFit="1" customWidth="1"/>
    <col min="8" max="9" width="9" style="2783"/>
    <col min="10" max="10" width="9.375" style="2783" bestFit="1" customWidth="1"/>
    <col min="11" max="11" width="4" style="2777" customWidth="1"/>
    <col min="12" max="12" width="5.125" style="2783" customWidth="1"/>
    <col min="13" max="13" width="13.75" style="2783" customWidth="1"/>
    <col min="14" max="256" width="9" style="2783"/>
    <col min="257" max="257" width="4.875" style="2775" customWidth="1"/>
    <col min="258" max="258" width="13.25" style="2775" customWidth="1"/>
    <col min="259" max="259" width="15.625" style="2775" customWidth="1"/>
    <col min="260" max="260" width="9.375" style="2775" bestFit="1" customWidth="1"/>
    <col min="261" max="261" width="13.5" style="2775" customWidth="1"/>
    <col min="262" max="262" width="9" style="2775"/>
    <col min="263" max="263" width="9.375" style="2775" bestFit="1" customWidth="1"/>
    <col min="264" max="265" width="9" style="2775"/>
    <col min="266" max="266" width="9.375" style="2775" bestFit="1" customWidth="1"/>
    <col min="267" max="267" width="4" style="2775" customWidth="1"/>
    <col min="268" max="268" width="5.125" style="2775" customWidth="1"/>
    <col min="269" max="269" width="13.75" style="2775" customWidth="1"/>
    <col min="270" max="512" width="9" style="2775"/>
    <col min="513" max="513" width="4.875" style="2775" customWidth="1"/>
    <col min="514" max="514" width="13.25" style="2775" customWidth="1"/>
    <col min="515" max="515" width="15.625" style="2775" customWidth="1"/>
    <col min="516" max="516" width="9.375" style="2775" bestFit="1" customWidth="1"/>
    <col min="517" max="517" width="13.5" style="2775" customWidth="1"/>
    <col min="518" max="518" width="9" style="2775"/>
    <col min="519" max="519" width="9.375" style="2775" bestFit="1" customWidth="1"/>
    <col min="520" max="521" width="9" style="2775"/>
    <col min="522" max="522" width="9.375" style="2775" bestFit="1" customWidth="1"/>
    <col min="523" max="523" width="4" style="2775" customWidth="1"/>
    <col min="524" max="524" width="5.125" style="2775" customWidth="1"/>
    <col min="525" max="525" width="13.75" style="2775" customWidth="1"/>
    <col min="526" max="768" width="9" style="2775"/>
    <col min="769" max="769" width="4.875" style="2775" customWidth="1"/>
    <col min="770" max="770" width="13.25" style="2775" customWidth="1"/>
    <col min="771" max="771" width="15.625" style="2775" customWidth="1"/>
    <col min="772" max="772" width="9.375" style="2775" bestFit="1" customWidth="1"/>
    <col min="773" max="773" width="13.5" style="2775" customWidth="1"/>
    <col min="774" max="774" width="9" style="2775"/>
    <col min="775" max="775" width="9.375" style="2775" bestFit="1" customWidth="1"/>
    <col min="776" max="777" width="9" style="2775"/>
    <col min="778" max="778" width="9.375" style="2775" bestFit="1" customWidth="1"/>
    <col min="779" max="779" width="4" style="2775" customWidth="1"/>
    <col min="780" max="780" width="5.125" style="2775" customWidth="1"/>
    <col min="781" max="781" width="13.75" style="2775" customWidth="1"/>
    <col min="782" max="1024" width="9" style="2775"/>
    <col min="1025" max="1025" width="4.875" style="2775" customWidth="1"/>
    <col min="1026" max="1026" width="13.25" style="2775" customWidth="1"/>
    <col min="1027" max="1027" width="15.625" style="2775" customWidth="1"/>
    <col min="1028" max="1028" width="9.375" style="2775" bestFit="1" customWidth="1"/>
    <col min="1029" max="1029" width="13.5" style="2775" customWidth="1"/>
    <col min="1030" max="1030" width="9" style="2775"/>
    <col min="1031" max="1031" width="9.375" style="2775" bestFit="1" customWidth="1"/>
    <col min="1032" max="1033" width="9" style="2775"/>
    <col min="1034" max="1034" width="9.375" style="2775" bestFit="1" customWidth="1"/>
    <col min="1035" max="1035" width="4" style="2775" customWidth="1"/>
    <col min="1036" max="1036" width="5.125" style="2775" customWidth="1"/>
    <col min="1037" max="1037" width="13.75" style="2775" customWidth="1"/>
    <col min="1038" max="1280" width="9" style="2775"/>
    <col min="1281" max="1281" width="4.875" style="2775" customWidth="1"/>
    <col min="1282" max="1282" width="13.25" style="2775" customWidth="1"/>
    <col min="1283" max="1283" width="15.625" style="2775" customWidth="1"/>
    <col min="1284" max="1284" width="9.375" style="2775" bestFit="1" customWidth="1"/>
    <col min="1285" max="1285" width="13.5" style="2775" customWidth="1"/>
    <col min="1286" max="1286" width="9" style="2775"/>
    <col min="1287" max="1287" width="9.375" style="2775" bestFit="1" customWidth="1"/>
    <col min="1288" max="1289" width="9" style="2775"/>
    <col min="1290" max="1290" width="9.375" style="2775" bestFit="1" customWidth="1"/>
    <col min="1291" max="1291" width="4" style="2775" customWidth="1"/>
    <col min="1292" max="1292" width="5.125" style="2775" customWidth="1"/>
    <col min="1293" max="1293" width="13.75" style="2775" customWidth="1"/>
    <col min="1294" max="1536" width="9" style="2775"/>
    <col min="1537" max="1537" width="4.875" style="2775" customWidth="1"/>
    <col min="1538" max="1538" width="13.25" style="2775" customWidth="1"/>
    <col min="1539" max="1539" width="15.625" style="2775" customWidth="1"/>
    <col min="1540" max="1540" width="9.375" style="2775" bestFit="1" customWidth="1"/>
    <col min="1541" max="1541" width="13.5" style="2775" customWidth="1"/>
    <col min="1542" max="1542" width="9" style="2775"/>
    <col min="1543" max="1543" width="9.375" style="2775" bestFit="1" customWidth="1"/>
    <col min="1544" max="1545" width="9" style="2775"/>
    <col min="1546" max="1546" width="9.375" style="2775" bestFit="1" customWidth="1"/>
    <col min="1547" max="1547" width="4" style="2775" customWidth="1"/>
    <col min="1548" max="1548" width="5.125" style="2775" customWidth="1"/>
    <col min="1549" max="1549" width="13.75" style="2775" customWidth="1"/>
    <col min="1550" max="1792" width="9" style="2775"/>
    <col min="1793" max="1793" width="4.875" style="2775" customWidth="1"/>
    <col min="1794" max="1794" width="13.25" style="2775" customWidth="1"/>
    <col min="1795" max="1795" width="15.625" style="2775" customWidth="1"/>
    <col min="1796" max="1796" width="9.375" style="2775" bestFit="1" customWidth="1"/>
    <col min="1797" max="1797" width="13.5" style="2775" customWidth="1"/>
    <col min="1798" max="1798" width="9" style="2775"/>
    <col min="1799" max="1799" width="9.375" style="2775" bestFit="1" customWidth="1"/>
    <col min="1800" max="1801" width="9" style="2775"/>
    <col min="1802" max="1802" width="9.375" style="2775" bestFit="1" customWidth="1"/>
    <col min="1803" max="1803" width="4" style="2775" customWidth="1"/>
    <col min="1804" max="1804" width="5.125" style="2775" customWidth="1"/>
    <col min="1805" max="1805" width="13.75" style="2775" customWidth="1"/>
    <col min="1806" max="2048" width="9" style="2775"/>
    <col min="2049" max="2049" width="4.875" style="2775" customWidth="1"/>
    <col min="2050" max="2050" width="13.25" style="2775" customWidth="1"/>
    <col min="2051" max="2051" width="15.625" style="2775" customWidth="1"/>
    <col min="2052" max="2052" width="9.375" style="2775" bestFit="1" customWidth="1"/>
    <col min="2053" max="2053" width="13.5" style="2775" customWidth="1"/>
    <col min="2054" max="2054" width="9" style="2775"/>
    <col min="2055" max="2055" width="9.375" style="2775" bestFit="1" customWidth="1"/>
    <col min="2056" max="2057" width="9" style="2775"/>
    <col min="2058" max="2058" width="9.375" style="2775" bestFit="1" customWidth="1"/>
    <col min="2059" max="2059" width="4" style="2775" customWidth="1"/>
    <col min="2060" max="2060" width="5.125" style="2775" customWidth="1"/>
    <col min="2061" max="2061" width="13.75" style="2775" customWidth="1"/>
    <col min="2062" max="2304" width="9" style="2775"/>
    <col min="2305" max="2305" width="4.875" style="2775" customWidth="1"/>
    <col min="2306" max="2306" width="13.25" style="2775" customWidth="1"/>
    <col min="2307" max="2307" width="15.625" style="2775" customWidth="1"/>
    <col min="2308" max="2308" width="9.375" style="2775" bestFit="1" customWidth="1"/>
    <col min="2309" max="2309" width="13.5" style="2775" customWidth="1"/>
    <col min="2310" max="2310" width="9" style="2775"/>
    <col min="2311" max="2311" width="9.375" style="2775" bestFit="1" customWidth="1"/>
    <col min="2312" max="2313" width="9" style="2775"/>
    <col min="2314" max="2314" width="9.375" style="2775" bestFit="1" customWidth="1"/>
    <col min="2315" max="2315" width="4" style="2775" customWidth="1"/>
    <col min="2316" max="2316" width="5.125" style="2775" customWidth="1"/>
    <col min="2317" max="2317" width="13.75" style="2775" customWidth="1"/>
    <col min="2318" max="2560" width="9" style="2775"/>
    <col min="2561" max="2561" width="4.875" style="2775" customWidth="1"/>
    <col min="2562" max="2562" width="13.25" style="2775" customWidth="1"/>
    <col min="2563" max="2563" width="15.625" style="2775" customWidth="1"/>
    <col min="2564" max="2564" width="9.375" style="2775" bestFit="1" customWidth="1"/>
    <col min="2565" max="2565" width="13.5" style="2775" customWidth="1"/>
    <col min="2566" max="2566" width="9" style="2775"/>
    <col min="2567" max="2567" width="9.375" style="2775" bestFit="1" customWidth="1"/>
    <col min="2568" max="2569" width="9" style="2775"/>
    <col min="2570" max="2570" width="9.375" style="2775" bestFit="1" customWidth="1"/>
    <col min="2571" max="2571" width="4" style="2775" customWidth="1"/>
    <col min="2572" max="2572" width="5.125" style="2775" customWidth="1"/>
    <col min="2573" max="2573" width="13.75" style="2775" customWidth="1"/>
    <col min="2574" max="2816" width="9" style="2775"/>
    <col min="2817" max="2817" width="4.875" style="2775" customWidth="1"/>
    <col min="2818" max="2818" width="13.25" style="2775" customWidth="1"/>
    <col min="2819" max="2819" width="15.625" style="2775" customWidth="1"/>
    <col min="2820" max="2820" width="9.375" style="2775" bestFit="1" customWidth="1"/>
    <col min="2821" max="2821" width="13.5" style="2775" customWidth="1"/>
    <col min="2822" max="2822" width="9" style="2775"/>
    <col min="2823" max="2823" width="9.375" style="2775" bestFit="1" customWidth="1"/>
    <col min="2824" max="2825" width="9" style="2775"/>
    <col min="2826" max="2826" width="9.375" style="2775" bestFit="1" customWidth="1"/>
    <col min="2827" max="2827" width="4" style="2775" customWidth="1"/>
    <col min="2828" max="2828" width="5.125" style="2775" customWidth="1"/>
    <col min="2829" max="2829" width="13.75" style="2775" customWidth="1"/>
    <col min="2830" max="3072" width="9" style="2775"/>
    <col min="3073" max="3073" width="4.875" style="2775" customWidth="1"/>
    <col min="3074" max="3074" width="13.25" style="2775" customWidth="1"/>
    <col min="3075" max="3075" width="15.625" style="2775" customWidth="1"/>
    <col min="3076" max="3076" width="9.375" style="2775" bestFit="1" customWidth="1"/>
    <col min="3077" max="3077" width="13.5" style="2775" customWidth="1"/>
    <col min="3078" max="3078" width="9" style="2775"/>
    <col min="3079" max="3079" width="9.375" style="2775" bestFit="1" customWidth="1"/>
    <col min="3080" max="3081" width="9" style="2775"/>
    <col min="3082" max="3082" width="9.375" style="2775" bestFit="1" customWidth="1"/>
    <col min="3083" max="3083" width="4" style="2775" customWidth="1"/>
    <col min="3084" max="3084" width="5.125" style="2775" customWidth="1"/>
    <col min="3085" max="3085" width="13.75" style="2775" customWidth="1"/>
    <col min="3086" max="3328" width="9" style="2775"/>
    <col min="3329" max="3329" width="4.875" style="2775" customWidth="1"/>
    <col min="3330" max="3330" width="13.25" style="2775" customWidth="1"/>
    <col min="3331" max="3331" width="15.625" style="2775" customWidth="1"/>
    <col min="3332" max="3332" width="9.375" style="2775" bestFit="1" customWidth="1"/>
    <col min="3333" max="3333" width="13.5" style="2775" customWidth="1"/>
    <col min="3334" max="3334" width="9" style="2775"/>
    <col min="3335" max="3335" width="9.375" style="2775" bestFit="1" customWidth="1"/>
    <col min="3336" max="3337" width="9" style="2775"/>
    <col min="3338" max="3338" width="9.375" style="2775" bestFit="1" customWidth="1"/>
    <col min="3339" max="3339" width="4" style="2775" customWidth="1"/>
    <col min="3340" max="3340" width="5.125" style="2775" customWidth="1"/>
    <col min="3341" max="3341" width="13.75" style="2775" customWidth="1"/>
    <col min="3342" max="3584" width="9" style="2775"/>
    <col min="3585" max="3585" width="4.875" style="2775" customWidth="1"/>
    <col min="3586" max="3586" width="13.25" style="2775" customWidth="1"/>
    <col min="3587" max="3587" width="15.625" style="2775" customWidth="1"/>
    <col min="3588" max="3588" width="9.375" style="2775" bestFit="1" customWidth="1"/>
    <col min="3589" max="3589" width="13.5" style="2775" customWidth="1"/>
    <col min="3590" max="3590" width="9" style="2775"/>
    <col min="3591" max="3591" width="9.375" style="2775" bestFit="1" customWidth="1"/>
    <col min="3592" max="3593" width="9" style="2775"/>
    <col min="3594" max="3594" width="9.375" style="2775" bestFit="1" customWidth="1"/>
    <col min="3595" max="3595" width="4" style="2775" customWidth="1"/>
    <col min="3596" max="3596" width="5.125" style="2775" customWidth="1"/>
    <col min="3597" max="3597" width="13.75" style="2775" customWidth="1"/>
    <col min="3598" max="3840" width="9" style="2775"/>
    <col min="3841" max="3841" width="4.875" style="2775" customWidth="1"/>
    <col min="3842" max="3842" width="13.25" style="2775" customWidth="1"/>
    <col min="3843" max="3843" width="15.625" style="2775" customWidth="1"/>
    <col min="3844" max="3844" width="9.375" style="2775" bestFit="1" customWidth="1"/>
    <col min="3845" max="3845" width="13.5" style="2775" customWidth="1"/>
    <col min="3846" max="3846" width="9" style="2775"/>
    <col min="3847" max="3847" width="9.375" style="2775" bestFit="1" customWidth="1"/>
    <col min="3848" max="3849" width="9" style="2775"/>
    <col min="3850" max="3850" width="9.375" style="2775" bestFit="1" customWidth="1"/>
    <col min="3851" max="3851" width="4" style="2775" customWidth="1"/>
    <col min="3852" max="3852" width="5.125" style="2775" customWidth="1"/>
    <col min="3853" max="3853" width="13.75" style="2775" customWidth="1"/>
    <col min="3854" max="4096" width="9" style="2775"/>
    <col min="4097" max="4097" width="4.875" style="2775" customWidth="1"/>
    <col min="4098" max="4098" width="13.25" style="2775" customWidth="1"/>
    <col min="4099" max="4099" width="15.625" style="2775" customWidth="1"/>
    <col min="4100" max="4100" width="9.375" style="2775" bestFit="1" customWidth="1"/>
    <col min="4101" max="4101" width="13.5" style="2775" customWidth="1"/>
    <col min="4102" max="4102" width="9" style="2775"/>
    <col min="4103" max="4103" width="9.375" style="2775" bestFit="1" customWidth="1"/>
    <col min="4104" max="4105" width="9" style="2775"/>
    <col min="4106" max="4106" width="9.375" style="2775" bestFit="1" customWidth="1"/>
    <col min="4107" max="4107" width="4" style="2775" customWidth="1"/>
    <col min="4108" max="4108" width="5.125" style="2775" customWidth="1"/>
    <col min="4109" max="4109" width="13.75" style="2775" customWidth="1"/>
    <col min="4110" max="4352" width="9" style="2775"/>
    <col min="4353" max="4353" width="4.875" style="2775" customWidth="1"/>
    <col min="4354" max="4354" width="13.25" style="2775" customWidth="1"/>
    <col min="4355" max="4355" width="15.625" style="2775" customWidth="1"/>
    <col min="4356" max="4356" width="9.375" style="2775" bestFit="1" customWidth="1"/>
    <col min="4357" max="4357" width="13.5" style="2775" customWidth="1"/>
    <col min="4358" max="4358" width="9" style="2775"/>
    <col min="4359" max="4359" width="9.375" style="2775" bestFit="1" customWidth="1"/>
    <col min="4360" max="4361" width="9" style="2775"/>
    <col min="4362" max="4362" width="9.375" style="2775" bestFit="1" customWidth="1"/>
    <col min="4363" max="4363" width="4" style="2775" customWidth="1"/>
    <col min="4364" max="4364" width="5.125" style="2775" customWidth="1"/>
    <col min="4365" max="4365" width="13.75" style="2775" customWidth="1"/>
    <col min="4366" max="4608" width="9" style="2775"/>
    <col min="4609" max="4609" width="4.875" style="2775" customWidth="1"/>
    <col min="4610" max="4610" width="13.25" style="2775" customWidth="1"/>
    <col min="4611" max="4611" width="15.625" style="2775" customWidth="1"/>
    <col min="4612" max="4612" width="9.375" style="2775" bestFit="1" customWidth="1"/>
    <col min="4613" max="4613" width="13.5" style="2775" customWidth="1"/>
    <col min="4614" max="4614" width="9" style="2775"/>
    <col min="4615" max="4615" width="9.375" style="2775" bestFit="1" customWidth="1"/>
    <col min="4616" max="4617" width="9" style="2775"/>
    <col min="4618" max="4618" width="9.375" style="2775" bestFit="1" customWidth="1"/>
    <col min="4619" max="4619" width="4" style="2775" customWidth="1"/>
    <col min="4620" max="4620" width="5.125" style="2775" customWidth="1"/>
    <col min="4621" max="4621" width="13.75" style="2775" customWidth="1"/>
    <col min="4622" max="4864" width="9" style="2775"/>
    <col min="4865" max="4865" width="4.875" style="2775" customWidth="1"/>
    <col min="4866" max="4866" width="13.25" style="2775" customWidth="1"/>
    <col min="4867" max="4867" width="15.625" style="2775" customWidth="1"/>
    <col min="4868" max="4868" width="9.375" style="2775" bestFit="1" customWidth="1"/>
    <col min="4869" max="4869" width="13.5" style="2775" customWidth="1"/>
    <col min="4870" max="4870" width="9" style="2775"/>
    <col min="4871" max="4871" width="9.375" style="2775" bestFit="1" customWidth="1"/>
    <col min="4872" max="4873" width="9" style="2775"/>
    <col min="4874" max="4874" width="9.375" style="2775" bestFit="1" customWidth="1"/>
    <col min="4875" max="4875" width="4" style="2775" customWidth="1"/>
    <col min="4876" max="4876" width="5.125" style="2775" customWidth="1"/>
    <col min="4877" max="4877" width="13.75" style="2775" customWidth="1"/>
    <col min="4878" max="5120" width="9" style="2775"/>
    <col min="5121" max="5121" width="4.875" style="2775" customWidth="1"/>
    <col min="5122" max="5122" width="13.25" style="2775" customWidth="1"/>
    <col min="5123" max="5123" width="15.625" style="2775" customWidth="1"/>
    <col min="5124" max="5124" width="9.375" style="2775" bestFit="1" customWidth="1"/>
    <col min="5125" max="5125" width="13.5" style="2775" customWidth="1"/>
    <col min="5126" max="5126" width="9" style="2775"/>
    <col min="5127" max="5127" width="9.375" style="2775" bestFit="1" customWidth="1"/>
    <col min="5128" max="5129" width="9" style="2775"/>
    <col min="5130" max="5130" width="9.375" style="2775" bestFit="1" customWidth="1"/>
    <col min="5131" max="5131" width="4" style="2775" customWidth="1"/>
    <col min="5132" max="5132" width="5.125" style="2775" customWidth="1"/>
    <col min="5133" max="5133" width="13.75" style="2775" customWidth="1"/>
    <col min="5134" max="5376" width="9" style="2775"/>
    <col min="5377" max="5377" width="4.875" style="2775" customWidth="1"/>
    <col min="5378" max="5378" width="13.25" style="2775" customWidth="1"/>
    <col min="5379" max="5379" width="15.625" style="2775" customWidth="1"/>
    <col min="5380" max="5380" width="9.375" style="2775" bestFit="1" customWidth="1"/>
    <col min="5381" max="5381" width="13.5" style="2775" customWidth="1"/>
    <col min="5382" max="5382" width="9" style="2775"/>
    <col min="5383" max="5383" width="9.375" style="2775" bestFit="1" customWidth="1"/>
    <col min="5384" max="5385" width="9" style="2775"/>
    <col min="5386" max="5386" width="9.375" style="2775" bestFit="1" customWidth="1"/>
    <col min="5387" max="5387" width="4" style="2775" customWidth="1"/>
    <col min="5388" max="5388" width="5.125" style="2775" customWidth="1"/>
    <col min="5389" max="5389" width="13.75" style="2775" customWidth="1"/>
    <col min="5390" max="5632" width="9" style="2775"/>
    <col min="5633" max="5633" width="4.875" style="2775" customWidth="1"/>
    <col min="5634" max="5634" width="13.25" style="2775" customWidth="1"/>
    <col min="5635" max="5635" width="15.625" style="2775" customWidth="1"/>
    <col min="5636" max="5636" width="9.375" style="2775" bestFit="1" customWidth="1"/>
    <col min="5637" max="5637" width="13.5" style="2775" customWidth="1"/>
    <col min="5638" max="5638" width="9" style="2775"/>
    <col min="5639" max="5639" width="9.375" style="2775" bestFit="1" customWidth="1"/>
    <col min="5640" max="5641" width="9" style="2775"/>
    <col min="5642" max="5642" width="9.375" style="2775" bestFit="1" customWidth="1"/>
    <col min="5643" max="5643" width="4" style="2775" customWidth="1"/>
    <col min="5644" max="5644" width="5.125" style="2775" customWidth="1"/>
    <col min="5645" max="5645" width="13.75" style="2775" customWidth="1"/>
    <col min="5646" max="5888" width="9" style="2775"/>
    <col min="5889" max="5889" width="4.875" style="2775" customWidth="1"/>
    <col min="5890" max="5890" width="13.25" style="2775" customWidth="1"/>
    <col min="5891" max="5891" width="15.625" style="2775" customWidth="1"/>
    <col min="5892" max="5892" width="9.375" style="2775" bestFit="1" customWidth="1"/>
    <col min="5893" max="5893" width="13.5" style="2775" customWidth="1"/>
    <col min="5894" max="5894" width="9" style="2775"/>
    <col min="5895" max="5895" width="9.375" style="2775" bestFit="1" customWidth="1"/>
    <col min="5896" max="5897" width="9" style="2775"/>
    <col min="5898" max="5898" width="9.375" style="2775" bestFit="1" customWidth="1"/>
    <col min="5899" max="5899" width="4" style="2775" customWidth="1"/>
    <col min="5900" max="5900" width="5.125" style="2775" customWidth="1"/>
    <col min="5901" max="5901" width="13.75" style="2775" customWidth="1"/>
    <col min="5902" max="6144" width="9" style="2775"/>
    <col min="6145" max="6145" width="4.875" style="2775" customWidth="1"/>
    <col min="6146" max="6146" width="13.25" style="2775" customWidth="1"/>
    <col min="6147" max="6147" width="15.625" style="2775" customWidth="1"/>
    <col min="6148" max="6148" width="9.375" style="2775" bestFit="1" customWidth="1"/>
    <col min="6149" max="6149" width="13.5" style="2775" customWidth="1"/>
    <col min="6150" max="6150" width="9" style="2775"/>
    <col min="6151" max="6151" width="9.375" style="2775" bestFit="1" customWidth="1"/>
    <col min="6152" max="6153" width="9" style="2775"/>
    <col min="6154" max="6154" width="9.375" style="2775" bestFit="1" customWidth="1"/>
    <col min="6155" max="6155" width="4" style="2775" customWidth="1"/>
    <col min="6156" max="6156" width="5.125" style="2775" customWidth="1"/>
    <col min="6157" max="6157" width="13.75" style="2775" customWidth="1"/>
    <col min="6158" max="6400" width="9" style="2775"/>
    <col min="6401" max="6401" width="4.875" style="2775" customWidth="1"/>
    <col min="6402" max="6402" width="13.25" style="2775" customWidth="1"/>
    <col min="6403" max="6403" width="15.625" style="2775" customWidth="1"/>
    <col min="6404" max="6404" width="9.375" style="2775" bestFit="1" customWidth="1"/>
    <col min="6405" max="6405" width="13.5" style="2775" customWidth="1"/>
    <col min="6406" max="6406" width="9" style="2775"/>
    <col min="6407" max="6407" width="9.375" style="2775" bestFit="1" customWidth="1"/>
    <col min="6408" max="6409" width="9" style="2775"/>
    <col min="6410" max="6410" width="9.375" style="2775" bestFit="1" customWidth="1"/>
    <col min="6411" max="6411" width="4" style="2775" customWidth="1"/>
    <col min="6412" max="6412" width="5.125" style="2775" customWidth="1"/>
    <col min="6413" max="6413" width="13.75" style="2775" customWidth="1"/>
    <col min="6414" max="6656" width="9" style="2775"/>
    <col min="6657" max="6657" width="4.875" style="2775" customWidth="1"/>
    <col min="6658" max="6658" width="13.25" style="2775" customWidth="1"/>
    <col min="6659" max="6659" width="15.625" style="2775" customWidth="1"/>
    <col min="6660" max="6660" width="9.375" style="2775" bestFit="1" customWidth="1"/>
    <col min="6661" max="6661" width="13.5" style="2775" customWidth="1"/>
    <col min="6662" max="6662" width="9" style="2775"/>
    <col min="6663" max="6663" width="9.375" style="2775" bestFit="1" customWidth="1"/>
    <col min="6664" max="6665" width="9" style="2775"/>
    <col min="6666" max="6666" width="9.375" style="2775" bestFit="1" customWidth="1"/>
    <col min="6667" max="6667" width="4" style="2775" customWidth="1"/>
    <col min="6668" max="6668" width="5.125" style="2775" customWidth="1"/>
    <col min="6669" max="6669" width="13.75" style="2775" customWidth="1"/>
    <col min="6670" max="6912" width="9" style="2775"/>
    <col min="6913" max="6913" width="4.875" style="2775" customWidth="1"/>
    <col min="6914" max="6914" width="13.25" style="2775" customWidth="1"/>
    <col min="6915" max="6915" width="15.625" style="2775" customWidth="1"/>
    <col min="6916" max="6916" width="9.375" style="2775" bestFit="1" customWidth="1"/>
    <col min="6917" max="6917" width="13.5" style="2775" customWidth="1"/>
    <col min="6918" max="6918" width="9" style="2775"/>
    <col min="6919" max="6919" width="9.375" style="2775" bestFit="1" customWidth="1"/>
    <col min="6920" max="6921" width="9" style="2775"/>
    <col min="6922" max="6922" width="9.375" style="2775" bestFit="1" customWidth="1"/>
    <col min="6923" max="6923" width="4" style="2775" customWidth="1"/>
    <col min="6924" max="6924" width="5.125" style="2775" customWidth="1"/>
    <col min="6925" max="6925" width="13.75" style="2775" customWidth="1"/>
    <col min="6926" max="7168" width="9" style="2775"/>
    <col min="7169" max="7169" width="4.875" style="2775" customWidth="1"/>
    <col min="7170" max="7170" width="13.25" style="2775" customWidth="1"/>
    <col min="7171" max="7171" width="15.625" style="2775" customWidth="1"/>
    <col min="7172" max="7172" width="9.375" style="2775" bestFit="1" customWidth="1"/>
    <col min="7173" max="7173" width="13.5" style="2775" customWidth="1"/>
    <col min="7174" max="7174" width="9" style="2775"/>
    <col min="7175" max="7175" width="9.375" style="2775" bestFit="1" customWidth="1"/>
    <col min="7176" max="7177" width="9" style="2775"/>
    <col min="7178" max="7178" width="9.375" style="2775" bestFit="1" customWidth="1"/>
    <col min="7179" max="7179" width="4" style="2775" customWidth="1"/>
    <col min="7180" max="7180" width="5.125" style="2775" customWidth="1"/>
    <col min="7181" max="7181" width="13.75" style="2775" customWidth="1"/>
    <col min="7182" max="7424" width="9" style="2775"/>
    <col min="7425" max="7425" width="4.875" style="2775" customWidth="1"/>
    <col min="7426" max="7426" width="13.25" style="2775" customWidth="1"/>
    <col min="7427" max="7427" width="15.625" style="2775" customWidth="1"/>
    <col min="7428" max="7428" width="9.375" style="2775" bestFit="1" customWidth="1"/>
    <col min="7429" max="7429" width="13.5" style="2775" customWidth="1"/>
    <col min="7430" max="7430" width="9" style="2775"/>
    <col min="7431" max="7431" width="9.375" style="2775" bestFit="1" customWidth="1"/>
    <col min="7432" max="7433" width="9" style="2775"/>
    <col min="7434" max="7434" width="9.375" style="2775" bestFit="1" customWidth="1"/>
    <col min="7435" max="7435" width="4" style="2775" customWidth="1"/>
    <col min="7436" max="7436" width="5.125" style="2775" customWidth="1"/>
    <col min="7437" max="7437" width="13.75" style="2775" customWidth="1"/>
    <col min="7438" max="7680" width="9" style="2775"/>
    <col min="7681" max="7681" width="4.875" style="2775" customWidth="1"/>
    <col min="7682" max="7682" width="13.25" style="2775" customWidth="1"/>
    <col min="7683" max="7683" width="15.625" style="2775" customWidth="1"/>
    <col min="7684" max="7684" width="9.375" style="2775" bestFit="1" customWidth="1"/>
    <col min="7685" max="7685" width="13.5" style="2775" customWidth="1"/>
    <col min="7686" max="7686" width="9" style="2775"/>
    <col min="7687" max="7687" width="9.375" style="2775" bestFit="1" customWidth="1"/>
    <col min="7688" max="7689" width="9" style="2775"/>
    <col min="7690" max="7690" width="9.375" style="2775" bestFit="1" customWidth="1"/>
    <col min="7691" max="7691" width="4" style="2775" customWidth="1"/>
    <col min="7692" max="7692" width="5.125" style="2775" customWidth="1"/>
    <col min="7693" max="7693" width="13.75" style="2775" customWidth="1"/>
    <col min="7694" max="7936" width="9" style="2775"/>
    <col min="7937" max="7937" width="4.875" style="2775" customWidth="1"/>
    <col min="7938" max="7938" width="13.25" style="2775" customWidth="1"/>
    <col min="7939" max="7939" width="15.625" style="2775" customWidth="1"/>
    <col min="7940" max="7940" width="9.375" style="2775" bestFit="1" customWidth="1"/>
    <col min="7941" max="7941" width="13.5" style="2775" customWidth="1"/>
    <col min="7942" max="7942" width="9" style="2775"/>
    <col min="7943" max="7943" width="9.375" style="2775" bestFit="1" customWidth="1"/>
    <col min="7944" max="7945" width="9" style="2775"/>
    <col min="7946" max="7946" width="9.375" style="2775" bestFit="1" customWidth="1"/>
    <col min="7947" max="7947" width="4" style="2775" customWidth="1"/>
    <col min="7948" max="7948" width="5.125" style="2775" customWidth="1"/>
    <col min="7949" max="7949" width="13.75" style="2775" customWidth="1"/>
    <col min="7950" max="8192" width="9" style="2775"/>
    <col min="8193" max="8193" width="4.875" style="2775" customWidth="1"/>
    <col min="8194" max="8194" width="13.25" style="2775" customWidth="1"/>
    <col min="8195" max="8195" width="15.625" style="2775" customWidth="1"/>
    <col min="8196" max="8196" width="9.375" style="2775" bestFit="1" customWidth="1"/>
    <col min="8197" max="8197" width="13.5" style="2775" customWidth="1"/>
    <col min="8198" max="8198" width="9" style="2775"/>
    <col min="8199" max="8199" width="9.375" style="2775" bestFit="1" customWidth="1"/>
    <col min="8200" max="8201" width="9" style="2775"/>
    <col min="8202" max="8202" width="9.375" style="2775" bestFit="1" customWidth="1"/>
    <col min="8203" max="8203" width="4" style="2775" customWidth="1"/>
    <col min="8204" max="8204" width="5.125" style="2775" customWidth="1"/>
    <col min="8205" max="8205" width="13.75" style="2775" customWidth="1"/>
    <col min="8206" max="8448" width="9" style="2775"/>
    <col min="8449" max="8449" width="4.875" style="2775" customWidth="1"/>
    <col min="8450" max="8450" width="13.25" style="2775" customWidth="1"/>
    <col min="8451" max="8451" width="15.625" style="2775" customWidth="1"/>
    <col min="8452" max="8452" width="9.375" style="2775" bestFit="1" customWidth="1"/>
    <col min="8453" max="8453" width="13.5" style="2775" customWidth="1"/>
    <col min="8454" max="8454" width="9" style="2775"/>
    <col min="8455" max="8455" width="9.375" style="2775" bestFit="1" customWidth="1"/>
    <col min="8456" max="8457" width="9" style="2775"/>
    <col min="8458" max="8458" width="9.375" style="2775" bestFit="1" customWidth="1"/>
    <col min="8459" max="8459" width="4" style="2775" customWidth="1"/>
    <col min="8460" max="8460" width="5.125" style="2775" customWidth="1"/>
    <col min="8461" max="8461" width="13.75" style="2775" customWidth="1"/>
    <col min="8462" max="8704" width="9" style="2775"/>
    <col min="8705" max="8705" width="4.875" style="2775" customWidth="1"/>
    <col min="8706" max="8706" width="13.25" style="2775" customWidth="1"/>
    <col min="8707" max="8707" width="15.625" style="2775" customWidth="1"/>
    <col min="8708" max="8708" width="9.375" style="2775" bestFit="1" customWidth="1"/>
    <col min="8709" max="8709" width="13.5" style="2775" customWidth="1"/>
    <col min="8710" max="8710" width="9" style="2775"/>
    <col min="8711" max="8711" width="9.375" style="2775" bestFit="1" customWidth="1"/>
    <col min="8712" max="8713" width="9" style="2775"/>
    <col min="8714" max="8714" width="9.375" style="2775" bestFit="1" customWidth="1"/>
    <col min="8715" max="8715" width="4" style="2775" customWidth="1"/>
    <col min="8716" max="8716" width="5.125" style="2775" customWidth="1"/>
    <col min="8717" max="8717" width="13.75" style="2775" customWidth="1"/>
    <col min="8718" max="8960" width="9" style="2775"/>
    <col min="8961" max="8961" width="4.875" style="2775" customWidth="1"/>
    <col min="8962" max="8962" width="13.25" style="2775" customWidth="1"/>
    <col min="8963" max="8963" width="15.625" style="2775" customWidth="1"/>
    <col min="8964" max="8964" width="9.375" style="2775" bestFit="1" customWidth="1"/>
    <col min="8965" max="8965" width="13.5" style="2775" customWidth="1"/>
    <col min="8966" max="8966" width="9" style="2775"/>
    <col min="8967" max="8967" width="9.375" style="2775" bestFit="1" customWidth="1"/>
    <col min="8968" max="8969" width="9" style="2775"/>
    <col min="8970" max="8970" width="9.375" style="2775" bestFit="1" customWidth="1"/>
    <col min="8971" max="8971" width="4" style="2775" customWidth="1"/>
    <col min="8972" max="8972" width="5.125" style="2775" customWidth="1"/>
    <col min="8973" max="8973" width="13.75" style="2775" customWidth="1"/>
    <col min="8974" max="9216" width="9" style="2775"/>
    <col min="9217" max="9217" width="4.875" style="2775" customWidth="1"/>
    <col min="9218" max="9218" width="13.25" style="2775" customWidth="1"/>
    <col min="9219" max="9219" width="15.625" style="2775" customWidth="1"/>
    <col min="9220" max="9220" width="9.375" style="2775" bestFit="1" customWidth="1"/>
    <col min="9221" max="9221" width="13.5" style="2775" customWidth="1"/>
    <col min="9222" max="9222" width="9" style="2775"/>
    <col min="9223" max="9223" width="9.375" style="2775" bestFit="1" customWidth="1"/>
    <col min="9224" max="9225" width="9" style="2775"/>
    <col min="9226" max="9226" width="9.375" style="2775" bestFit="1" customWidth="1"/>
    <col min="9227" max="9227" width="4" style="2775" customWidth="1"/>
    <col min="9228" max="9228" width="5.125" style="2775" customWidth="1"/>
    <col min="9229" max="9229" width="13.75" style="2775" customWidth="1"/>
    <col min="9230" max="9472" width="9" style="2775"/>
    <col min="9473" max="9473" width="4.875" style="2775" customWidth="1"/>
    <col min="9474" max="9474" width="13.25" style="2775" customWidth="1"/>
    <col min="9475" max="9475" width="15.625" style="2775" customWidth="1"/>
    <col min="9476" max="9476" width="9.375" style="2775" bestFit="1" customWidth="1"/>
    <col min="9477" max="9477" width="13.5" style="2775" customWidth="1"/>
    <col min="9478" max="9478" width="9" style="2775"/>
    <col min="9479" max="9479" width="9.375" style="2775" bestFit="1" customWidth="1"/>
    <col min="9480" max="9481" width="9" style="2775"/>
    <col min="9482" max="9482" width="9.375" style="2775" bestFit="1" customWidth="1"/>
    <col min="9483" max="9483" width="4" style="2775" customWidth="1"/>
    <col min="9484" max="9484" width="5.125" style="2775" customWidth="1"/>
    <col min="9485" max="9485" width="13.75" style="2775" customWidth="1"/>
    <col min="9486" max="9728" width="9" style="2775"/>
    <col min="9729" max="9729" width="4.875" style="2775" customWidth="1"/>
    <col min="9730" max="9730" width="13.25" style="2775" customWidth="1"/>
    <col min="9731" max="9731" width="15.625" style="2775" customWidth="1"/>
    <col min="9732" max="9732" width="9.375" style="2775" bestFit="1" customWidth="1"/>
    <col min="9733" max="9733" width="13.5" style="2775" customWidth="1"/>
    <col min="9734" max="9734" width="9" style="2775"/>
    <col min="9735" max="9735" width="9.375" style="2775" bestFit="1" customWidth="1"/>
    <col min="9736" max="9737" width="9" style="2775"/>
    <col min="9738" max="9738" width="9.375" style="2775" bestFit="1" customWidth="1"/>
    <col min="9739" max="9739" width="4" style="2775" customWidth="1"/>
    <col min="9740" max="9740" width="5.125" style="2775" customWidth="1"/>
    <col min="9741" max="9741" width="13.75" style="2775" customWidth="1"/>
    <col min="9742" max="9984" width="9" style="2775"/>
    <col min="9985" max="9985" width="4.875" style="2775" customWidth="1"/>
    <col min="9986" max="9986" width="13.25" style="2775" customWidth="1"/>
    <col min="9987" max="9987" width="15.625" style="2775" customWidth="1"/>
    <col min="9988" max="9988" width="9.375" style="2775" bestFit="1" customWidth="1"/>
    <col min="9989" max="9989" width="13.5" style="2775" customWidth="1"/>
    <col min="9990" max="9990" width="9" style="2775"/>
    <col min="9991" max="9991" width="9.375" style="2775" bestFit="1" customWidth="1"/>
    <col min="9992" max="9993" width="9" style="2775"/>
    <col min="9994" max="9994" width="9.375" style="2775" bestFit="1" customWidth="1"/>
    <col min="9995" max="9995" width="4" style="2775" customWidth="1"/>
    <col min="9996" max="9996" width="5.125" style="2775" customWidth="1"/>
    <col min="9997" max="9997" width="13.75" style="2775" customWidth="1"/>
    <col min="9998" max="10240" width="9" style="2775"/>
    <col min="10241" max="10241" width="4.875" style="2775" customWidth="1"/>
    <col min="10242" max="10242" width="13.25" style="2775" customWidth="1"/>
    <col min="10243" max="10243" width="15.625" style="2775" customWidth="1"/>
    <col min="10244" max="10244" width="9.375" style="2775" bestFit="1" customWidth="1"/>
    <col min="10245" max="10245" width="13.5" style="2775" customWidth="1"/>
    <col min="10246" max="10246" width="9" style="2775"/>
    <col min="10247" max="10247" width="9.375" style="2775" bestFit="1" customWidth="1"/>
    <col min="10248" max="10249" width="9" style="2775"/>
    <col min="10250" max="10250" width="9.375" style="2775" bestFit="1" customWidth="1"/>
    <col min="10251" max="10251" width="4" style="2775" customWidth="1"/>
    <col min="10252" max="10252" width="5.125" style="2775" customWidth="1"/>
    <col min="10253" max="10253" width="13.75" style="2775" customWidth="1"/>
    <col min="10254" max="10496" width="9" style="2775"/>
    <col min="10497" max="10497" width="4.875" style="2775" customWidth="1"/>
    <col min="10498" max="10498" width="13.25" style="2775" customWidth="1"/>
    <col min="10499" max="10499" width="15.625" style="2775" customWidth="1"/>
    <col min="10500" max="10500" width="9.375" style="2775" bestFit="1" customWidth="1"/>
    <col min="10501" max="10501" width="13.5" style="2775" customWidth="1"/>
    <col min="10502" max="10502" width="9" style="2775"/>
    <col min="10503" max="10503" width="9.375" style="2775" bestFit="1" customWidth="1"/>
    <col min="10504" max="10505" width="9" style="2775"/>
    <col min="10506" max="10506" width="9.375" style="2775" bestFit="1" customWidth="1"/>
    <col min="10507" max="10507" width="4" style="2775" customWidth="1"/>
    <col min="10508" max="10508" width="5.125" style="2775" customWidth="1"/>
    <col min="10509" max="10509" width="13.75" style="2775" customWidth="1"/>
    <col min="10510" max="10752" width="9" style="2775"/>
    <col min="10753" max="10753" width="4.875" style="2775" customWidth="1"/>
    <col min="10754" max="10754" width="13.25" style="2775" customWidth="1"/>
    <col min="10755" max="10755" width="15.625" style="2775" customWidth="1"/>
    <col min="10756" max="10756" width="9.375" style="2775" bestFit="1" customWidth="1"/>
    <col min="10757" max="10757" width="13.5" style="2775" customWidth="1"/>
    <col min="10758" max="10758" width="9" style="2775"/>
    <col min="10759" max="10759" width="9.375" style="2775" bestFit="1" customWidth="1"/>
    <col min="10760" max="10761" width="9" style="2775"/>
    <col min="10762" max="10762" width="9.375" style="2775" bestFit="1" customWidth="1"/>
    <col min="10763" max="10763" width="4" style="2775" customWidth="1"/>
    <col min="10764" max="10764" width="5.125" style="2775" customWidth="1"/>
    <col min="10765" max="10765" width="13.75" style="2775" customWidth="1"/>
    <col min="10766" max="11008" width="9" style="2775"/>
    <col min="11009" max="11009" width="4.875" style="2775" customWidth="1"/>
    <col min="11010" max="11010" width="13.25" style="2775" customWidth="1"/>
    <col min="11011" max="11011" width="15.625" style="2775" customWidth="1"/>
    <col min="11012" max="11012" width="9.375" style="2775" bestFit="1" customWidth="1"/>
    <col min="11013" max="11013" width="13.5" style="2775" customWidth="1"/>
    <col min="11014" max="11014" width="9" style="2775"/>
    <col min="11015" max="11015" width="9.375" style="2775" bestFit="1" customWidth="1"/>
    <col min="11016" max="11017" width="9" style="2775"/>
    <col min="11018" max="11018" width="9.375" style="2775" bestFit="1" customWidth="1"/>
    <col min="11019" max="11019" width="4" style="2775" customWidth="1"/>
    <col min="11020" max="11020" width="5.125" style="2775" customWidth="1"/>
    <col min="11021" max="11021" width="13.75" style="2775" customWidth="1"/>
    <col min="11022" max="11264" width="9" style="2775"/>
    <col min="11265" max="11265" width="4.875" style="2775" customWidth="1"/>
    <col min="11266" max="11266" width="13.25" style="2775" customWidth="1"/>
    <col min="11267" max="11267" width="15.625" style="2775" customWidth="1"/>
    <col min="11268" max="11268" width="9.375" style="2775" bestFit="1" customWidth="1"/>
    <col min="11269" max="11269" width="13.5" style="2775" customWidth="1"/>
    <col min="11270" max="11270" width="9" style="2775"/>
    <col min="11271" max="11271" width="9.375" style="2775" bestFit="1" customWidth="1"/>
    <col min="11272" max="11273" width="9" style="2775"/>
    <col min="11274" max="11274" width="9.375" style="2775" bestFit="1" customWidth="1"/>
    <col min="11275" max="11275" width="4" style="2775" customWidth="1"/>
    <col min="11276" max="11276" width="5.125" style="2775" customWidth="1"/>
    <col min="11277" max="11277" width="13.75" style="2775" customWidth="1"/>
    <col min="11278" max="11520" width="9" style="2775"/>
    <col min="11521" max="11521" width="4.875" style="2775" customWidth="1"/>
    <col min="11522" max="11522" width="13.25" style="2775" customWidth="1"/>
    <col min="11523" max="11523" width="15.625" style="2775" customWidth="1"/>
    <col min="11524" max="11524" width="9.375" style="2775" bestFit="1" customWidth="1"/>
    <col min="11525" max="11525" width="13.5" style="2775" customWidth="1"/>
    <col min="11526" max="11526" width="9" style="2775"/>
    <col min="11527" max="11527" width="9.375" style="2775" bestFit="1" customWidth="1"/>
    <col min="11528" max="11529" width="9" style="2775"/>
    <col min="11530" max="11530" width="9.375" style="2775" bestFit="1" customWidth="1"/>
    <col min="11531" max="11531" width="4" style="2775" customWidth="1"/>
    <col min="11532" max="11532" width="5.125" style="2775" customWidth="1"/>
    <col min="11533" max="11533" width="13.75" style="2775" customWidth="1"/>
    <col min="11534" max="11776" width="9" style="2775"/>
    <col min="11777" max="11777" width="4.875" style="2775" customWidth="1"/>
    <col min="11778" max="11778" width="13.25" style="2775" customWidth="1"/>
    <col min="11779" max="11779" width="15.625" style="2775" customWidth="1"/>
    <col min="11780" max="11780" width="9.375" style="2775" bestFit="1" customWidth="1"/>
    <col min="11781" max="11781" width="13.5" style="2775" customWidth="1"/>
    <col min="11782" max="11782" width="9" style="2775"/>
    <col min="11783" max="11783" width="9.375" style="2775" bestFit="1" customWidth="1"/>
    <col min="11784" max="11785" width="9" style="2775"/>
    <col min="11786" max="11786" width="9.375" style="2775" bestFit="1" customWidth="1"/>
    <col min="11787" max="11787" width="4" style="2775" customWidth="1"/>
    <col min="11788" max="11788" width="5.125" style="2775" customWidth="1"/>
    <col min="11789" max="11789" width="13.75" style="2775" customWidth="1"/>
    <col min="11790" max="12032" width="9" style="2775"/>
    <col min="12033" max="12033" width="4.875" style="2775" customWidth="1"/>
    <col min="12034" max="12034" width="13.25" style="2775" customWidth="1"/>
    <col min="12035" max="12035" width="15.625" style="2775" customWidth="1"/>
    <col min="12036" max="12036" width="9.375" style="2775" bestFit="1" customWidth="1"/>
    <col min="12037" max="12037" width="13.5" style="2775" customWidth="1"/>
    <col min="12038" max="12038" width="9" style="2775"/>
    <col min="12039" max="12039" width="9.375" style="2775" bestFit="1" customWidth="1"/>
    <col min="12040" max="12041" width="9" style="2775"/>
    <col min="12042" max="12042" width="9.375" style="2775" bestFit="1" customWidth="1"/>
    <col min="12043" max="12043" width="4" style="2775" customWidth="1"/>
    <col min="12044" max="12044" width="5.125" style="2775" customWidth="1"/>
    <col min="12045" max="12045" width="13.75" style="2775" customWidth="1"/>
    <col min="12046" max="12288" width="9" style="2775"/>
    <col min="12289" max="12289" width="4.875" style="2775" customWidth="1"/>
    <col min="12290" max="12290" width="13.25" style="2775" customWidth="1"/>
    <col min="12291" max="12291" width="15.625" style="2775" customWidth="1"/>
    <col min="12292" max="12292" width="9.375" style="2775" bestFit="1" customWidth="1"/>
    <col min="12293" max="12293" width="13.5" style="2775" customWidth="1"/>
    <col min="12294" max="12294" width="9" style="2775"/>
    <col min="12295" max="12295" width="9.375" style="2775" bestFit="1" customWidth="1"/>
    <col min="12296" max="12297" width="9" style="2775"/>
    <col min="12298" max="12298" width="9.375" style="2775" bestFit="1" customWidth="1"/>
    <col min="12299" max="12299" width="4" style="2775" customWidth="1"/>
    <col min="12300" max="12300" width="5.125" style="2775" customWidth="1"/>
    <col min="12301" max="12301" width="13.75" style="2775" customWidth="1"/>
    <col min="12302" max="12544" width="9" style="2775"/>
    <col min="12545" max="12545" width="4.875" style="2775" customWidth="1"/>
    <col min="12546" max="12546" width="13.25" style="2775" customWidth="1"/>
    <col min="12547" max="12547" width="15.625" style="2775" customWidth="1"/>
    <col min="12548" max="12548" width="9.375" style="2775" bestFit="1" customWidth="1"/>
    <col min="12549" max="12549" width="13.5" style="2775" customWidth="1"/>
    <col min="12550" max="12550" width="9" style="2775"/>
    <col min="12551" max="12551" width="9.375" style="2775" bestFit="1" customWidth="1"/>
    <col min="12552" max="12553" width="9" style="2775"/>
    <col min="12554" max="12554" width="9.375" style="2775" bestFit="1" customWidth="1"/>
    <col min="12555" max="12555" width="4" style="2775" customWidth="1"/>
    <col min="12556" max="12556" width="5.125" style="2775" customWidth="1"/>
    <col min="12557" max="12557" width="13.75" style="2775" customWidth="1"/>
    <col min="12558" max="12800" width="9" style="2775"/>
    <col min="12801" max="12801" width="4.875" style="2775" customWidth="1"/>
    <col min="12802" max="12802" width="13.25" style="2775" customWidth="1"/>
    <col min="12803" max="12803" width="15.625" style="2775" customWidth="1"/>
    <col min="12804" max="12804" width="9.375" style="2775" bestFit="1" customWidth="1"/>
    <col min="12805" max="12805" width="13.5" style="2775" customWidth="1"/>
    <col min="12806" max="12806" width="9" style="2775"/>
    <col min="12807" max="12807" width="9.375" style="2775" bestFit="1" customWidth="1"/>
    <col min="12808" max="12809" width="9" style="2775"/>
    <col min="12810" max="12810" width="9.375" style="2775" bestFit="1" customWidth="1"/>
    <col min="12811" max="12811" width="4" style="2775" customWidth="1"/>
    <col min="12812" max="12812" width="5.125" style="2775" customWidth="1"/>
    <col min="12813" max="12813" width="13.75" style="2775" customWidth="1"/>
    <col min="12814" max="13056" width="9" style="2775"/>
    <col min="13057" max="13057" width="4.875" style="2775" customWidth="1"/>
    <col min="13058" max="13058" width="13.25" style="2775" customWidth="1"/>
    <col min="13059" max="13059" width="15.625" style="2775" customWidth="1"/>
    <col min="13060" max="13060" width="9.375" style="2775" bestFit="1" customWidth="1"/>
    <col min="13061" max="13061" width="13.5" style="2775" customWidth="1"/>
    <col min="13062" max="13062" width="9" style="2775"/>
    <col min="13063" max="13063" width="9.375" style="2775" bestFit="1" customWidth="1"/>
    <col min="13064" max="13065" width="9" style="2775"/>
    <col min="13066" max="13066" width="9.375" style="2775" bestFit="1" customWidth="1"/>
    <col min="13067" max="13067" width="4" style="2775" customWidth="1"/>
    <col min="13068" max="13068" width="5.125" style="2775" customWidth="1"/>
    <col min="13069" max="13069" width="13.75" style="2775" customWidth="1"/>
    <col min="13070" max="13312" width="9" style="2775"/>
    <col min="13313" max="13313" width="4.875" style="2775" customWidth="1"/>
    <col min="13314" max="13314" width="13.25" style="2775" customWidth="1"/>
    <col min="13315" max="13315" width="15.625" style="2775" customWidth="1"/>
    <col min="13316" max="13316" width="9.375" style="2775" bestFit="1" customWidth="1"/>
    <col min="13317" max="13317" width="13.5" style="2775" customWidth="1"/>
    <col min="13318" max="13318" width="9" style="2775"/>
    <col min="13319" max="13319" width="9.375" style="2775" bestFit="1" customWidth="1"/>
    <col min="13320" max="13321" width="9" style="2775"/>
    <col min="13322" max="13322" width="9.375" style="2775" bestFit="1" customWidth="1"/>
    <col min="13323" max="13323" width="4" style="2775" customWidth="1"/>
    <col min="13324" max="13324" width="5.125" style="2775" customWidth="1"/>
    <col min="13325" max="13325" width="13.75" style="2775" customWidth="1"/>
    <col min="13326" max="13568" width="9" style="2775"/>
    <col min="13569" max="13569" width="4.875" style="2775" customWidth="1"/>
    <col min="13570" max="13570" width="13.25" style="2775" customWidth="1"/>
    <col min="13571" max="13571" width="15.625" style="2775" customWidth="1"/>
    <col min="13572" max="13572" width="9.375" style="2775" bestFit="1" customWidth="1"/>
    <col min="13573" max="13573" width="13.5" style="2775" customWidth="1"/>
    <col min="13574" max="13574" width="9" style="2775"/>
    <col min="13575" max="13575" width="9.375" style="2775" bestFit="1" customWidth="1"/>
    <col min="13576" max="13577" width="9" style="2775"/>
    <col min="13578" max="13578" width="9.375" style="2775" bestFit="1" customWidth="1"/>
    <col min="13579" max="13579" width="4" style="2775" customWidth="1"/>
    <col min="13580" max="13580" width="5.125" style="2775" customWidth="1"/>
    <col min="13581" max="13581" width="13.75" style="2775" customWidth="1"/>
    <col min="13582" max="13824" width="9" style="2775"/>
    <col min="13825" max="13825" width="4.875" style="2775" customWidth="1"/>
    <col min="13826" max="13826" width="13.25" style="2775" customWidth="1"/>
    <col min="13827" max="13827" width="15.625" style="2775" customWidth="1"/>
    <col min="13828" max="13828" width="9.375" style="2775" bestFit="1" customWidth="1"/>
    <col min="13829" max="13829" width="13.5" style="2775" customWidth="1"/>
    <col min="13830" max="13830" width="9" style="2775"/>
    <col min="13831" max="13831" width="9.375" style="2775" bestFit="1" customWidth="1"/>
    <col min="13832" max="13833" width="9" style="2775"/>
    <col min="13834" max="13834" width="9.375" style="2775" bestFit="1" customWidth="1"/>
    <col min="13835" max="13835" width="4" style="2775" customWidth="1"/>
    <col min="13836" max="13836" width="5.125" style="2775" customWidth="1"/>
    <col min="13837" max="13837" width="13.75" style="2775" customWidth="1"/>
    <col min="13838" max="14080" width="9" style="2775"/>
    <col min="14081" max="14081" width="4.875" style="2775" customWidth="1"/>
    <col min="14082" max="14082" width="13.25" style="2775" customWidth="1"/>
    <col min="14083" max="14083" width="15.625" style="2775" customWidth="1"/>
    <col min="14084" max="14084" width="9.375" style="2775" bestFit="1" customWidth="1"/>
    <col min="14085" max="14085" width="13.5" style="2775" customWidth="1"/>
    <col min="14086" max="14086" width="9" style="2775"/>
    <col min="14087" max="14087" width="9.375" style="2775" bestFit="1" customWidth="1"/>
    <col min="14088" max="14089" width="9" style="2775"/>
    <col min="14090" max="14090" width="9.375" style="2775" bestFit="1" customWidth="1"/>
    <col min="14091" max="14091" width="4" style="2775" customWidth="1"/>
    <col min="14092" max="14092" width="5.125" style="2775" customWidth="1"/>
    <col min="14093" max="14093" width="13.75" style="2775" customWidth="1"/>
    <col min="14094" max="14336" width="9" style="2775"/>
    <col min="14337" max="14337" width="4.875" style="2775" customWidth="1"/>
    <col min="14338" max="14338" width="13.25" style="2775" customWidth="1"/>
    <col min="14339" max="14339" width="15.625" style="2775" customWidth="1"/>
    <col min="14340" max="14340" width="9.375" style="2775" bestFit="1" customWidth="1"/>
    <col min="14341" max="14341" width="13.5" style="2775" customWidth="1"/>
    <col min="14342" max="14342" width="9" style="2775"/>
    <col min="14343" max="14343" width="9.375" style="2775" bestFit="1" customWidth="1"/>
    <col min="14344" max="14345" width="9" style="2775"/>
    <col min="14346" max="14346" width="9.375" style="2775" bestFit="1" customWidth="1"/>
    <col min="14347" max="14347" width="4" style="2775" customWidth="1"/>
    <col min="14348" max="14348" width="5.125" style="2775" customWidth="1"/>
    <col min="14349" max="14349" width="13.75" style="2775" customWidth="1"/>
    <col min="14350" max="14592" width="9" style="2775"/>
    <col min="14593" max="14593" width="4.875" style="2775" customWidth="1"/>
    <col min="14594" max="14594" width="13.25" style="2775" customWidth="1"/>
    <col min="14595" max="14595" width="15.625" style="2775" customWidth="1"/>
    <col min="14596" max="14596" width="9.375" style="2775" bestFit="1" customWidth="1"/>
    <col min="14597" max="14597" width="13.5" style="2775" customWidth="1"/>
    <col min="14598" max="14598" width="9" style="2775"/>
    <col min="14599" max="14599" width="9.375" style="2775" bestFit="1" customWidth="1"/>
    <col min="14600" max="14601" width="9" style="2775"/>
    <col min="14602" max="14602" width="9.375" style="2775" bestFit="1" customWidth="1"/>
    <col min="14603" max="14603" width="4" style="2775" customWidth="1"/>
    <col min="14604" max="14604" width="5.125" style="2775" customWidth="1"/>
    <col min="14605" max="14605" width="13.75" style="2775" customWidth="1"/>
    <col min="14606" max="14848" width="9" style="2775"/>
    <col min="14849" max="14849" width="4.875" style="2775" customWidth="1"/>
    <col min="14850" max="14850" width="13.25" style="2775" customWidth="1"/>
    <col min="14851" max="14851" width="15.625" style="2775" customWidth="1"/>
    <col min="14852" max="14852" width="9.375" style="2775" bestFit="1" customWidth="1"/>
    <col min="14853" max="14853" width="13.5" style="2775" customWidth="1"/>
    <col min="14854" max="14854" width="9" style="2775"/>
    <col min="14855" max="14855" width="9.375" style="2775" bestFit="1" customWidth="1"/>
    <col min="14856" max="14857" width="9" style="2775"/>
    <col min="14858" max="14858" width="9.375" style="2775" bestFit="1" customWidth="1"/>
    <col min="14859" max="14859" width="4" style="2775" customWidth="1"/>
    <col min="14860" max="14860" width="5.125" style="2775" customWidth="1"/>
    <col min="14861" max="14861" width="13.75" style="2775" customWidth="1"/>
    <col min="14862" max="15104" width="9" style="2775"/>
    <col min="15105" max="15105" width="4.875" style="2775" customWidth="1"/>
    <col min="15106" max="15106" width="13.25" style="2775" customWidth="1"/>
    <col min="15107" max="15107" width="15.625" style="2775" customWidth="1"/>
    <col min="15108" max="15108" width="9.375" style="2775" bestFit="1" customWidth="1"/>
    <col min="15109" max="15109" width="13.5" style="2775" customWidth="1"/>
    <col min="15110" max="15110" width="9" style="2775"/>
    <col min="15111" max="15111" width="9.375" style="2775" bestFit="1" customWidth="1"/>
    <col min="15112" max="15113" width="9" style="2775"/>
    <col min="15114" max="15114" width="9.375" style="2775" bestFit="1" customWidth="1"/>
    <col min="15115" max="15115" width="4" style="2775" customWidth="1"/>
    <col min="15116" max="15116" width="5.125" style="2775" customWidth="1"/>
    <col min="15117" max="15117" width="13.75" style="2775" customWidth="1"/>
    <col min="15118" max="15360" width="9" style="2775"/>
    <col min="15361" max="15361" width="4.875" style="2775" customWidth="1"/>
    <col min="15362" max="15362" width="13.25" style="2775" customWidth="1"/>
    <col min="15363" max="15363" width="15.625" style="2775" customWidth="1"/>
    <col min="15364" max="15364" width="9.375" style="2775" bestFit="1" customWidth="1"/>
    <col min="15365" max="15365" width="13.5" style="2775" customWidth="1"/>
    <col min="15366" max="15366" width="9" style="2775"/>
    <col min="15367" max="15367" width="9.375" style="2775" bestFit="1" customWidth="1"/>
    <col min="15368" max="15369" width="9" style="2775"/>
    <col min="15370" max="15370" width="9.375" style="2775" bestFit="1" customWidth="1"/>
    <col min="15371" max="15371" width="4" style="2775" customWidth="1"/>
    <col min="15372" max="15372" width="5.125" style="2775" customWidth="1"/>
    <col min="15373" max="15373" width="13.75" style="2775" customWidth="1"/>
    <col min="15374" max="15616" width="9" style="2775"/>
    <col min="15617" max="15617" width="4.875" style="2775" customWidth="1"/>
    <col min="15618" max="15618" width="13.25" style="2775" customWidth="1"/>
    <col min="15619" max="15619" width="15.625" style="2775" customWidth="1"/>
    <col min="15620" max="15620" width="9.375" style="2775" bestFit="1" customWidth="1"/>
    <col min="15621" max="15621" width="13.5" style="2775" customWidth="1"/>
    <col min="15622" max="15622" width="9" style="2775"/>
    <col min="15623" max="15623" width="9.375" style="2775" bestFit="1" customWidth="1"/>
    <col min="15624" max="15625" width="9" style="2775"/>
    <col min="15626" max="15626" width="9.375" style="2775" bestFit="1" customWidth="1"/>
    <col min="15627" max="15627" width="4" style="2775" customWidth="1"/>
    <col min="15628" max="15628" width="5.125" style="2775" customWidth="1"/>
    <col min="15629" max="15629" width="13.75" style="2775" customWidth="1"/>
    <col min="15630" max="15872" width="9" style="2775"/>
    <col min="15873" max="15873" width="4.875" style="2775" customWidth="1"/>
    <col min="15874" max="15874" width="13.25" style="2775" customWidth="1"/>
    <col min="15875" max="15875" width="15.625" style="2775" customWidth="1"/>
    <col min="15876" max="15876" width="9.375" style="2775" bestFit="1" customWidth="1"/>
    <col min="15877" max="15877" width="13.5" style="2775" customWidth="1"/>
    <col min="15878" max="15878" width="9" style="2775"/>
    <col min="15879" max="15879" width="9.375" style="2775" bestFit="1" customWidth="1"/>
    <col min="15880" max="15881" width="9" style="2775"/>
    <col min="15882" max="15882" width="9.375" style="2775" bestFit="1" customWidth="1"/>
    <col min="15883" max="15883" width="4" style="2775" customWidth="1"/>
    <col min="15884" max="15884" width="5.125" style="2775" customWidth="1"/>
    <col min="15885" max="15885" width="13.75" style="2775" customWidth="1"/>
    <col min="15886" max="16128" width="9" style="2775"/>
    <col min="16129" max="16129" width="4.875" style="2775" customWidth="1"/>
    <col min="16130" max="16130" width="13.25" style="2775" customWidth="1"/>
    <col min="16131" max="16131" width="15.625" style="2775" customWidth="1"/>
    <col min="16132" max="16132" width="9.375" style="2775" bestFit="1" customWidth="1"/>
    <col min="16133" max="16133" width="13.5" style="2775" customWidth="1"/>
    <col min="16134" max="16134" width="9" style="2775"/>
    <col min="16135" max="16135" width="9.375" style="2775" bestFit="1" customWidth="1"/>
    <col min="16136" max="16137" width="9" style="2775"/>
    <col min="16138" max="16138" width="9.375" style="2775" bestFit="1" customWidth="1"/>
    <col min="16139" max="16139" width="4" style="2775" customWidth="1"/>
    <col min="16140" max="16140" width="5.125" style="2775" customWidth="1"/>
    <col min="16141" max="16141" width="13.75" style="2775" customWidth="1"/>
    <col min="16142" max="16384" width="9" style="2775"/>
  </cols>
  <sheetData>
    <row r="1" spans="1:257" s="2835" customFormat="1" ht="14.25" thickBot="1">
      <c r="A1" s="2834"/>
      <c r="B1" s="2836" t="s">
        <v>2778</v>
      </c>
      <c r="C1" s="2840">
        <f>项目基本情况!D3</f>
        <v>44050</v>
      </c>
      <c r="H1" s="2774">
        <f>IF(C1&gt;C13,0,MATCH(C1,C$13:C$100,-1))+IF(SUMIF(C13:C100,C1,D13:D100)=0,13,12)</f>
        <v>13</v>
      </c>
      <c r="I1" s="2774">
        <f ca="1">MATCH(C2,H3:H7,1)+IF(SUMIF(H3:H7,C2,I3:I7)=0,2,1)</f>
        <v>5</v>
      </c>
      <c r="J1" s="2833">
        <f ca="1">MATCH(C3,H3:H7,1)+IF(SUMIF(H3:H7,C3,J3:J7)=0,2,1)</f>
        <v>2</v>
      </c>
      <c r="N1" s="2774">
        <f>IF(C1&gt;M13,0,MATCH(C1,M$13:M$100,-1))+IF(SUMIF(M13:M100,C1,N13:N100)=0,13,12)</f>
        <v>13</v>
      </c>
      <c r="P1" s="2834"/>
      <c r="Q1" s="2834"/>
      <c r="R1" s="2834"/>
      <c r="S1" s="2834"/>
      <c r="T1" s="2834"/>
      <c r="U1" s="2834"/>
      <c r="V1" s="2834"/>
      <c r="W1" s="2834"/>
      <c r="X1" s="2834"/>
      <c r="Y1" s="2834"/>
      <c r="Z1" s="2834"/>
      <c r="AA1" s="2834"/>
      <c r="AB1" s="2834"/>
      <c r="AC1" s="2834"/>
      <c r="AD1" s="2834"/>
      <c r="AE1" s="2834"/>
      <c r="AF1" s="2834"/>
      <c r="AG1" s="2834"/>
      <c r="AH1" s="2834"/>
      <c r="AI1" s="2834"/>
      <c r="AJ1" s="2834"/>
      <c r="AK1" s="2834"/>
      <c r="AL1" s="2834"/>
      <c r="AM1" s="2834"/>
      <c r="AN1" s="2834"/>
      <c r="AO1" s="2834"/>
      <c r="AP1" s="2834"/>
      <c r="AQ1" s="2834"/>
      <c r="AR1" s="2834"/>
      <c r="AS1" s="2834"/>
      <c r="AT1" s="2834"/>
      <c r="AU1" s="2834"/>
      <c r="AV1" s="2834"/>
      <c r="AW1" s="2834"/>
      <c r="AX1" s="2834"/>
      <c r="AY1" s="2834"/>
      <c r="AZ1" s="2834"/>
      <c r="BA1" s="2834"/>
      <c r="BB1" s="2834"/>
      <c r="BC1" s="2834"/>
      <c r="BD1" s="2834"/>
      <c r="BE1" s="2834"/>
      <c r="BF1" s="2834"/>
      <c r="BG1" s="2834"/>
      <c r="BH1" s="2834"/>
      <c r="BI1" s="2834"/>
      <c r="BJ1" s="2834"/>
      <c r="BK1" s="2834"/>
      <c r="BL1" s="2834"/>
      <c r="BM1" s="2834"/>
      <c r="BN1" s="2834"/>
      <c r="BO1" s="2834"/>
      <c r="BP1" s="2834"/>
      <c r="BQ1" s="2834"/>
      <c r="BR1" s="2834"/>
      <c r="BS1" s="2834"/>
      <c r="BT1" s="2834"/>
      <c r="BU1" s="2834"/>
      <c r="BV1" s="2834"/>
      <c r="BW1" s="2834"/>
      <c r="BX1" s="2834"/>
      <c r="BY1" s="2834"/>
      <c r="BZ1" s="2834"/>
      <c r="CA1" s="2834"/>
      <c r="CB1" s="2834"/>
      <c r="CC1" s="2834"/>
      <c r="CD1" s="2834"/>
      <c r="CE1" s="2834"/>
      <c r="CF1" s="2834"/>
      <c r="CG1" s="2834"/>
      <c r="CH1" s="2834"/>
      <c r="CI1" s="2834"/>
      <c r="CJ1" s="2834"/>
      <c r="CK1" s="2834"/>
      <c r="CL1" s="2834"/>
      <c r="CM1" s="2834"/>
      <c r="CN1" s="2834"/>
      <c r="CO1" s="2834"/>
      <c r="CP1" s="2834"/>
      <c r="CQ1" s="2834"/>
      <c r="CR1" s="2834"/>
      <c r="CS1" s="2834"/>
      <c r="CT1" s="2834"/>
      <c r="CU1" s="2834"/>
      <c r="CV1" s="2834"/>
      <c r="CW1" s="2834"/>
      <c r="CX1" s="2834"/>
      <c r="CY1" s="2834"/>
      <c r="CZ1" s="2834"/>
      <c r="DA1" s="2834"/>
      <c r="DB1" s="2834"/>
      <c r="DC1" s="2834"/>
      <c r="DD1" s="2834"/>
      <c r="DE1" s="2834"/>
      <c r="DF1" s="2834"/>
      <c r="DG1" s="2834"/>
      <c r="DH1" s="2834"/>
      <c r="DI1" s="2834"/>
      <c r="DJ1" s="2834"/>
      <c r="DK1" s="2834"/>
      <c r="DL1" s="2834"/>
      <c r="DM1" s="2834"/>
      <c r="DN1" s="2834"/>
      <c r="DO1" s="2834"/>
      <c r="DP1" s="2834"/>
      <c r="DQ1" s="2834"/>
      <c r="DR1" s="2834"/>
      <c r="DS1" s="2834"/>
      <c r="DT1" s="2834"/>
      <c r="DU1" s="2834"/>
      <c r="DV1" s="2834"/>
      <c r="DW1" s="2834"/>
      <c r="DX1" s="2834"/>
      <c r="DY1" s="2834"/>
      <c r="DZ1" s="2834"/>
      <c r="EA1" s="2834"/>
      <c r="EB1" s="2834"/>
      <c r="EC1" s="2834"/>
      <c r="ED1" s="2834"/>
      <c r="EE1" s="2834"/>
      <c r="EF1" s="2834"/>
      <c r="EG1" s="2834"/>
      <c r="EH1" s="2834"/>
      <c r="EI1" s="2834"/>
      <c r="EJ1" s="2834"/>
      <c r="EK1" s="2834"/>
      <c r="EL1" s="2834"/>
      <c r="EM1" s="2834"/>
      <c r="EN1" s="2834"/>
      <c r="EO1" s="2834"/>
      <c r="EP1" s="2834"/>
      <c r="EQ1" s="2834"/>
      <c r="ER1" s="2834"/>
      <c r="ES1" s="2834"/>
      <c r="ET1" s="2834"/>
      <c r="EU1" s="2834"/>
      <c r="EV1" s="2834"/>
      <c r="EW1" s="2834"/>
      <c r="EX1" s="2834"/>
      <c r="EY1" s="2834"/>
      <c r="EZ1" s="2834"/>
      <c r="FA1" s="2834"/>
      <c r="FB1" s="2834"/>
      <c r="FC1" s="2834"/>
      <c r="FD1" s="2834"/>
      <c r="FE1" s="2834"/>
      <c r="FF1" s="2834"/>
      <c r="FG1" s="2834"/>
      <c r="FH1" s="2834"/>
      <c r="FI1" s="2834"/>
      <c r="FJ1" s="2834"/>
      <c r="FK1" s="2834"/>
      <c r="FL1" s="2834"/>
      <c r="FM1" s="2834"/>
      <c r="FN1" s="2834"/>
      <c r="FO1" s="2834"/>
      <c r="FP1" s="2834"/>
      <c r="FQ1" s="2834"/>
      <c r="FR1" s="2834"/>
      <c r="FS1" s="2834"/>
      <c r="FT1" s="2834"/>
      <c r="FU1" s="2834"/>
      <c r="FV1" s="2834"/>
      <c r="FW1" s="2834"/>
      <c r="FX1" s="2834"/>
      <c r="FY1" s="2834"/>
      <c r="FZ1" s="2834"/>
      <c r="GA1" s="2834"/>
      <c r="GB1" s="2834"/>
      <c r="GC1" s="2834"/>
      <c r="GD1" s="2834"/>
      <c r="GE1" s="2834"/>
      <c r="GF1" s="2834"/>
      <c r="GG1" s="2834"/>
      <c r="GH1" s="2834"/>
      <c r="GI1" s="2834"/>
      <c r="GJ1" s="2834"/>
      <c r="GK1" s="2834"/>
      <c r="GL1" s="2834"/>
      <c r="GM1" s="2834"/>
      <c r="GN1" s="2834"/>
      <c r="GO1" s="2834"/>
      <c r="GP1" s="2834"/>
      <c r="GQ1" s="2834"/>
      <c r="GR1" s="2834"/>
      <c r="GS1" s="2834"/>
      <c r="GT1" s="2834"/>
      <c r="GU1" s="2834"/>
      <c r="GV1" s="2834"/>
      <c r="GW1" s="2834"/>
      <c r="GX1" s="2834"/>
      <c r="GY1" s="2834"/>
      <c r="GZ1" s="2834"/>
      <c r="HA1" s="2834"/>
      <c r="HB1" s="2834"/>
      <c r="HC1" s="2834"/>
      <c r="HD1" s="2834"/>
      <c r="HE1" s="2834"/>
      <c r="HF1" s="2834"/>
      <c r="HG1" s="2834"/>
      <c r="HH1" s="2834"/>
      <c r="HI1" s="2834"/>
      <c r="HJ1" s="2834"/>
      <c r="HK1" s="2834"/>
      <c r="HL1" s="2834"/>
      <c r="HM1" s="2834"/>
      <c r="HN1" s="2834"/>
      <c r="HO1" s="2834"/>
      <c r="HP1" s="2834"/>
      <c r="HQ1" s="2834"/>
      <c r="HR1" s="2834"/>
      <c r="HS1" s="2834"/>
      <c r="HT1" s="2834"/>
      <c r="HU1" s="2834"/>
      <c r="HV1" s="2834"/>
      <c r="HW1" s="2834"/>
      <c r="HX1" s="2834"/>
      <c r="HY1" s="2834"/>
      <c r="HZ1" s="2834"/>
      <c r="IA1" s="2834"/>
      <c r="IB1" s="2834"/>
      <c r="IC1" s="2834"/>
      <c r="ID1" s="2834"/>
      <c r="IE1" s="2834"/>
      <c r="IF1" s="2834"/>
      <c r="IG1" s="2834"/>
      <c r="IH1" s="2834"/>
      <c r="II1" s="2834"/>
      <c r="IJ1" s="2834"/>
      <c r="IK1" s="2834"/>
      <c r="IL1" s="2834"/>
      <c r="IM1" s="2834"/>
      <c r="IN1" s="2834"/>
      <c r="IO1" s="2834"/>
      <c r="IP1" s="2834"/>
      <c r="IQ1" s="2834"/>
      <c r="IR1" s="2834"/>
      <c r="IS1" s="2834"/>
      <c r="IT1" s="2834"/>
      <c r="IU1" s="2834"/>
      <c r="IV1" s="2834"/>
    </row>
    <row r="2" spans="1:257" s="2832" customFormat="1" ht="15" thickTop="1" thickBot="1">
      <c r="A2" s="2776"/>
      <c r="B2" s="2837" t="s">
        <v>2809</v>
      </c>
      <c r="C2" s="2841">
        <f>'数据-取费表'!B22</f>
        <v>3</v>
      </c>
      <c r="D2" s="2836" t="s">
        <v>2779</v>
      </c>
      <c r="E2" s="2839">
        <f ca="1">INDIRECT("I"&amp;$I$1)/100</f>
        <v>4.7500000000000001E-2</v>
      </c>
      <c r="G2" s="2776"/>
      <c r="H2" s="2776"/>
      <c r="I2" s="2776" t="s">
        <v>2780</v>
      </c>
      <c r="K2" s="2776"/>
      <c r="L2" s="2776"/>
      <c r="M2" s="2776"/>
      <c r="N2" s="2776" t="s">
        <v>2781</v>
      </c>
      <c r="O2" s="2776"/>
      <c r="P2" s="2776"/>
      <c r="Q2" s="2776"/>
      <c r="R2" s="2776"/>
      <c r="S2" s="2776"/>
      <c r="T2" s="2776"/>
      <c r="U2" s="2776"/>
      <c r="V2" s="2776"/>
      <c r="W2" s="2776"/>
      <c r="X2" s="2776"/>
      <c r="Y2" s="2776"/>
      <c r="Z2" s="2776"/>
      <c r="AA2" s="2776"/>
      <c r="AB2" s="2776"/>
      <c r="AC2" s="2776"/>
      <c r="AD2" s="2776"/>
      <c r="AE2" s="2776"/>
      <c r="AF2" s="2776"/>
      <c r="AG2" s="2776"/>
      <c r="AH2" s="2776"/>
      <c r="AI2" s="2776"/>
      <c r="AJ2" s="2776"/>
      <c r="AK2" s="2776"/>
      <c r="AL2" s="2776"/>
      <c r="AM2" s="2776"/>
      <c r="AN2" s="2776"/>
      <c r="AO2" s="2776"/>
      <c r="AP2" s="2776"/>
      <c r="AQ2" s="2776"/>
      <c r="AR2" s="2776"/>
      <c r="AS2" s="2776"/>
      <c r="AT2" s="2776"/>
      <c r="AU2" s="2776"/>
      <c r="AV2" s="2776"/>
      <c r="AW2" s="2776"/>
      <c r="AX2" s="2776"/>
      <c r="AY2" s="2776"/>
      <c r="AZ2" s="2776"/>
      <c r="BA2" s="2776"/>
      <c r="BB2" s="2776"/>
      <c r="BC2" s="2776"/>
      <c r="BD2" s="2776"/>
      <c r="BE2" s="2776"/>
      <c r="BF2" s="2776"/>
      <c r="BG2" s="2776"/>
      <c r="BH2" s="2776"/>
      <c r="BI2" s="2776"/>
      <c r="BJ2" s="2776"/>
      <c r="BK2" s="2776"/>
      <c r="BL2" s="2776"/>
      <c r="BM2" s="2776"/>
      <c r="BN2" s="2776"/>
      <c r="BO2" s="2776"/>
      <c r="BP2" s="2776"/>
      <c r="BQ2" s="2776"/>
      <c r="BR2" s="2776"/>
      <c r="BS2" s="2776"/>
      <c r="BT2" s="2776"/>
      <c r="BU2" s="2776"/>
      <c r="BV2" s="2776"/>
      <c r="BW2" s="2776"/>
      <c r="BX2" s="2776"/>
      <c r="BY2" s="2776"/>
      <c r="BZ2" s="2776"/>
      <c r="CA2" s="2776"/>
      <c r="CB2" s="2776"/>
      <c r="CC2" s="2776"/>
      <c r="CD2" s="2776"/>
      <c r="CE2" s="2776"/>
      <c r="CF2" s="2776"/>
      <c r="CG2" s="2776"/>
      <c r="CH2" s="2776"/>
      <c r="CI2" s="2776"/>
      <c r="CJ2" s="2776"/>
      <c r="CK2" s="2776"/>
      <c r="CL2" s="2776"/>
      <c r="CM2" s="2776"/>
      <c r="CN2" s="2776"/>
      <c r="CO2" s="2776"/>
      <c r="CP2" s="2776"/>
      <c r="CQ2" s="2776"/>
      <c r="CR2" s="2776"/>
      <c r="CS2" s="2776"/>
      <c r="CT2" s="2776"/>
      <c r="CU2" s="2776"/>
      <c r="CV2" s="2776"/>
      <c r="CW2" s="2776"/>
      <c r="CX2" s="2776"/>
      <c r="CY2" s="2776"/>
      <c r="CZ2" s="2776"/>
      <c r="DA2" s="2776"/>
      <c r="DB2" s="2776"/>
      <c r="DC2" s="2776"/>
      <c r="DD2" s="2776"/>
      <c r="DE2" s="2776"/>
      <c r="DF2" s="2776"/>
      <c r="DG2" s="2776"/>
      <c r="DH2" s="2776"/>
      <c r="DI2" s="2776"/>
      <c r="DJ2" s="2776"/>
      <c r="DK2" s="2776"/>
      <c r="DL2" s="2776"/>
      <c r="DM2" s="2776"/>
      <c r="DN2" s="2776"/>
      <c r="DO2" s="2776"/>
      <c r="DP2" s="2776"/>
      <c r="DQ2" s="2776"/>
      <c r="DR2" s="2776"/>
      <c r="DS2" s="2776"/>
      <c r="DT2" s="2776"/>
      <c r="DU2" s="2776"/>
      <c r="DV2" s="2776"/>
      <c r="DW2" s="2776"/>
      <c r="DX2" s="2776"/>
      <c r="DY2" s="2776"/>
      <c r="DZ2" s="2776"/>
      <c r="EA2" s="2776"/>
      <c r="EB2" s="2776"/>
      <c r="EC2" s="2776"/>
      <c r="ED2" s="2776"/>
      <c r="EE2" s="2776"/>
      <c r="EF2" s="2776"/>
      <c r="EG2" s="2776"/>
      <c r="EH2" s="2776"/>
      <c r="EI2" s="2776"/>
      <c r="EJ2" s="2776"/>
      <c r="EK2" s="2776"/>
      <c r="EL2" s="2776"/>
      <c r="EM2" s="2776"/>
      <c r="EN2" s="2776"/>
      <c r="EO2" s="2776"/>
      <c r="EP2" s="2776"/>
      <c r="EQ2" s="2776"/>
      <c r="ER2" s="2776"/>
      <c r="ES2" s="2776"/>
      <c r="ET2" s="2776"/>
      <c r="EU2" s="2776"/>
      <c r="EV2" s="2776"/>
      <c r="EW2" s="2776"/>
      <c r="EX2" s="2776"/>
      <c r="EY2" s="2776"/>
      <c r="EZ2" s="2776"/>
      <c r="FA2" s="2776"/>
      <c r="FB2" s="2776"/>
      <c r="FC2" s="2776"/>
      <c r="FD2" s="2776"/>
      <c r="FE2" s="2776"/>
      <c r="FF2" s="2776"/>
      <c r="FG2" s="2776"/>
      <c r="FH2" s="2776"/>
      <c r="FI2" s="2776"/>
      <c r="FJ2" s="2776"/>
      <c r="FK2" s="2776"/>
      <c r="FL2" s="2776"/>
      <c r="FM2" s="2776"/>
      <c r="FN2" s="2776"/>
      <c r="FO2" s="2776"/>
      <c r="FP2" s="2776"/>
      <c r="FQ2" s="2776"/>
      <c r="FR2" s="2776"/>
      <c r="FS2" s="2776"/>
      <c r="FT2" s="2776"/>
      <c r="FU2" s="2776"/>
      <c r="FV2" s="2776"/>
      <c r="FW2" s="2776"/>
      <c r="FX2" s="2776"/>
      <c r="FY2" s="2776"/>
      <c r="FZ2" s="2776"/>
      <c r="GA2" s="2776"/>
      <c r="GB2" s="2776"/>
      <c r="GC2" s="2776"/>
      <c r="GD2" s="2776"/>
      <c r="GE2" s="2776"/>
      <c r="GF2" s="2776"/>
      <c r="GG2" s="2776"/>
      <c r="GH2" s="2776"/>
      <c r="GI2" s="2776"/>
      <c r="GJ2" s="2776"/>
      <c r="GK2" s="2776"/>
      <c r="GL2" s="2776"/>
      <c r="GM2" s="2776"/>
      <c r="GN2" s="2776"/>
      <c r="GO2" s="2776"/>
      <c r="GP2" s="2776"/>
      <c r="GQ2" s="2776"/>
      <c r="GR2" s="2776"/>
      <c r="GS2" s="2776"/>
      <c r="GT2" s="2776"/>
      <c r="GU2" s="2776"/>
      <c r="GV2" s="2776"/>
      <c r="GW2" s="2776"/>
      <c r="GX2" s="2776"/>
      <c r="GY2" s="2776"/>
      <c r="GZ2" s="2776"/>
      <c r="HA2" s="2776"/>
      <c r="HB2" s="2776"/>
      <c r="HC2" s="2776"/>
      <c r="HD2" s="2776"/>
      <c r="HE2" s="2776"/>
      <c r="HF2" s="2776"/>
      <c r="HG2" s="2776"/>
      <c r="HH2" s="2776"/>
      <c r="HI2" s="2776"/>
      <c r="HJ2" s="2776"/>
      <c r="HK2" s="2776"/>
      <c r="HL2" s="2776"/>
      <c r="HM2" s="2776"/>
      <c r="HN2" s="2776"/>
      <c r="HO2" s="2776"/>
      <c r="HP2" s="2776"/>
      <c r="HQ2" s="2776"/>
      <c r="HR2" s="2776"/>
      <c r="HS2" s="2776"/>
      <c r="HT2" s="2776"/>
      <c r="HU2" s="2776"/>
      <c r="HV2" s="2776"/>
      <c r="HW2" s="2776"/>
      <c r="HX2" s="2776"/>
      <c r="HY2" s="2776"/>
      <c r="HZ2" s="2776"/>
      <c r="IA2" s="2776"/>
      <c r="IB2" s="2776"/>
      <c r="IC2" s="2776"/>
      <c r="ID2" s="2776"/>
      <c r="IE2" s="2776"/>
      <c r="IF2" s="2776"/>
      <c r="IG2" s="2776"/>
      <c r="IH2" s="2776"/>
      <c r="II2" s="2776"/>
      <c r="IJ2" s="2776"/>
      <c r="IK2" s="2776"/>
      <c r="IL2" s="2776"/>
      <c r="IM2" s="2776"/>
      <c r="IN2" s="2776"/>
      <c r="IO2" s="2776"/>
      <c r="IP2" s="2776"/>
      <c r="IQ2" s="2776"/>
      <c r="IR2" s="2776"/>
      <c r="IS2" s="2776"/>
      <c r="IT2" s="2776"/>
      <c r="IU2" s="2776"/>
      <c r="IV2" s="2776"/>
      <c r="IW2" s="2776"/>
    </row>
    <row r="3" spans="1:257" s="2832" customFormat="1">
      <c r="A3" s="2777"/>
      <c r="B3" s="2836" t="s">
        <v>2811</v>
      </c>
      <c r="C3" s="2838">
        <f>'数据-取费表'!B19</f>
        <v>0</v>
      </c>
      <c r="D3" s="2836" t="s">
        <v>2779</v>
      </c>
      <c r="E3" s="2839">
        <f ca="1">INDIRECT("J"&amp;$J$1)/100</f>
        <v>0</v>
      </c>
      <c r="G3" s="2778" t="s">
        <v>2782</v>
      </c>
      <c r="H3" s="2779">
        <v>0</v>
      </c>
      <c r="I3" s="2780">
        <f ca="1">INDIRECT("d"&amp;$H$1)</f>
        <v>4.3499999999999996</v>
      </c>
      <c r="J3" s="2780">
        <f ca="1">INDIRECT("d"&amp;$H$1)</f>
        <v>4.3499999999999996</v>
      </c>
      <c r="K3" s="2777"/>
      <c r="L3" s="2777"/>
      <c r="M3" s="2781">
        <v>0.5</v>
      </c>
      <c r="N3" s="2782">
        <f ca="1">INDIRECT("p"&amp;$N$1)</f>
        <v>1.3</v>
      </c>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777"/>
      <c r="AO3" s="2777"/>
      <c r="AP3" s="2777"/>
      <c r="AQ3" s="2777"/>
      <c r="AR3" s="2777"/>
      <c r="AS3" s="2777"/>
      <c r="AT3" s="2777"/>
      <c r="AU3" s="2777"/>
      <c r="AV3" s="2777"/>
      <c r="AW3" s="2777"/>
      <c r="AX3" s="2777"/>
      <c r="AY3" s="2777"/>
      <c r="AZ3" s="2777"/>
      <c r="BA3" s="2777"/>
      <c r="BB3" s="2777"/>
      <c r="BC3" s="2777"/>
      <c r="BD3" s="2777"/>
      <c r="BE3" s="2777"/>
      <c r="BF3" s="2777"/>
      <c r="BG3" s="2777"/>
      <c r="BH3" s="2777"/>
      <c r="BI3" s="2777"/>
      <c r="BJ3" s="2777"/>
      <c r="BK3" s="2777"/>
      <c r="BL3" s="2777"/>
      <c r="BM3" s="2777"/>
      <c r="BN3" s="2777"/>
      <c r="BO3" s="2777"/>
      <c r="BP3" s="2777"/>
      <c r="BQ3" s="2777"/>
      <c r="BR3" s="2777"/>
      <c r="BS3" s="2777"/>
      <c r="BT3" s="2777"/>
      <c r="BU3" s="2777"/>
      <c r="BV3" s="2777"/>
      <c r="BW3" s="2777"/>
      <c r="BX3" s="2777"/>
      <c r="BY3" s="2777"/>
      <c r="BZ3" s="2777"/>
      <c r="CA3" s="2777"/>
      <c r="CB3" s="2777"/>
      <c r="CC3" s="2777"/>
      <c r="CD3" s="2777"/>
      <c r="CE3" s="2777"/>
      <c r="CF3" s="2777"/>
      <c r="CG3" s="2777"/>
      <c r="CH3" s="2777"/>
      <c r="CI3" s="2777"/>
      <c r="CJ3" s="2777"/>
      <c r="CK3" s="2777"/>
      <c r="CL3" s="2777"/>
      <c r="CM3" s="2777"/>
      <c r="CN3" s="2777"/>
      <c r="CO3" s="2777"/>
      <c r="CP3" s="2777"/>
      <c r="CQ3" s="2777"/>
      <c r="CR3" s="2777"/>
      <c r="CS3" s="2777"/>
      <c r="CT3" s="2777"/>
      <c r="CU3" s="2777"/>
      <c r="CV3" s="2777"/>
      <c r="CW3" s="2777"/>
      <c r="CX3" s="2777"/>
      <c r="CY3" s="2777"/>
      <c r="CZ3" s="2777"/>
      <c r="DA3" s="2777"/>
      <c r="DB3" s="2777"/>
      <c r="DC3" s="2777"/>
      <c r="DD3" s="2777"/>
      <c r="DE3" s="2777"/>
      <c r="DF3" s="2777"/>
      <c r="DG3" s="2777"/>
      <c r="DH3" s="2777"/>
      <c r="DI3" s="2777"/>
      <c r="DJ3" s="2777"/>
      <c r="DK3" s="2777"/>
      <c r="DL3" s="2777"/>
      <c r="DM3" s="2777"/>
      <c r="DN3" s="2777"/>
      <c r="DO3" s="2777"/>
      <c r="DP3" s="2777"/>
      <c r="DQ3" s="2777"/>
      <c r="DR3" s="2777"/>
      <c r="DS3" s="2777"/>
      <c r="DT3" s="2777"/>
      <c r="DU3" s="2777"/>
      <c r="DV3" s="2777"/>
      <c r="DW3" s="2777"/>
      <c r="DX3" s="2777"/>
      <c r="DY3" s="2777"/>
      <c r="DZ3" s="2777"/>
      <c r="EA3" s="2777"/>
      <c r="EB3" s="2777"/>
      <c r="EC3" s="2777"/>
      <c r="ED3" s="2777"/>
      <c r="EE3" s="2777"/>
      <c r="EF3" s="2777"/>
      <c r="EG3" s="2777"/>
      <c r="EH3" s="2777"/>
      <c r="EI3" s="2777"/>
      <c r="EJ3" s="2777"/>
      <c r="EK3" s="2777"/>
      <c r="EL3" s="2777"/>
      <c r="EM3" s="2777"/>
      <c r="EN3" s="2777"/>
      <c r="EO3" s="2777"/>
      <c r="EP3" s="2777"/>
      <c r="EQ3" s="2777"/>
      <c r="ER3" s="2777"/>
      <c r="ES3" s="2777"/>
      <c r="ET3" s="2777"/>
      <c r="EU3" s="2777"/>
      <c r="EV3" s="2777"/>
      <c r="EW3" s="2777"/>
      <c r="EX3" s="2777"/>
      <c r="EY3" s="2777"/>
      <c r="EZ3" s="2777"/>
      <c r="FA3" s="2777"/>
      <c r="FB3" s="2777"/>
      <c r="FC3" s="2777"/>
      <c r="FD3" s="2777"/>
      <c r="FE3" s="2777"/>
      <c r="FF3" s="2777"/>
      <c r="FG3" s="2777"/>
      <c r="FH3" s="2777"/>
      <c r="FI3" s="2777"/>
      <c r="FJ3" s="2777"/>
      <c r="FK3" s="2777"/>
      <c r="FL3" s="2777"/>
      <c r="FM3" s="2777"/>
      <c r="FN3" s="2777"/>
      <c r="FO3" s="2777"/>
      <c r="FP3" s="2777"/>
      <c r="FQ3" s="2777"/>
      <c r="FR3" s="2777"/>
      <c r="FS3" s="2777"/>
      <c r="FT3" s="2777"/>
      <c r="FU3" s="2777"/>
      <c r="FV3" s="2777"/>
      <c r="FW3" s="2777"/>
      <c r="FX3" s="2777"/>
      <c r="FY3" s="2777"/>
      <c r="FZ3" s="2777"/>
      <c r="GA3" s="2777"/>
      <c r="GB3" s="2777"/>
      <c r="GC3" s="2777"/>
      <c r="GD3" s="2777"/>
      <c r="GE3" s="2777"/>
      <c r="GF3" s="2777"/>
      <c r="GG3" s="2777"/>
      <c r="GH3" s="2777"/>
      <c r="GI3" s="2777"/>
      <c r="GJ3" s="2777"/>
      <c r="GK3" s="2777"/>
      <c r="GL3" s="2777"/>
      <c r="GM3" s="2777"/>
      <c r="GN3" s="2777"/>
      <c r="GO3" s="2777"/>
      <c r="GP3" s="2777"/>
      <c r="GQ3" s="2777"/>
      <c r="GR3" s="2777"/>
      <c r="GS3" s="2777"/>
      <c r="GT3" s="2777"/>
      <c r="GU3" s="2777"/>
      <c r="GV3" s="2777"/>
      <c r="GW3" s="2777"/>
      <c r="GX3" s="2777"/>
      <c r="GY3" s="2777"/>
      <c r="GZ3" s="2777"/>
      <c r="HA3" s="2777"/>
      <c r="HB3" s="2777"/>
      <c r="HC3" s="2777"/>
      <c r="HD3" s="2777"/>
      <c r="HE3" s="2777"/>
      <c r="HF3" s="2777"/>
      <c r="HG3" s="2777"/>
      <c r="HH3" s="2777"/>
      <c r="HI3" s="2777"/>
      <c r="HJ3" s="2777"/>
      <c r="HK3" s="2777"/>
      <c r="HL3" s="2777"/>
      <c r="HM3" s="2777"/>
      <c r="HN3" s="2777"/>
      <c r="HO3" s="2777"/>
      <c r="HP3" s="2777"/>
      <c r="HQ3" s="2777"/>
      <c r="HR3" s="2777"/>
      <c r="HS3" s="2777"/>
      <c r="HT3" s="2777"/>
      <c r="HU3" s="2777"/>
      <c r="HV3" s="2777"/>
      <c r="HW3" s="2777"/>
      <c r="HX3" s="2777"/>
      <c r="HY3" s="2777"/>
      <c r="HZ3" s="2777"/>
      <c r="IA3" s="2777"/>
      <c r="IB3" s="2777"/>
      <c r="IC3" s="2777"/>
      <c r="ID3" s="2777"/>
      <c r="IE3" s="2777"/>
      <c r="IF3" s="2777"/>
      <c r="IG3" s="2777"/>
      <c r="IH3" s="2777"/>
      <c r="II3" s="2777"/>
      <c r="IJ3" s="2777"/>
      <c r="IK3" s="2777"/>
      <c r="IL3" s="2777"/>
      <c r="IM3" s="2777"/>
      <c r="IN3" s="2777"/>
      <c r="IO3" s="2777"/>
      <c r="IP3" s="2777"/>
      <c r="IQ3" s="2777"/>
      <c r="IR3" s="2777"/>
      <c r="IS3" s="2777"/>
      <c r="IT3" s="2777"/>
      <c r="IU3" s="2777"/>
      <c r="IV3" s="2777"/>
    </row>
    <row r="4" spans="1:257" s="2832" customFormat="1">
      <c r="A4" s="2777"/>
      <c r="B4" s="2836" t="s">
        <v>2810</v>
      </c>
      <c r="C4" s="2839">
        <f ca="1">N4/100</f>
        <v>1.4999999999999999E-2</v>
      </c>
      <c r="G4" s="2784" t="s">
        <v>2783</v>
      </c>
      <c r="H4" s="2785">
        <v>0.5</v>
      </c>
      <c r="I4" s="2786">
        <f ca="1">INDIRECT("e"&amp;$H$1)</f>
        <v>4.3499999999999996</v>
      </c>
      <c r="J4" s="2786">
        <f ca="1">INDIRECT("e"&amp;$H$1)</f>
        <v>4.3499999999999996</v>
      </c>
      <c r="K4" s="2777"/>
      <c r="L4" s="2777"/>
      <c r="M4" s="2787">
        <v>1</v>
      </c>
      <c r="N4" s="2788">
        <f ca="1">INDIRECT("q"&amp;$N$1)</f>
        <v>1.5</v>
      </c>
      <c r="O4" s="2777"/>
      <c r="P4" s="2777"/>
      <c r="Q4" s="2777"/>
      <c r="R4" s="2777"/>
      <c r="S4" s="2777"/>
      <c r="T4" s="2777"/>
      <c r="U4" s="2777"/>
      <c r="V4" s="2777"/>
      <c r="W4" s="2777"/>
      <c r="X4" s="2777"/>
      <c r="Y4" s="2777"/>
      <c r="Z4" s="2777"/>
      <c r="AA4" s="2777"/>
      <c r="AB4" s="2777"/>
      <c r="AC4" s="2777"/>
      <c r="AD4" s="2777"/>
      <c r="AE4" s="2777"/>
      <c r="AF4" s="2777"/>
      <c r="AG4" s="2777"/>
      <c r="AH4" s="2777"/>
      <c r="AI4" s="2777"/>
      <c r="AJ4" s="2777"/>
      <c r="AK4" s="2777"/>
      <c r="AL4" s="2777"/>
      <c r="AM4" s="2777"/>
      <c r="AN4" s="2777"/>
      <c r="AO4" s="2777"/>
      <c r="AP4" s="2777"/>
      <c r="AQ4" s="2777"/>
      <c r="AR4" s="2777"/>
      <c r="AS4" s="2777"/>
      <c r="AT4" s="2777"/>
      <c r="AU4" s="2777"/>
      <c r="AV4" s="2777"/>
      <c r="AW4" s="2777"/>
      <c r="AX4" s="2777"/>
      <c r="AY4" s="2777"/>
      <c r="AZ4" s="2777"/>
      <c r="BA4" s="2777"/>
      <c r="BB4" s="2777"/>
      <c r="BC4" s="2777"/>
      <c r="BD4" s="2777"/>
      <c r="BE4" s="2777"/>
      <c r="BF4" s="2777"/>
      <c r="BG4" s="2777"/>
      <c r="BH4" s="2777"/>
      <c r="BI4" s="2777"/>
      <c r="BJ4" s="2777"/>
      <c r="BK4" s="2777"/>
      <c r="BL4" s="2777"/>
      <c r="BM4" s="2777"/>
      <c r="BN4" s="2777"/>
      <c r="BO4" s="2777"/>
      <c r="BP4" s="2777"/>
      <c r="BQ4" s="2777"/>
      <c r="BR4" s="2777"/>
      <c r="BS4" s="2777"/>
      <c r="BT4" s="2777"/>
      <c r="BU4" s="2777"/>
      <c r="BV4" s="2777"/>
      <c r="BW4" s="2777"/>
      <c r="BX4" s="2777"/>
      <c r="BY4" s="2777"/>
      <c r="BZ4" s="2777"/>
      <c r="CA4" s="2777"/>
      <c r="CB4" s="2777"/>
      <c r="CC4" s="2777"/>
      <c r="CD4" s="2777"/>
      <c r="CE4" s="2777"/>
      <c r="CF4" s="2777"/>
      <c r="CG4" s="2777"/>
      <c r="CH4" s="2777"/>
      <c r="CI4" s="2777"/>
      <c r="CJ4" s="2777"/>
      <c r="CK4" s="2777"/>
      <c r="CL4" s="2777"/>
      <c r="CM4" s="2777"/>
      <c r="CN4" s="2777"/>
      <c r="CO4" s="2777"/>
      <c r="CP4" s="2777"/>
      <c r="CQ4" s="2777"/>
      <c r="CR4" s="2777"/>
      <c r="CS4" s="2777"/>
      <c r="CT4" s="2777"/>
      <c r="CU4" s="2777"/>
      <c r="CV4" s="2777"/>
      <c r="CW4" s="2777"/>
      <c r="CX4" s="2777"/>
      <c r="CY4" s="2777"/>
      <c r="CZ4" s="2777"/>
      <c r="DA4" s="2777"/>
      <c r="DB4" s="2777"/>
      <c r="DC4" s="2777"/>
      <c r="DD4" s="2777"/>
      <c r="DE4" s="2777"/>
      <c r="DF4" s="2777"/>
      <c r="DG4" s="2777"/>
      <c r="DH4" s="2777"/>
      <c r="DI4" s="2777"/>
      <c r="DJ4" s="2777"/>
      <c r="DK4" s="2777"/>
      <c r="DL4" s="2777"/>
      <c r="DM4" s="2777"/>
      <c r="DN4" s="2777"/>
      <c r="DO4" s="2777"/>
      <c r="DP4" s="2777"/>
      <c r="DQ4" s="2777"/>
      <c r="DR4" s="2777"/>
      <c r="DS4" s="2777"/>
      <c r="DT4" s="2777"/>
      <c r="DU4" s="2777"/>
      <c r="DV4" s="2777"/>
      <c r="DW4" s="2777"/>
      <c r="DX4" s="2777"/>
      <c r="DY4" s="2777"/>
      <c r="DZ4" s="2777"/>
      <c r="EA4" s="2777"/>
      <c r="EB4" s="2777"/>
      <c r="EC4" s="2777"/>
      <c r="ED4" s="2777"/>
      <c r="EE4" s="2777"/>
      <c r="EF4" s="2777"/>
      <c r="EG4" s="2777"/>
      <c r="EH4" s="2777"/>
      <c r="EI4" s="2777"/>
      <c r="EJ4" s="2777"/>
      <c r="EK4" s="2777"/>
      <c r="EL4" s="2777"/>
      <c r="EM4" s="2777"/>
      <c r="EN4" s="2777"/>
      <c r="EO4" s="2777"/>
      <c r="EP4" s="2777"/>
      <c r="EQ4" s="2777"/>
      <c r="ER4" s="2777"/>
      <c r="ES4" s="2777"/>
      <c r="ET4" s="2777"/>
      <c r="EU4" s="2777"/>
      <c r="EV4" s="2777"/>
      <c r="EW4" s="2777"/>
      <c r="EX4" s="2777"/>
      <c r="EY4" s="2777"/>
      <c r="EZ4" s="2777"/>
      <c r="FA4" s="2777"/>
      <c r="FB4" s="2777"/>
      <c r="FC4" s="2777"/>
      <c r="FD4" s="2777"/>
      <c r="FE4" s="2777"/>
      <c r="FF4" s="2777"/>
      <c r="FG4" s="2777"/>
      <c r="FH4" s="2777"/>
      <c r="FI4" s="2777"/>
      <c r="FJ4" s="2777"/>
      <c r="FK4" s="2777"/>
      <c r="FL4" s="2777"/>
      <c r="FM4" s="2777"/>
      <c r="FN4" s="2777"/>
      <c r="FO4" s="2777"/>
      <c r="FP4" s="2777"/>
      <c r="FQ4" s="2777"/>
      <c r="FR4" s="2777"/>
      <c r="FS4" s="2777"/>
      <c r="FT4" s="2777"/>
      <c r="FU4" s="2777"/>
      <c r="FV4" s="2777"/>
      <c r="FW4" s="2777"/>
      <c r="FX4" s="2777"/>
      <c r="FY4" s="2777"/>
      <c r="FZ4" s="2777"/>
      <c r="GA4" s="2777"/>
      <c r="GB4" s="2777"/>
      <c r="GC4" s="2777"/>
      <c r="GD4" s="2777"/>
      <c r="GE4" s="2777"/>
      <c r="GF4" s="2777"/>
      <c r="GG4" s="2777"/>
      <c r="GH4" s="2777"/>
      <c r="GI4" s="2777"/>
      <c r="GJ4" s="2777"/>
      <c r="GK4" s="2777"/>
      <c r="GL4" s="2777"/>
      <c r="GM4" s="2777"/>
      <c r="GN4" s="2777"/>
      <c r="GO4" s="2777"/>
      <c r="GP4" s="2777"/>
      <c r="GQ4" s="2777"/>
      <c r="GR4" s="2777"/>
      <c r="GS4" s="2777"/>
      <c r="GT4" s="2777"/>
      <c r="GU4" s="2777"/>
      <c r="GV4" s="2777"/>
      <c r="GW4" s="2777"/>
      <c r="GX4" s="2777"/>
      <c r="GY4" s="2777"/>
      <c r="GZ4" s="2777"/>
      <c r="HA4" s="2777"/>
      <c r="HB4" s="2777"/>
      <c r="HC4" s="2777"/>
      <c r="HD4" s="2777"/>
      <c r="HE4" s="2777"/>
      <c r="HF4" s="2777"/>
      <c r="HG4" s="2777"/>
      <c r="HH4" s="2777"/>
      <c r="HI4" s="2777"/>
      <c r="HJ4" s="2777"/>
      <c r="HK4" s="2777"/>
      <c r="HL4" s="2777"/>
      <c r="HM4" s="2777"/>
      <c r="HN4" s="2777"/>
      <c r="HO4" s="2777"/>
      <c r="HP4" s="2777"/>
      <c r="HQ4" s="2777"/>
      <c r="HR4" s="2777"/>
      <c r="HS4" s="2777"/>
      <c r="HT4" s="2777"/>
      <c r="HU4" s="2777"/>
      <c r="HV4" s="2777"/>
      <c r="HW4" s="2777"/>
      <c r="HX4" s="2777"/>
      <c r="HY4" s="2777"/>
      <c r="HZ4" s="2777"/>
      <c r="IA4" s="2777"/>
      <c r="IB4" s="2777"/>
      <c r="IC4" s="2777"/>
      <c r="ID4" s="2777"/>
      <c r="IE4" s="2777"/>
      <c r="IF4" s="2777"/>
      <c r="IG4" s="2777"/>
      <c r="IH4" s="2777"/>
      <c r="II4" s="2777"/>
      <c r="IJ4" s="2777"/>
      <c r="IK4" s="2777"/>
      <c r="IL4" s="2777"/>
      <c r="IM4" s="2777"/>
      <c r="IN4" s="2777"/>
      <c r="IO4" s="2777"/>
      <c r="IP4" s="2777"/>
      <c r="IQ4" s="2777"/>
      <c r="IR4" s="2777"/>
      <c r="IS4" s="2777"/>
      <c r="IT4" s="2777"/>
      <c r="IU4" s="2777"/>
      <c r="IV4" s="2777"/>
    </row>
    <row r="5" spans="1:257" s="2832" customFormat="1">
      <c r="A5" s="2777"/>
      <c r="G5" s="2784" t="s">
        <v>2784</v>
      </c>
      <c r="H5" s="2785">
        <v>1</v>
      </c>
      <c r="I5" s="2786">
        <f ca="1">INDIRECT("f"&amp;$H$1)</f>
        <v>4.75</v>
      </c>
      <c r="J5" s="2786">
        <f ca="1">INDIRECT("f"&amp;$H$1)</f>
        <v>4.75</v>
      </c>
      <c r="K5" s="2777"/>
      <c r="L5" s="2777"/>
      <c r="M5" s="2787">
        <v>2</v>
      </c>
      <c r="N5" s="2788">
        <f ca="1">INDIRECT("r"&amp;$N$1)</f>
        <v>2.1</v>
      </c>
      <c r="O5" s="2777"/>
      <c r="P5" s="2777"/>
      <c r="Q5" s="2777"/>
      <c r="R5" s="2777"/>
      <c r="S5" s="2777"/>
      <c r="T5" s="2777"/>
      <c r="U5" s="2777"/>
      <c r="V5" s="2777"/>
      <c r="W5" s="2777"/>
      <c r="X5" s="2777"/>
      <c r="Y5" s="2777"/>
      <c r="Z5" s="2777"/>
      <c r="AA5" s="2777"/>
      <c r="AB5" s="2777"/>
      <c r="AC5" s="2777"/>
      <c r="AD5" s="2777"/>
      <c r="AE5" s="2777"/>
      <c r="AF5" s="2777"/>
      <c r="AG5" s="2777"/>
      <c r="AH5" s="2777"/>
      <c r="AI5" s="2777"/>
      <c r="AJ5" s="2777"/>
      <c r="AK5" s="2777"/>
      <c r="AL5" s="2777"/>
      <c r="AM5" s="2777"/>
      <c r="AN5" s="2777"/>
      <c r="AO5" s="2777"/>
      <c r="AP5" s="2777"/>
      <c r="AQ5" s="2777"/>
      <c r="AR5" s="2777"/>
      <c r="AS5" s="2777"/>
      <c r="AT5" s="2777"/>
      <c r="AU5" s="2777"/>
      <c r="AV5" s="2777"/>
      <c r="AW5" s="2777"/>
      <c r="AX5" s="2777"/>
      <c r="AY5" s="2777"/>
      <c r="AZ5" s="2777"/>
      <c r="BA5" s="2777"/>
      <c r="BB5" s="2777"/>
      <c r="BC5" s="2777"/>
      <c r="BD5" s="2777"/>
      <c r="BE5" s="2777"/>
      <c r="BF5" s="2777"/>
      <c r="BG5" s="2777"/>
      <c r="BH5" s="2777"/>
      <c r="BI5" s="2777"/>
      <c r="BJ5" s="2777"/>
      <c r="BK5" s="2777"/>
      <c r="BL5" s="2777"/>
      <c r="BM5" s="2777"/>
      <c r="BN5" s="2777"/>
      <c r="BO5" s="2777"/>
      <c r="BP5" s="2777"/>
      <c r="BQ5" s="2777"/>
      <c r="BR5" s="2777"/>
      <c r="BS5" s="2777"/>
      <c r="BT5" s="2777"/>
      <c r="BU5" s="2777"/>
      <c r="BV5" s="2777"/>
      <c r="BW5" s="2777"/>
      <c r="BX5" s="2777"/>
      <c r="BY5" s="2777"/>
      <c r="BZ5" s="2777"/>
      <c r="CA5" s="2777"/>
      <c r="CB5" s="2777"/>
      <c r="CC5" s="2777"/>
      <c r="CD5" s="2777"/>
      <c r="CE5" s="2777"/>
      <c r="CF5" s="2777"/>
      <c r="CG5" s="2777"/>
      <c r="CH5" s="2777"/>
      <c r="CI5" s="2777"/>
      <c r="CJ5" s="2777"/>
      <c r="CK5" s="2777"/>
      <c r="CL5" s="2777"/>
      <c r="CM5" s="2777"/>
      <c r="CN5" s="2777"/>
      <c r="CO5" s="2777"/>
      <c r="CP5" s="2777"/>
      <c r="CQ5" s="2777"/>
      <c r="CR5" s="2777"/>
      <c r="CS5" s="2777"/>
      <c r="CT5" s="2777"/>
      <c r="CU5" s="2777"/>
      <c r="CV5" s="2777"/>
      <c r="CW5" s="2777"/>
      <c r="CX5" s="2777"/>
      <c r="CY5" s="2777"/>
      <c r="CZ5" s="2777"/>
      <c r="DA5" s="2777"/>
      <c r="DB5" s="2777"/>
      <c r="DC5" s="2777"/>
      <c r="DD5" s="2777"/>
      <c r="DE5" s="2777"/>
      <c r="DF5" s="2777"/>
      <c r="DG5" s="2777"/>
      <c r="DH5" s="2777"/>
      <c r="DI5" s="2777"/>
      <c r="DJ5" s="2777"/>
      <c r="DK5" s="2777"/>
      <c r="DL5" s="2777"/>
      <c r="DM5" s="2777"/>
      <c r="DN5" s="2777"/>
      <c r="DO5" s="2777"/>
      <c r="DP5" s="2777"/>
      <c r="DQ5" s="2777"/>
      <c r="DR5" s="2777"/>
      <c r="DS5" s="2777"/>
      <c r="DT5" s="2777"/>
      <c r="DU5" s="2777"/>
      <c r="DV5" s="2777"/>
      <c r="DW5" s="2777"/>
      <c r="DX5" s="2777"/>
      <c r="DY5" s="2777"/>
      <c r="DZ5" s="2777"/>
      <c r="EA5" s="2777"/>
      <c r="EB5" s="2777"/>
      <c r="EC5" s="2777"/>
      <c r="ED5" s="2777"/>
      <c r="EE5" s="2777"/>
      <c r="EF5" s="2777"/>
      <c r="EG5" s="2777"/>
      <c r="EH5" s="2777"/>
      <c r="EI5" s="2777"/>
      <c r="EJ5" s="2777"/>
      <c r="EK5" s="2777"/>
      <c r="EL5" s="2777"/>
      <c r="EM5" s="2777"/>
      <c r="EN5" s="2777"/>
      <c r="EO5" s="2777"/>
      <c r="EP5" s="2777"/>
      <c r="EQ5" s="2777"/>
      <c r="ER5" s="2777"/>
      <c r="ES5" s="2777"/>
      <c r="ET5" s="2777"/>
      <c r="EU5" s="2777"/>
      <c r="EV5" s="2777"/>
      <c r="EW5" s="2777"/>
      <c r="EX5" s="2777"/>
      <c r="EY5" s="2777"/>
      <c r="EZ5" s="2777"/>
      <c r="FA5" s="2777"/>
      <c r="FB5" s="2777"/>
      <c r="FC5" s="2777"/>
      <c r="FD5" s="2777"/>
      <c r="FE5" s="2777"/>
      <c r="FF5" s="2777"/>
      <c r="FG5" s="2777"/>
      <c r="FH5" s="2777"/>
      <c r="FI5" s="2777"/>
      <c r="FJ5" s="2777"/>
      <c r="FK5" s="2777"/>
      <c r="FL5" s="2777"/>
      <c r="FM5" s="2777"/>
      <c r="FN5" s="2777"/>
      <c r="FO5" s="2777"/>
      <c r="FP5" s="2777"/>
      <c r="FQ5" s="2777"/>
      <c r="FR5" s="2777"/>
      <c r="FS5" s="2777"/>
      <c r="FT5" s="2777"/>
      <c r="FU5" s="2777"/>
      <c r="FV5" s="2777"/>
      <c r="FW5" s="2777"/>
      <c r="FX5" s="2777"/>
      <c r="FY5" s="2777"/>
      <c r="FZ5" s="2777"/>
      <c r="GA5" s="2777"/>
      <c r="GB5" s="2777"/>
      <c r="GC5" s="2777"/>
      <c r="GD5" s="2777"/>
      <c r="GE5" s="2777"/>
      <c r="GF5" s="2777"/>
      <c r="GG5" s="2777"/>
      <c r="GH5" s="2777"/>
      <c r="GI5" s="2777"/>
      <c r="GJ5" s="2777"/>
      <c r="GK5" s="2777"/>
      <c r="GL5" s="2777"/>
      <c r="GM5" s="2777"/>
      <c r="GN5" s="2777"/>
      <c r="GO5" s="2777"/>
      <c r="GP5" s="2777"/>
      <c r="GQ5" s="2777"/>
      <c r="GR5" s="2777"/>
      <c r="GS5" s="2777"/>
      <c r="GT5" s="2777"/>
      <c r="GU5" s="2777"/>
      <c r="GV5" s="2777"/>
      <c r="GW5" s="2777"/>
      <c r="GX5" s="2777"/>
      <c r="GY5" s="2777"/>
      <c r="GZ5" s="2777"/>
      <c r="HA5" s="2777"/>
      <c r="HB5" s="2777"/>
      <c r="HC5" s="2777"/>
      <c r="HD5" s="2777"/>
      <c r="HE5" s="2777"/>
      <c r="HF5" s="2777"/>
      <c r="HG5" s="2777"/>
      <c r="HH5" s="2777"/>
      <c r="HI5" s="2777"/>
      <c r="HJ5" s="2777"/>
      <c r="HK5" s="2777"/>
      <c r="HL5" s="2777"/>
      <c r="HM5" s="2777"/>
      <c r="HN5" s="2777"/>
      <c r="HO5" s="2777"/>
      <c r="HP5" s="2777"/>
      <c r="HQ5" s="2777"/>
      <c r="HR5" s="2777"/>
      <c r="HS5" s="2777"/>
      <c r="HT5" s="2777"/>
      <c r="HU5" s="2777"/>
      <c r="HV5" s="2777"/>
      <c r="HW5" s="2777"/>
      <c r="HX5" s="2777"/>
      <c r="HY5" s="2777"/>
      <c r="HZ5" s="2777"/>
      <c r="IA5" s="2777"/>
      <c r="IB5" s="2777"/>
      <c r="IC5" s="2777"/>
      <c r="ID5" s="2777"/>
      <c r="IE5" s="2777"/>
      <c r="IF5" s="2777"/>
      <c r="IG5" s="2777"/>
      <c r="IH5" s="2777"/>
      <c r="II5" s="2777"/>
      <c r="IJ5" s="2777"/>
      <c r="IK5" s="2777"/>
      <c r="IL5" s="2777"/>
      <c r="IM5" s="2777"/>
      <c r="IN5" s="2777"/>
      <c r="IO5" s="2777"/>
      <c r="IP5" s="2777"/>
      <c r="IQ5" s="2777"/>
      <c r="IR5" s="2777"/>
      <c r="IS5" s="2777"/>
      <c r="IT5" s="2777"/>
      <c r="IU5" s="2777"/>
      <c r="IV5" s="2777"/>
    </row>
    <row r="6" spans="1:257" s="2832" customFormat="1">
      <c r="A6" s="2777"/>
      <c r="G6" s="2784" t="s">
        <v>2785</v>
      </c>
      <c r="H6" s="2785">
        <v>3</v>
      </c>
      <c r="I6" s="2786">
        <f ca="1">INDIRECT("g"&amp;$H$1)</f>
        <v>4.75</v>
      </c>
      <c r="J6" s="2786">
        <f ca="1">INDIRECT("g"&amp;$H$1)</f>
        <v>4.75</v>
      </c>
      <c r="K6" s="2777"/>
      <c r="L6" s="2777"/>
      <c r="M6" s="2787">
        <v>3</v>
      </c>
      <c r="N6" s="2788">
        <f ca="1">INDIRECT("s"&amp;$N$1)</f>
        <v>2.75</v>
      </c>
      <c r="O6" s="2777"/>
      <c r="P6" s="2777"/>
      <c r="Q6" s="2777"/>
      <c r="R6" s="2777"/>
      <c r="S6" s="2777"/>
      <c r="T6" s="2777"/>
      <c r="U6" s="2777"/>
      <c r="V6" s="2777"/>
      <c r="W6" s="2777"/>
      <c r="X6" s="2777"/>
      <c r="Y6" s="2777"/>
      <c r="Z6" s="2777"/>
      <c r="AA6" s="2777"/>
      <c r="AB6" s="2777"/>
      <c r="AC6" s="2777"/>
      <c r="AD6" s="2777"/>
      <c r="AE6" s="2777"/>
      <c r="AF6" s="2777"/>
      <c r="AG6" s="2777"/>
      <c r="AH6" s="2777"/>
      <c r="AI6" s="2777"/>
      <c r="AJ6" s="2777"/>
      <c r="AK6" s="2777"/>
      <c r="AL6" s="2777"/>
      <c r="AM6" s="2777"/>
      <c r="AN6" s="2777"/>
      <c r="AO6" s="2777"/>
      <c r="AP6" s="2777"/>
      <c r="AQ6" s="2777"/>
      <c r="AR6" s="2777"/>
      <c r="AS6" s="2777"/>
      <c r="AT6" s="2777"/>
      <c r="AU6" s="2777"/>
      <c r="AV6" s="2777"/>
      <c r="AW6" s="2777"/>
      <c r="AX6" s="2777"/>
      <c r="AY6" s="2777"/>
      <c r="AZ6" s="2777"/>
      <c r="BA6" s="2777"/>
      <c r="BB6" s="2777"/>
      <c r="BC6" s="2777"/>
      <c r="BD6" s="2777"/>
      <c r="BE6" s="2777"/>
      <c r="BF6" s="2777"/>
      <c r="BG6" s="2777"/>
      <c r="BH6" s="2777"/>
      <c r="BI6" s="2777"/>
      <c r="BJ6" s="2777"/>
      <c r="BK6" s="2777"/>
      <c r="BL6" s="2777"/>
      <c r="BM6" s="2777"/>
      <c r="BN6" s="2777"/>
      <c r="BO6" s="2777"/>
      <c r="BP6" s="2777"/>
      <c r="BQ6" s="2777"/>
      <c r="BR6" s="2777"/>
      <c r="BS6" s="2777"/>
      <c r="BT6" s="2777"/>
      <c r="BU6" s="2777"/>
      <c r="BV6" s="2777"/>
      <c r="BW6" s="2777"/>
      <c r="BX6" s="2777"/>
      <c r="BY6" s="2777"/>
      <c r="BZ6" s="2777"/>
      <c r="CA6" s="2777"/>
      <c r="CB6" s="2777"/>
      <c r="CC6" s="2777"/>
      <c r="CD6" s="2777"/>
      <c r="CE6" s="2777"/>
      <c r="CF6" s="2777"/>
      <c r="CG6" s="2777"/>
      <c r="CH6" s="2777"/>
      <c r="CI6" s="2777"/>
      <c r="CJ6" s="2777"/>
      <c r="CK6" s="2777"/>
      <c r="CL6" s="2777"/>
      <c r="CM6" s="2777"/>
      <c r="CN6" s="2777"/>
      <c r="CO6" s="2777"/>
      <c r="CP6" s="2777"/>
      <c r="CQ6" s="2777"/>
      <c r="CR6" s="2777"/>
      <c r="CS6" s="2777"/>
      <c r="CT6" s="2777"/>
      <c r="CU6" s="2777"/>
      <c r="CV6" s="2777"/>
      <c r="CW6" s="2777"/>
      <c r="CX6" s="2777"/>
      <c r="CY6" s="2777"/>
      <c r="CZ6" s="2777"/>
      <c r="DA6" s="2777"/>
      <c r="DB6" s="2777"/>
      <c r="DC6" s="2777"/>
      <c r="DD6" s="2777"/>
      <c r="DE6" s="2777"/>
      <c r="DF6" s="2777"/>
      <c r="DG6" s="2777"/>
      <c r="DH6" s="2777"/>
      <c r="DI6" s="2777"/>
      <c r="DJ6" s="2777"/>
      <c r="DK6" s="2777"/>
      <c r="DL6" s="2777"/>
      <c r="DM6" s="2777"/>
      <c r="DN6" s="2777"/>
      <c r="DO6" s="2777"/>
      <c r="DP6" s="2777"/>
      <c r="DQ6" s="2777"/>
      <c r="DR6" s="2777"/>
      <c r="DS6" s="2777"/>
      <c r="DT6" s="2777"/>
      <c r="DU6" s="2777"/>
      <c r="DV6" s="2777"/>
      <c r="DW6" s="2777"/>
      <c r="DX6" s="2777"/>
      <c r="DY6" s="2777"/>
      <c r="DZ6" s="2777"/>
      <c r="EA6" s="2777"/>
      <c r="EB6" s="2777"/>
      <c r="EC6" s="2777"/>
      <c r="ED6" s="2777"/>
      <c r="EE6" s="2777"/>
      <c r="EF6" s="2777"/>
      <c r="EG6" s="2777"/>
      <c r="EH6" s="2777"/>
      <c r="EI6" s="2777"/>
      <c r="EJ6" s="2777"/>
      <c r="EK6" s="2777"/>
      <c r="EL6" s="2777"/>
      <c r="EM6" s="2777"/>
      <c r="EN6" s="2777"/>
      <c r="EO6" s="2777"/>
      <c r="EP6" s="2777"/>
      <c r="EQ6" s="2777"/>
      <c r="ER6" s="2777"/>
      <c r="ES6" s="2777"/>
      <c r="ET6" s="2777"/>
      <c r="EU6" s="2777"/>
      <c r="EV6" s="2777"/>
      <c r="EW6" s="2777"/>
      <c r="EX6" s="2777"/>
      <c r="EY6" s="2777"/>
      <c r="EZ6" s="2777"/>
      <c r="FA6" s="2777"/>
      <c r="FB6" s="2777"/>
      <c r="FC6" s="2777"/>
      <c r="FD6" s="2777"/>
      <c r="FE6" s="2777"/>
      <c r="FF6" s="2777"/>
      <c r="FG6" s="2777"/>
      <c r="FH6" s="2777"/>
      <c r="FI6" s="2777"/>
      <c r="FJ6" s="2777"/>
      <c r="FK6" s="2777"/>
      <c r="FL6" s="2777"/>
      <c r="FM6" s="2777"/>
      <c r="FN6" s="2777"/>
      <c r="FO6" s="2777"/>
      <c r="FP6" s="2777"/>
      <c r="FQ6" s="2777"/>
      <c r="FR6" s="2777"/>
      <c r="FS6" s="2777"/>
      <c r="FT6" s="2777"/>
      <c r="FU6" s="2777"/>
      <c r="FV6" s="2777"/>
      <c r="FW6" s="2777"/>
      <c r="FX6" s="2777"/>
      <c r="FY6" s="2777"/>
      <c r="FZ6" s="2777"/>
      <c r="GA6" s="2777"/>
      <c r="GB6" s="2777"/>
      <c r="GC6" s="2777"/>
      <c r="GD6" s="2777"/>
      <c r="GE6" s="2777"/>
      <c r="GF6" s="2777"/>
      <c r="GG6" s="2777"/>
      <c r="GH6" s="2777"/>
      <c r="GI6" s="2777"/>
      <c r="GJ6" s="2777"/>
      <c r="GK6" s="2777"/>
      <c r="GL6" s="2777"/>
      <c r="GM6" s="2777"/>
      <c r="GN6" s="2777"/>
      <c r="GO6" s="2777"/>
      <c r="GP6" s="2777"/>
      <c r="GQ6" s="2777"/>
      <c r="GR6" s="2777"/>
      <c r="GS6" s="2777"/>
      <c r="GT6" s="2777"/>
      <c r="GU6" s="2777"/>
      <c r="GV6" s="2777"/>
      <c r="GW6" s="2777"/>
      <c r="GX6" s="2777"/>
      <c r="GY6" s="2777"/>
      <c r="GZ6" s="2777"/>
      <c r="HA6" s="2777"/>
      <c r="HB6" s="2777"/>
      <c r="HC6" s="2777"/>
      <c r="HD6" s="2777"/>
      <c r="HE6" s="2777"/>
      <c r="HF6" s="2777"/>
      <c r="HG6" s="2777"/>
      <c r="HH6" s="2777"/>
      <c r="HI6" s="2777"/>
      <c r="HJ6" s="2777"/>
      <c r="HK6" s="2777"/>
      <c r="HL6" s="2777"/>
      <c r="HM6" s="2777"/>
      <c r="HN6" s="2777"/>
      <c r="HO6" s="2777"/>
      <c r="HP6" s="2777"/>
      <c r="HQ6" s="2777"/>
      <c r="HR6" s="2777"/>
      <c r="HS6" s="2777"/>
      <c r="HT6" s="2777"/>
      <c r="HU6" s="2777"/>
      <c r="HV6" s="2777"/>
      <c r="HW6" s="2777"/>
      <c r="HX6" s="2777"/>
      <c r="HY6" s="2777"/>
      <c r="HZ6" s="2777"/>
      <c r="IA6" s="2777"/>
      <c r="IB6" s="2777"/>
      <c r="IC6" s="2777"/>
      <c r="ID6" s="2777"/>
      <c r="IE6" s="2777"/>
      <c r="IF6" s="2777"/>
      <c r="IG6" s="2777"/>
      <c r="IH6" s="2777"/>
      <c r="II6" s="2777"/>
      <c r="IJ6" s="2777"/>
      <c r="IK6" s="2777"/>
      <c r="IL6" s="2777"/>
      <c r="IM6" s="2777"/>
      <c r="IN6" s="2777"/>
      <c r="IO6" s="2777"/>
      <c r="IP6" s="2777"/>
      <c r="IQ6" s="2777"/>
      <c r="IR6" s="2777"/>
      <c r="IS6" s="2777"/>
      <c r="IT6" s="2777"/>
      <c r="IU6" s="2777"/>
      <c r="IV6" s="2777"/>
    </row>
    <row r="7" spans="1:257" s="2832" customFormat="1" ht="14.25" thickBot="1">
      <c r="A7" s="2777"/>
      <c r="G7" s="2789" t="s">
        <v>2786</v>
      </c>
      <c r="H7" s="2790">
        <v>5</v>
      </c>
      <c r="I7" s="2791">
        <f ca="1">INDIRECT("h"&amp;$H$1)</f>
        <v>4.9000000000000004</v>
      </c>
      <c r="J7" s="2791">
        <f ca="1">INDIRECT("h"&amp;$H$1)</f>
        <v>4.9000000000000004</v>
      </c>
      <c r="K7" s="2777"/>
      <c r="L7" s="2777"/>
      <c r="M7" s="2792">
        <v>5</v>
      </c>
      <c r="N7" s="2793">
        <f ca="1">INDIRECT("t"&amp;$N$1)</f>
        <v>0</v>
      </c>
      <c r="O7" s="2777"/>
      <c r="P7" s="2777"/>
      <c r="Q7" s="2777"/>
      <c r="R7" s="2777"/>
      <c r="S7" s="2777"/>
      <c r="T7" s="2777"/>
      <c r="U7" s="2777"/>
      <c r="V7" s="2777"/>
      <c r="W7" s="2777"/>
      <c r="X7" s="2777"/>
      <c r="Y7" s="2777"/>
      <c r="Z7" s="2777"/>
      <c r="AA7" s="2777"/>
      <c r="AB7" s="2777"/>
      <c r="AC7" s="2777"/>
      <c r="AD7" s="2777"/>
      <c r="AE7" s="2777"/>
      <c r="AF7" s="2777"/>
      <c r="AG7" s="2777"/>
      <c r="AH7" s="2777"/>
      <c r="AI7" s="2777"/>
      <c r="AJ7" s="2777"/>
      <c r="AK7" s="2777"/>
      <c r="AL7" s="2777"/>
      <c r="AM7" s="2777"/>
      <c r="AN7" s="2777"/>
      <c r="AO7" s="2777"/>
      <c r="AP7" s="2777"/>
      <c r="AQ7" s="2777"/>
      <c r="AR7" s="2777"/>
      <c r="AS7" s="2777"/>
      <c r="AT7" s="2777"/>
      <c r="AU7" s="2777"/>
      <c r="AV7" s="2777"/>
      <c r="AW7" s="2777"/>
      <c r="AX7" s="2777"/>
      <c r="AY7" s="2777"/>
      <c r="AZ7" s="2777"/>
      <c r="BA7" s="2777"/>
      <c r="BB7" s="2777"/>
      <c r="BC7" s="2777"/>
      <c r="BD7" s="2777"/>
      <c r="BE7" s="2777"/>
      <c r="BF7" s="2777"/>
      <c r="BG7" s="2777"/>
      <c r="BH7" s="2777"/>
      <c r="BI7" s="2777"/>
      <c r="BJ7" s="2777"/>
      <c r="BK7" s="2777"/>
      <c r="BL7" s="2777"/>
      <c r="BM7" s="2777"/>
      <c r="BN7" s="2777"/>
      <c r="BO7" s="2777"/>
      <c r="BP7" s="2777"/>
      <c r="BQ7" s="2777"/>
      <c r="BR7" s="2777"/>
      <c r="BS7" s="2777"/>
      <c r="BT7" s="2777"/>
      <c r="BU7" s="2777"/>
      <c r="BV7" s="2777"/>
      <c r="BW7" s="2777"/>
      <c r="BX7" s="2777"/>
      <c r="BY7" s="2777"/>
      <c r="BZ7" s="2777"/>
      <c r="CA7" s="2777"/>
      <c r="CB7" s="2777"/>
      <c r="CC7" s="2777"/>
      <c r="CD7" s="2777"/>
      <c r="CE7" s="2777"/>
      <c r="CF7" s="2777"/>
      <c r="CG7" s="2777"/>
      <c r="CH7" s="2777"/>
      <c r="CI7" s="2777"/>
      <c r="CJ7" s="2777"/>
      <c r="CK7" s="2777"/>
      <c r="CL7" s="2777"/>
      <c r="CM7" s="2777"/>
      <c r="CN7" s="2777"/>
      <c r="CO7" s="2777"/>
      <c r="CP7" s="2777"/>
      <c r="CQ7" s="2777"/>
      <c r="CR7" s="2777"/>
      <c r="CS7" s="2777"/>
      <c r="CT7" s="2777"/>
      <c r="CU7" s="2777"/>
      <c r="CV7" s="2777"/>
      <c r="CW7" s="2777"/>
      <c r="CX7" s="2777"/>
      <c r="CY7" s="2777"/>
      <c r="CZ7" s="2777"/>
      <c r="DA7" s="2777"/>
      <c r="DB7" s="2777"/>
      <c r="DC7" s="2777"/>
      <c r="DD7" s="2777"/>
      <c r="DE7" s="2777"/>
      <c r="DF7" s="2777"/>
      <c r="DG7" s="2777"/>
      <c r="DH7" s="2777"/>
      <c r="DI7" s="2777"/>
      <c r="DJ7" s="2777"/>
      <c r="DK7" s="2777"/>
      <c r="DL7" s="2777"/>
      <c r="DM7" s="2777"/>
      <c r="DN7" s="2777"/>
      <c r="DO7" s="2777"/>
      <c r="DP7" s="2777"/>
      <c r="DQ7" s="2777"/>
      <c r="DR7" s="2777"/>
      <c r="DS7" s="2777"/>
      <c r="DT7" s="2777"/>
      <c r="DU7" s="2777"/>
      <c r="DV7" s="2777"/>
      <c r="DW7" s="2777"/>
      <c r="DX7" s="2777"/>
      <c r="DY7" s="2777"/>
      <c r="DZ7" s="2777"/>
      <c r="EA7" s="2777"/>
      <c r="EB7" s="2777"/>
      <c r="EC7" s="2777"/>
      <c r="ED7" s="2777"/>
      <c r="EE7" s="2777"/>
      <c r="EF7" s="2777"/>
      <c r="EG7" s="2777"/>
      <c r="EH7" s="2777"/>
      <c r="EI7" s="2777"/>
      <c r="EJ7" s="2777"/>
      <c r="EK7" s="2777"/>
      <c r="EL7" s="2777"/>
      <c r="EM7" s="2777"/>
      <c r="EN7" s="2777"/>
      <c r="EO7" s="2777"/>
      <c r="EP7" s="2777"/>
      <c r="EQ7" s="2777"/>
      <c r="ER7" s="2777"/>
      <c r="ES7" s="2777"/>
      <c r="ET7" s="2777"/>
      <c r="EU7" s="2777"/>
      <c r="EV7" s="2777"/>
      <c r="EW7" s="2777"/>
      <c r="EX7" s="2777"/>
      <c r="EY7" s="2777"/>
      <c r="EZ7" s="2777"/>
      <c r="FA7" s="2777"/>
      <c r="FB7" s="2777"/>
      <c r="FC7" s="2777"/>
      <c r="FD7" s="2777"/>
      <c r="FE7" s="2777"/>
      <c r="FF7" s="2777"/>
      <c r="FG7" s="2777"/>
      <c r="FH7" s="2777"/>
      <c r="FI7" s="2777"/>
      <c r="FJ7" s="2777"/>
      <c r="FK7" s="2777"/>
      <c r="FL7" s="2777"/>
      <c r="FM7" s="2777"/>
      <c r="FN7" s="2777"/>
      <c r="FO7" s="2777"/>
      <c r="FP7" s="2777"/>
      <c r="FQ7" s="2777"/>
      <c r="FR7" s="2777"/>
      <c r="FS7" s="2777"/>
      <c r="FT7" s="2777"/>
      <c r="FU7" s="2777"/>
      <c r="FV7" s="2777"/>
      <c r="FW7" s="2777"/>
      <c r="FX7" s="2777"/>
      <c r="FY7" s="2777"/>
      <c r="FZ7" s="2777"/>
      <c r="GA7" s="2777"/>
      <c r="GB7" s="2777"/>
      <c r="GC7" s="2777"/>
      <c r="GD7" s="2777"/>
      <c r="GE7" s="2777"/>
      <c r="GF7" s="2777"/>
      <c r="GG7" s="2777"/>
      <c r="GH7" s="2777"/>
      <c r="GI7" s="2777"/>
      <c r="GJ7" s="2777"/>
      <c r="GK7" s="2777"/>
      <c r="GL7" s="2777"/>
      <c r="GM7" s="2777"/>
      <c r="GN7" s="2777"/>
      <c r="GO7" s="2777"/>
      <c r="GP7" s="2777"/>
      <c r="GQ7" s="2777"/>
      <c r="GR7" s="2777"/>
      <c r="GS7" s="2777"/>
      <c r="GT7" s="2777"/>
      <c r="GU7" s="2777"/>
      <c r="GV7" s="2777"/>
      <c r="GW7" s="2777"/>
      <c r="GX7" s="2777"/>
      <c r="GY7" s="2777"/>
      <c r="GZ7" s="2777"/>
      <c r="HA7" s="2777"/>
      <c r="HB7" s="2777"/>
      <c r="HC7" s="2777"/>
      <c r="HD7" s="2777"/>
      <c r="HE7" s="2777"/>
      <c r="HF7" s="2777"/>
      <c r="HG7" s="2777"/>
      <c r="HH7" s="2777"/>
      <c r="HI7" s="2777"/>
      <c r="HJ7" s="2777"/>
      <c r="HK7" s="2777"/>
      <c r="HL7" s="2777"/>
      <c r="HM7" s="2777"/>
      <c r="HN7" s="2777"/>
      <c r="HO7" s="2777"/>
      <c r="HP7" s="2777"/>
      <c r="HQ7" s="2777"/>
      <c r="HR7" s="2777"/>
      <c r="HS7" s="2777"/>
      <c r="HT7" s="2777"/>
      <c r="HU7" s="2777"/>
      <c r="HV7" s="2777"/>
      <c r="HW7" s="2777"/>
      <c r="HX7" s="2777"/>
      <c r="HY7" s="2777"/>
      <c r="HZ7" s="2777"/>
      <c r="IA7" s="2777"/>
      <c r="IB7" s="2777"/>
      <c r="IC7" s="2777"/>
      <c r="ID7" s="2777"/>
      <c r="IE7" s="2777"/>
      <c r="IF7" s="2777"/>
      <c r="IG7" s="2777"/>
      <c r="IH7" s="2777"/>
      <c r="II7" s="2777"/>
      <c r="IJ7" s="2777"/>
      <c r="IK7" s="2777"/>
      <c r="IL7" s="2777"/>
      <c r="IM7" s="2777"/>
      <c r="IN7" s="2777"/>
      <c r="IO7" s="2777"/>
      <c r="IP7" s="2777"/>
      <c r="IQ7" s="2777"/>
      <c r="IR7" s="2777"/>
      <c r="IS7" s="2777"/>
      <c r="IT7" s="2777"/>
      <c r="IU7" s="2777"/>
      <c r="IV7" s="2777"/>
    </row>
    <row r="8" spans="1:257">
      <c r="A8" s="2794"/>
      <c r="B8" s="2795"/>
      <c r="C8" s="2796"/>
      <c r="D8" s="2777"/>
      <c r="E8" s="2777"/>
      <c r="F8" s="2777"/>
      <c r="G8" s="2777"/>
      <c r="H8" s="2777"/>
      <c r="I8" s="2777"/>
      <c r="J8" s="2777"/>
      <c r="L8" s="2777"/>
      <c r="M8" s="2777"/>
      <c r="N8" s="2777"/>
      <c r="O8" s="2777"/>
      <c r="P8" s="2777"/>
      <c r="Q8" s="2777"/>
      <c r="R8" s="2777"/>
      <c r="S8" s="2777"/>
      <c r="T8" s="2777"/>
      <c r="U8" s="2777"/>
      <c r="V8" s="2777"/>
      <c r="W8" s="2777"/>
      <c r="X8" s="2777"/>
      <c r="Y8" s="2777"/>
      <c r="Z8" s="2777"/>
    </row>
    <row r="9" spans="1:257" ht="20.25">
      <c r="A9" s="2797"/>
      <c r="B9" s="2798" t="s">
        <v>2787</v>
      </c>
      <c r="C9" s="2799"/>
      <c r="D9" s="2800"/>
      <c r="E9" s="2800"/>
      <c r="F9" s="2800"/>
      <c r="G9" s="2800"/>
      <c r="H9" s="2800"/>
      <c r="I9" s="2800"/>
      <c r="J9" s="2800"/>
      <c r="K9" s="2800"/>
      <c r="L9" s="2800"/>
      <c r="M9" s="2800"/>
      <c r="N9" s="2800"/>
      <c r="O9" s="2800"/>
      <c r="P9" s="2800"/>
      <c r="Q9" s="2800"/>
      <c r="R9" s="2800"/>
      <c r="S9" s="2800"/>
      <c r="T9" s="2800"/>
      <c r="U9" s="2800"/>
      <c r="V9" s="2800"/>
      <c r="W9" s="2800"/>
      <c r="X9" s="2800"/>
      <c r="Y9" s="2800"/>
      <c r="Z9" s="2800"/>
      <c r="AA9" s="2801"/>
      <c r="AB9" s="2801"/>
      <c r="AC9" s="2801"/>
      <c r="AD9" s="2801"/>
      <c r="AE9" s="2801"/>
      <c r="AF9" s="2801"/>
      <c r="AG9" s="2801"/>
      <c r="AH9" s="2801"/>
      <c r="AI9" s="2801"/>
      <c r="AJ9" s="2801"/>
      <c r="AK9" s="2801"/>
      <c r="AL9" s="2801"/>
      <c r="AM9" s="2801"/>
      <c r="AN9" s="2801"/>
      <c r="AO9" s="2801"/>
      <c r="AP9" s="2801"/>
      <c r="AQ9" s="2801"/>
      <c r="AR9" s="2801"/>
      <c r="AS9" s="2801"/>
      <c r="AT9" s="2801"/>
      <c r="AU9" s="2801"/>
      <c r="AV9" s="2801"/>
      <c r="AW9" s="2801"/>
      <c r="AX9" s="2801"/>
      <c r="AY9" s="2801"/>
      <c r="AZ9" s="2801"/>
      <c r="BA9" s="2801"/>
      <c r="BB9" s="2801"/>
      <c r="BC9" s="2801"/>
      <c r="BD9" s="2801"/>
      <c r="BE9" s="2801"/>
      <c r="BF9" s="2801"/>
      <c r="BG9" s="2801"/>
      <c r="BH9" s="2801"/>
      <c r="BI9" s="2801"/>
      <c r="BJ9" s="2801"/>
      <c r="BK9" s="2801"/>
      <c r="BL9" s="2801"/>
      <c r="BM9" s="2801"/>
      <c r="BN9" s="2801"/>
      <c r="BO9" s="2801"/>
      <c r="BP9" s="2801"/>
      <c r="BQ9" s="2801"/>
      <c r="BR9" s="2801"/>
      <c r="BS9" s="2801"/>
      <c r="BT9" s="2801"/>
      <c r="BU9" s="2801"/>
      <c r="BV9" s="2801"/>
      <c r="BW9" s="2801"/>
      <c r="BX9" s="2801"/>
      <c r="BY9" s="2801"/>
      <c r="BZ9" s="2801"/>
      <c r="CA9" s="2801"/>
      <c r="CB9" s="2801"/>
      <c r="CC9" s="2801"/>
      <c r="CD9" s="2801"/>
      <c r="CE9" s="2801"/>
      <c r="CF9" s="2801"/>
      <c r="CG9" s="2801"/>
      <c r="CH9" s="2801"/>
      <c r="CI9" s="2801"/>
      <c r="CJ9" s="2801"/>
      <c r="CK9" s="2801"/>
      <c r="CL9" s="2801"/>
      <c r="CM9" s="2801"/>
      <c r="CN9" s="2801"/>
      <c r="CO9" s="2801"/>
      <c r="CP9" s="2801"/>
      <c r="CQ9" s="2801"/>
      <c r="CR9" s="2801"/>
      <c r="CS9" s="2801"/>
      <c r="CT9" s="2801"/>
      <c r="CU9" s="2801"/>
      <c r="CV9" s="2801"/>
      <c r="CW9" s="2801"/>
      <c r="CX9" s="2801"/>
      <c r="CY9" s="2801"/>
      <c r="CZ9" s="2801"/>
      <c r="DA9" s="2801"/>
      <c r="DB9" s="2801"/>
      <c r="DC9" s="2801"/>
      <c r="DD9" s="2801"/>
      <c r="DE9" s="2801"/>
      <c r="DF9" s="2801"/>
      <c r="DG9" s="2801"/>
      <c r="DH9" s="2801"/>
      <c r="DI9" s="2801"/>
      <c r="DJ9" s="2801"/>
      <c r="DK9" s="2801"/>
      <c r="DL9" s="2801"/>
      <c r="DM9" s="2801"/>
      <c r="DN9" s="2801"/>
      <c r="DO9" s="2801"/>
      <c r="DP9" s="2801"/>
      <c r="DQ9" s="2801"/>
      <c r="DR9" s="2801"/>
      <c r="DS9" s="2801"/>
      <c r="DT9" s="2801"/>
      <c r="DU9" s="2801"/>
      <c r="DV9" s="2801"/>
      <c r="DW9" s="2801"/>
      <c r="DX9" s="2801"/>
      <c r="DY9" s="2801"/>
      <c r="DZ9" s="2801"/>
      <c r="EA9" s="2801"/>
      <c r="EB9" s="2801"/>
      <c r="EC9" s="2801"/>
      <c r="ED9" s="2801"/>
      <c r="EE9" s="2801"/>
      <c r="EF9" s="2801"/>
      <c r="EG9" s="2801"/>
      <c r="EH9" s="2801"/>
      <c r="EI9" s="2801"/>
      <c r="EJ9" s="2801"/>
      <c r="EK9" s="2801"/>
      <c r="EL9" s="2801"/>
      <c r="EM9" s="2801"/>
      <c r="EN9" s="2801"/>
      <c r="EO9" s="2801"/>
      <c r="EP9" s="2801"/>
      <c r="EQ9" s="2801"/>
      <c r="ER9" s="2801"/>
      <c r="ES9" s="2801"/>
      <c r="ET9" s="2801"/>
      <c r="EU9" s="2801"/>
      <c r="EV9" s="2801"/>
      <c r="EW9" s="2801"/>
      <c r="EX9" s="2801"/>
      <c r="EY9" s="2801"/>
      <c r="EZ9" s="2801"/>
      <c r="FA9" s="2801"/>
      <c r="FB9" s="2801"/>
      <c r="FC9" s="2801"/>
      <c r="FD9" s="2801"/>
      <c r="FE9" s="2801"/>
      <c r="FF9" s="2801"/>
      <c r="FG9" s="2801"/>
      <c r="FH9" s="2801"/>
      <c r="FI9" s="2801"/>
      <c r="FJ9" s="2801"/>
      <c r="FK9" s="2801"/>
      <c r="FL9" s="2801"/>
      <c r="FM9" s="2801"/>
      <c r="FN9" s="2801"/>
      <c r="FO9" s="2801"/>
      <c r="FP9" s="2801"/>
      <c r="FQ9" s="2801"/>
      <c r="FR9" s="2801"/>
      <c r="FS9" s="2801"/>
      <c r="FT9" s="2801"/>
      <c r="FU9" s="2801"/>
      <c r="FV9" s="2801"/>
      <c r="FW9" s="2801"/>
      <c r="FX9" s="2801"/>
      <c r="FY9" s="2801"/>
      <c r="FZ9" s="2801"/>
      <c r="GA9" s="2801"/>
      <c r="GB9" s="2801"/>
      <c r="GC9" s="2801"/>
      <c r="GD9" s="2801"/>
      <c r="GE9" s="2801"/>
      <c r="GF9" s="2801"/>
      <c r="GG9" s="2801"/>
      <c r="GH9" s="2801"/>
      <c r="GI9" s="2801"/>
      <c r="GJ9" s="2801"/>
      <c r="GK9" s="2801"/>
      <c r="GL9" s="2801"/>
      <c r="GM9" s="2801"/>
      <c r="GN9" s="2801"/>
      <c r="GO9" s="2801"/>
      <c r="GP9" s="2801"/>
      <c r="GQ9" s="2801"/>
      <c r="GR9" s="2801"/>
      <c r="GS9" s="2801"/>
      <c r="GT9" s="2801"/>
      <c r="GU9" s="2801"/>
      <c r="GV9" s="2801"/>
      <c r="GW9" s="2801"/>
      <c r="GX9" s="2801"/>
      <c r="GY9" s="2801"/>
      <c r="GZ9" s="2801"/>
      <c r="HA9" s="2801"/>
      <c r="HB9" s="2801"/>
      <c r="HC9" s="2801"/>
      <c r="HD9" s="2801"/>
      <c r="HE9" s="2801"/>
      <c r="HF9" s="2801"/>
      <c r="HG9" s="2801"/>
      <c r="HH9" s="2801"/>
      <c r="HI9" s="2801"/>
      <c r="HJ9" s="2801"/>
      <c r="HK9" s="2801"/>
      <c r="HL9" s="2801"/>
      <c r="HM9" s="2801"/>
      <c r="HN9" s="2801"/>
      <c r="HO9" s="2801"/>
      <c r="HP9" s="2801"/>
      <c r="HQ9" s="2801"/>
      <c r="HR9" s="2801"/>
      <c r="HS9" s="2801"/>
      <c r="HT9" s="2801"/>
      <c r="HU9" s="2801"/>
      <c r="HV9" s="2801"/>
      <c r="HW9" s="2801"/>
      <c r="HX9" s="2801"/>
      <c r="HY9" s="2801"/>
      <c r="HZ9" s="2801"/>
      <c r="IA9" s="2801"/>
      <c r="IB9" s="2801"/>
      <c r="IC9" s="2801"/>
      <c r="ID9" s="2801"/>
      <c r="IE9" s="2801"/>
      <c r="IF9" s="2801"/>
      <c r="IG9" s="2801"/>
      <c r="IH9" s="2801"/>
      <c r="II9" s="2801"/>
      <c r="IJ9" s="2801"/>
      <c r="IK9" s="2801"/>
      <c r="IL9" s="2801"/>
      <c r="IM9" s="2801"/>
      <c r="IN9" s="2801"/>
      <c r="IO9" s="2801"/>
      <c r="IP9" s="2801"/>
      <c r="IQ9" s="2801"/>
      <c r="IR9" s="2801"/>
      <c r="IS9" s="2801"/>
      <c r="IT9" s="2801"/>
      <c r="IU9" s="2801"/>
      <c r="IV9" s="2801"/>
      <c r="IW9" s="2802"/>
    </row>
    <row r="10" spans="1:257" ht="22.5">
      <c r="A10" s="2803"/>
      <c r="B10" s="2804" t="s">
        <v>2788</v>
      </c>
      <c r="C10" s="2803"/>
      <c r="D10" s="2803"/>
      <c r="E10" s="2803"/>
      <c r="F10" s="2803"/>
      <c r="G10" s="2803"/>
      <c r="H10" s="2803"/>
      <c r="I10" s="2777"/>
      <c r="J10" s="2777"/>
      <c r="K10" s="2803"/>
      <c r="L10" s="2804" t="s">
        <v>2789</v>
      </c>
      <c r="M10" s="2803"/>
      <c r="N10" s="2803"/>
      <c r="O10" s="2803"/>
      <c r="P10" s="2803"/>
      <c r="Q10" s="2803"/>
      <c r="R10" s="2803"/>
      <c r="S10" s="2803"/>
      <c r="T10" s="2803"/>
      <c r="U10" s="2803"/>
      <c r="V10" s="2803"/>
      <c r="W10" s="2803"/>
      <c r="X10" s="2803"/>
      <c r="Y10" s="2803"/>
      <c r="Z10" s="2803"/>
      <c r="AA10" s="2805"/>
      <c r="AB10" s="2805"/>
      <c r="AC10" s="2805"/>
      <c r="AD10" s="2805"/>
      <c r="AE10" s="2805"/>
      <c r="AF10" s="2805"/>
      <c r="AG10" s="2805"/>
      <c r="AH10" s="2805"/>
      <c r="AI10" s="2805"/>
      <c r="AJ10" s="2805"/>
      <c r="AK10" s="2805"/>
      <c r="AL10" s="2805"/>
      <c r="AM10" s="2805"/>
      <c r="AN10" s="2805"/>
      <c r="AO10" s="2805"/>
      <c r="AP10" s="2805"/>
      <c r="AQ10" s="2805"/>
      <c r="AR10" s="2805"/>
      <c r="AS10" s="2805"/>
      <c r="AT10" s="2805"/>
      <c r="AU10" s="2805"/>
      <c r="AV10" s="2805"/>
      <c r="AW10" s="2805"/>
      <c r="AX10" s="2805"/>
      <c r="AY10" s="2805"/>
      <c r="AZ10" s="2805"/>
      <c r="BA10" s="2805"/>
      <c r="BB10" s="2805"/>
      <c r="BC10" s="2805"/>
      <c r="BD10" s="2805"/>
      <c r="BE10" s="2805"/>
      <c r="BF10" s="2805"/>
      <c r="BG10" s="2805"/>
      <c r="BH10" s="2805"/>
      <c r="BI10" s="2805"/>
      <c r="BJ10" s="2805"/>
      <c r="BK10" s="2805"/>
      <c r="BL10" s="2805"/>
      <c r="BM10" s="2805"/>
      <c r="BN10" s="2805"/>
      <c r="BO10" s="2805"/>
      <c r="BP10" s="2805"/>
      <c r="BQ10" s="2805"/>
      <c r="BR10" s="2805"/>
      <c r="BS10" s="2805"/>
      <c r="BT10" s="2805"/>
      <c r="BU10" s="2805"/>
      <c r="BV10" s="2805"/>
      <c r="BW10" s="2805"/>
      <c r="BX10" s="2805"/>
      <c r="BY10" s="2805"/>
      <c r="BZ10" s="2805"/>
      <c r="CA10" s="2805"/>
      <c r="CB10" s="2805"/>
      <c r="CC10" s="2805"/>
      <c r="CD10" s="2805"/>
      <c r="CE10" s="2805"/>
      <c r="CF10" s="2805"/>
      <c r="CG10" s="2805"/>
      <c r="CH10" s="2805"/>
      <c r="CI10" s="2805"/>
      <c r="CJ10" s="2805"/>
      <c r="CK10" s="2805"/>
      <c r="CL10" s="2805"/>
      <c r="CM10" s="2805"/>
      <c r="CN10" s="2805"/>
      <c r="CO10" s="2805"/>
      <c r="CP10" s="2805"/>
      <c r="CQ10" s="2805"/>
      <c r="CR10" s="2805"/>
      <c r="CS10" s="2805"/>
      <c r="CT10" s="2805"/>
      <c r="CU10" s="2805"/>
      <c r="CV10" s="2805"/>
      <c r="CW10" s="2805"/>
      <c r="CX10" s="2805"/>
      <c r="CY10" s="2805"/>
      <c r="CZ10" s="2805"/>
      <c r="DA10" s="2805"/>
      <c r="DB10" s="2805"/>
      <c r="DC10" s="2805"/>
      <c r="DD10" s="2805"/>
      <c r="DE10" s="2805"/>
      <c r="DF10" s="2805"/>
      <c r="DG10" s="2805"/>
      <c r="DH10" s="2805"/>
      <c r="DI10" s="2805"/>
      <c r="DJ10" s="2805"/>
      <c r="DK10" s="2805"/>
      <c r="DL10" s="2805"/>
      <c r="DM10" s="2805"/>
      <c r="DN10" s="2805"/>
      <c r="DO10" s="2805"/>
      <c r="DP10" s="2805"/>
      <c r="DQ10" s="2805"/>
      <c r="DR10" s="2805"/>
      <c r="DS10" s="2805"/>
      <c r="DT10" s="2805"/>
      <c r="DU10" s="2805"/>
      <c r="DV10" s="2805"/>
      <c r="DW10" s="2805"/>
      <c r="DX10" s="2805"/>
      <c r="DY10" s="2805"/>
      <c r="DZ10" s="2805"/>
      <c r="EA10" s="2805"/>
      <c r="EB10" s="2805"/>
      <c r="EC10" s="2805"/>
      <c r="ED10" s="2805"/>
      <c r="EE10" s="2805"/>
      <c r="EF10" s="2805"/>
      <c r="EG10" s="2805"/>
      <c r="EH10" s="2805"/>
      <c r="EI10" s="2805"/>
      <c r="EJ10" s="2805"/>
      <c r="EK10" s="2805"/>
      <c r="EL10" s="2805"/>
      <c r="EM10" s="2805"/>
      <c r="EN10" s="2805"/>
      <c r="EO10" s="2805"/>
      <c r="EP10" s="2805"/>
      <c r="EQ10" s="2805"/>
      <c r="ER10" s="2805"/>
      <c r="ES10" s="2805"/>
      <c r="ET10" s="2805"/>
      <c r="EU10" s="2805"/>
      <c r="EV10" s="2805"/>
      <c r="EW10" s="2805"/>
      <c r="EX10" s="2805"/>
      <c r="EY10" s="2805"/>
      <c r="EZ10" s="2805"/>
      <c r="FA10" s="2805"/>
      <c r="FB10" s="2805"/>
      <c r="FC10" s="2805"/>
      <c r="FD10" s="2805"/>
      <c r="FE10" s="2805"/>
      <c r="FF10" s="2805"/>
      <c r="FG10" s="2805"/>
      <c r="FH10" s="2805"/>
      <c r="FI10" s="2805"/>
      <c r="FJ10" s="2805"/>
      <c r="FK10" s="2805"/>
      <c r="FL10" s="2805"/>
      <c r="FM10" s="2805"/>
      <c r="FN10" s="2805"/>
      <c r="FO10" s="2805"/>
      <c r="FP10" s="2805"/>
      <c r="FQ10" s="2805"/>
      <c r="FR10" s="2805"/>
      <c r="FS10" s="2805"/>
      <c r="FT10" s="2805"/>
      <c r="FU10" s="2805"/>
      <c r="FV10" s="2805"/>
      <c r="FW10" s="2805"/>
      <c r="FX10" s="2805"/>
      <c r="FY10" s="2805"/>
      <c r="FZ10" s="2805"/>
      <c r="GA10" s="2805"/>
      <c r="GB10" s="2805"/>
      <c r="GC10" s="2805"/>
      <c r="GD10" s="2805"/>
      <c r="GE10" s="2805"/>
      <c r="GF10" s="2805"/>
      <c r="GG10" s="2805"/>
      <c r="GH10" s="2805"/>
      <c r="GI10" s="2805"/>
      <c r="GJ10" s="2805"/>
      <c r="GK10" s="2805"/>
      <c r="GL10" s="2805"/>
      <c r="GM10" s="2805"/>
      <c r="GN10" s="2805"/>
      <c r="GO10" s="2805"/>
      <c r="GP10" s="2805"/>
      <c r="GQ10" s="2805"/>
      <c r="GR10" s="2805"/>
      <c r="GS10" s="2805"/>
      <c r="GT10" s="2805"/>
      <c r="GU10" s="2805"/>
      <c r="GV10" s="2805"/>
      <c r="GW10" s="2805"/>
      <c r="GX10" s="2805"/>
      <c r="GY10" s="2805"/>
      <c r="GZ10" s="2805"/>
      <c r="HA10" s="2805"/>
      <c r="HB10" s="2805"/>
      <c r="HC10" s="2805"/>
      <c r="HD10" s="2805"/>
      <c r="HE10" s="2805"/>
      <c r="HF10" s="2805"/>
      <c r="HG10" s="2805"/>
      <c r="HH10" s="2805"/>
      <c r="HI10" s="2805"/>
      <c r="HJ10" s="2805"/>
      <c r="HK10" s="2805"/>
      <c r="HL10" s="2805"/>
      <c r="HM10" s="2805"/>
      <c r="HN10" s="2805"/>
      <c r="HO10" s="2805"/>
      <c r="HP10" s="2805"/>
      <c r="HQ10" s="2805"/>
      <c r="HR10" s="2805"/>
      <c r="HS10" s="2805"/>
      <c r="HT10" s="2805"/>
      <c r="HU10" s="2805"/>
      <c r="HV10" s="2805"/>
      <c r="HW10" s="2805"/>
      <c r="HX10" s="2805"/>
      <c r="HY10" s="2805"/>
      <c r="HZ10" s="2805"/>
      <c r="IA10" s="2805"/>
      <c r="IB10" s="2805"/>
      <c r="IC10" s="2805"/>
      <c r="ID10" s="2805"/>
      <c r="IE10" s="2805"/>
      <c r="IF10" s="2805"/>
      <c r="IG10" s="2805"/>
      <c r="IH10" s="2805"/>
      <c r="II10" s="2805"/>
      <c r="IJ10" s="2805"/>
      <c r="IK10" s="2805"/>
      <c r="IL10" s="2805"/>
      <c r="IM10" s="2805"/>
      <c r="IN10" s="2805"/>
      <c r="IO10" s="2805"/>
      <c r="IP10" s="2805"/>
      <c r="IQ10" s="2805"/>
      <c r="IR10" s="2805"/>
      <c r="IS10" s="2805"/>
      <c r="IT10" s="2805"/>
      <c r="IU10" s="2805"/>
      <c r="IV10" s="2805"/>
    </row>
    <row r="11" spans="1:257">
      <c r="A11" s="2806"/>
      <c r="B11" s="2807" t="s">
        <v>2790</v>
      </c>
      <c r="C11" s="2808" t="s">
        <v>2791</v>
      </c>
      <c r="D11" s="2809" t="s">
        <v>2792</v>
      </c>
      <c r="E11" s="2810"/>
      <c r="F11" s="2809" t="s">
        <v>2793</v>
      </c>
      <c r="G11" s="2811"/>
      <c r="H11" s="2810"/>
      <c r="I11" s="2809" t="s">
        <v>2794</v>
      </c>
      <c r="J11" s="2810"/>
      <c r="K11" s="2806"/>
      <c r="L11" s="2807" t="s">
        <v>2790</v>
      </c>
      <c r="M11" s="2808" t="s">
        <v>2791</v>
      </c>
      <c r="N11" s="2807" t="s">
        <v>2795</v>
      </c>
      <c r="O11" s="2809" t="s">
        <v>2796</v>
      </c>
      <c r="P11" s="2811"/>
      <c r="Q11" s="2811"/>
      <c r="R11" s="2811"/>
      <c r="S11" s="2811"/>
      <c r="T11" s="2810"/>
      <c r="U11" s="2809" t="s">
        <v>2797</v>
      </c>
      <c r="V11" s="2811"/>
      <c r="W11" s="2810"/>
      <c r="X11" s="2807" t="s">
        <v>2798</v>
      </c>
      <c r="Y11" s="2807" t="s">
        <v>2799</v>
      </c>
      <c r="Z11" s="2807" t="s">
        <v>2800</v>
      </c>
      <c r="AA11" s="2812"/>
      <c r="AB11" s="2812"/>
      <c r="AC11" s="2812"/>
      <c r="AD11" s="2812"/>
      <c r="AE11" s="2812"/>
      <c r="AF11" s="2812"/>
      <c r="AG11" s="2812"/>
      <c r="AH11" s="2812"/>
      <c r="AI11" s="2812"/>
      <c r="AJ11" s="2812"/>
      <c r="AK11" s="2812"/>
      <c r="AL11" s="2812"/>
      <c r="AM11" s="2812"/>
      <c r="AN11" s="2812"/>
      <c r="AO11" s="2812"/>
      <c r="AP11" s="2812"/>
      <c r="AQ11" s="2812"/>
      <c r="AR11" s="2812"/>
      <c r="AS11" s="2812"/>
      <c r="AT11" s="2812"/>
      <c r="AU11" s="2812"/>
      <c r="AV11" s="2812"/>
      <c r="AW11" s="2812"/>
      <c r="AX11" s="2812"/>
      <c r="AY11" s="2812"/>
      <c r="AZ11" s="2812"/>
      <c r="BA11" s="2812"/>
      <c r="BB11" s="2812"/>
      <c r="BC11" s="2812"/>
      <c r="BD11" s="2812"/>
      <c r="BE11" s="2812"/>
      <c r="BF11" s="2812"/>
      <c r="BG11" s="2812"/>
      <c r="BH11" s="2812"/>
      <c r="BI11" s="2812"/>
      <c r="BJ11" s="2812"/>
      <c r="BK11" s="2812"/>
      <c r="BL11" s="2812"/>
      <c r="BM11" s="2812"/>
      <c r="BN11" s="2812"/>
      <c r="BO11" s="2812"/>
      <c r="BP11" s="2812"/>
      <c r="BQ11" s="2812"/>
      <c r="BR11" s="2812"/>
      <c r="BS11" s="2812"/>
      <c r="BT11" s="2812"/>
      <c r="BU11" s="2812"/>
      <c r="BV11" s="2812"/>
      <c r="BW11" s="2812"/>
      <c r="BX11" s="2812"/>
      <c r="BY11" s="2812"/>
      <c r="BZ11" s="2812"/>
      <c r="CA11" s="2812"/>
      <c r="CB11" s="2812"/>
      <c r="CC11" s="2812"/>
      <c r="CD11" s="2812"/>
      <c r="CE11" s="2812"/>
      <c r="CF11" s="2812"/>
      <c r="CG11" s="2812"/>
      <c r="CH11" s="2812"/>
      <c r="CI11" s="2812"/>
      <c r="CJ11" s="2812"/>
      <c r="CK11" s="2812"/>
      <c r="CL11" s="2812"/>
      <c r="CM11" s="2812"/>
      <c r="CN11" s="2812"/>
      <c r="CO11" s="2812"/>
      <c r="CP11" s="2812"/>
      <c r="CQ11" s="2812"/>
      <c r="CR11" s="2812"/>
      <c r="CS11" s="2812"/>
      <c r="CT11" s="2812"/>
      <c r="CU11" s="2812"/>
      <c r="CV11" s="2812"/>
      <c r="CW11" s="2812"/>
      <c r="CX11" s="2812"/>
      <c r="CY11" s="2812"/>
      <c r="CZ11" s="2812"/>
      <c r="DA11" s="2812"/>
      <c r="DB11" s="2812"/>
      <c r="DC11" s="2812"/>
      <c r="DD11" s="2812"/>
      <c r="DE11" s="2812"/>
      <c r="DF11" s="2812"/>
      <c r="DG11" s="2812"/>
      <c r="DH11" s="2812"/>
      <c r="DI11" s="2812"/>
      <c r="DJ11" s="2812"/>
      <c r="DK11" s="2812"/>
      <c r="DL11" s="2812"/>
      <c r="DM11" s="2812"/>
      <c r="DN11" s="2812"/>
      <c r="DO11" s="2812"/>
      <c r="DP11" s="2812"/>
      <c r="DQ11" s="2812"/>
      <c r="DR11" s="2812"/>
      <c r="DS11" s="2812"/>
      <c r="DT11" s="2812"/>
      <c r="DU11" s="2812"/>
      <c r="DV11" s="2812"/>
      <c r="DW11" s="2812"/>
      <c r="DX11" s="2812"/>
      <c r="DY11" s="2812"/>
      <c r="DZ11" s="2812"/>
      <c r="EA11" s="2812"/>
      <c r="EB11" s="2812"/>
      <c r="EC11" s="2812"/>
      <c r="ED11" s="2812"/>
      <c r="EE11" s="2812"/>
      <c r="EF11" s="2812"/>
      <c r="EG11" s="2812"/>
      <c r="EH11" s="2812"/>
      <c r="EI11" s="2812"/>
      <c r="EJ11" s="2812"/>
      <c r="EK11" s="2812"/>
      <c r="EL11" s="2812"/>
      <c r="EM11" s="2812"/>
      <c r="EN11" s="2812"/>
      <c r="EO11" s="2812"/>
      <c r="EP11" s="2812"/>
      <c r="EQ11" s="2812"/>
      <c r="ER11" s="2812"/>
      <c r="ES11" s="2812"/>
      <c r="ET11" s="2812"/>
      <c r="EU11" s="2812"/>
      <c r="EV11" s="2812"/>
      <c r="EW11" s="2812"/>
      <c r="EX11" s="2812"/>
      <c r="EY11" s="2812"/>
      <c r="EZ11" s="2812"/>
      <c r="FA11" s="2812"/>
      <c r="FB11" s="2812"/>
      <c r="FC11" s="2812"/>
      <c r="FD11" s="2812"/>
      <c r="FE11" s="2812"/>
      <c r="FF11" s="2812"/>
      <c r="FG11" s="2812"/>
      <c r="FH11" s="2812"/>
      <c r="FI11" s="2812"/>
      <c r="FJ11" s="2812"/>
      <c r="FK11" s="2812"/>
      <c r="FL11" s="2812"/>
      <c r="FM11" s="2812"/>
      <c r="FN11" s="2812"/>
      <c r="FO11" s="2812"/>
      <c r="FP11" s="2812"/>
      <c r="FQ11" s="2812"/>
      <c r="FR11" s="2812"/>
      <c r="FS11" s="2812"/>
      <c r="FT11" s="2812"/>
      <c r="FU11" s="2812"/>
      <c r="FV11" s="2812"/>
      <c r="FW11" s="2812"/>
      <c r="FX11" s="2812"/>
      <c r="FY11" s="2812"/>
      <c r="FZ11" s="2812"/>
      <c r="GA11" s="2812"/>
      <c r="GB11" s="2812"/>
      <c r="GC11" s="2812"/>
      <c r="GD11" s="2812"/>
      <c r="GE11" s="2812"/>
      <c r="GF11" s="2812"/>
      <c r="GG11" s="2812"/>
      <c r="GH11" s="2812"/>
      <c r="GI11" s="2812"/>
      <c r="GJ11" s="2812"/>
      <c r="GK11" s="2812"/>
      <c r="GL11" s="2812"/>
      <c r="GM11" s="2812"/>
      <c r="GN11" s="2812"/>
      <c r="GO11" s="2812"/>
      <c r="GP11" s="2812"/>
      <c r="GQ11" s="2812"/>
      <c r="GR11" s="2812"/>
      <c r="GS11" s="2812"/>
      <c r="GT11" s="2812"/>
      <c r="GU11" s="2812"/>
      <c r="GV11" s="2812"/>
      <c r="GW11" s="2812"/>
      <c r="GX11" s="2812"/>
      <c r="GY11" s="2812"/>
      <c r="GZ11" s="2812"/>
      <c r="HA11" s="2812"/>
      <c r="HB11" s="2812"/>
      <c r="HC11" s="2812"/>
      <c r="HD11" s="2812"/>
      <c r="HE11" s="2812"/>
      <c r="HF11" s="2812"/>
      <c r="HG11" s="2812"/>
      <c r="HH11" s="2812"/>
      <c r="HI11" s="2812"/>
      <c r="HJ11" s="2812"/>
      <c r="HK11" s="2812"/>
      <c r="HL11" s="2812"/>
      <c r="HM11" s="2812"/>
      <c r="HN11" s="2812"/>
      <c r="HO11" s="2812"/>
      <c r="HP11" s="2812"/>
      <c r="HQ11" s="2812"/>
      <c r="HR11" s="2812"/>
      <c r="HS11" s="2812"/>
      <c r="HT11" s="2812"/>
      <c r="HU11" s="2812"/>
      <c r="HV11" s="2812"/>
      <c r="HW11" s="2812"/>
      <c r="HX11" s="2812"/>
      <c r="HY11" s="2812"/>
      <c r="HZ11" s="2812"/>
      <c r="IA11" s="2812"/>
      <c r="IB11" s="2812"/>
      <c r="IC11" s="2812"/>
      <c r="ID11" s="2812"/>
      <c r="IE11" s="2812"/>
      <c r="IF11" s="2812"/>
      <c r="IG11" s="2812"/>
      <c r="IH11" s="2812"/>
      <c r="II11" s="2812"/>
      <c r="IJ11" s="2812"/>
      <c r="IK11" s="2812"/>
      <c r="IL11" s="2812"/>
      <c r="IM11" s="2812"/>
      <c r="IN11" s="2812"/>
      <c r="IO11" s="2812"/>
      <c r="IP11" s="2812"/>
      <c r="IQ11" s="2812"/>
      <c r="IR11" s="2812"/>
      <c r="IS11" s="2812"/>
      <c r="IT11" s="2812"/>
      <c r="IU11" s="2812"/>
      <c r="IV11" s="2812"/>
    </row>
    <row r="12" spans="1:257">
      <c r="A12" s="2813"/>
      <c r="B12" s="2814"/>
      <c r="C12" s="2815"/>
      <c r="D12" s="2816" t="s">
        <v>2801</v>
      </c>
      <c r="E12" s="2816" t="s">
        <v>2802</v>
      </c>
      <c r="F12" s="2816" t="s">
        <v>2803</v>
      </c>
      <c r="G12" s="2816" t="s">
        <v>2804</v>
      </c>
      <c r="H12" s="2816" t="s">
        <v>2786</v>
      </c>
      <c r="I12" s="2817" t="s">
        <v>2805</v>
      </c>
      <c r="J12" s="2817" t="s">
        <v>2805</v>
      </c>
      <c r="K12" s="2813"/>
      <c r="L12" s="2814"/>
      <c r="M12" s="2815"/>
      <c r="N12" s="2814"/>
      <c r="O12" s="2817" t="s">
        <v>2806</v>
      </c>
      <c r="P12" s="2817">
        <v>0.5</v>
      </c>
      <c r="Q12" s="2817">
        <v>1</v>
      </c>
      <c r="R12" s="2817">
        <v>2</v>
      </c>
      <c r="S12" s="2817">
        <v>3</v>
      </c>
      <c r="T12" s="2817">
        <v>5</v>
      </c>
      <c r="U12" s="2817">
        <v>1</v>
      </c>
      <c r="V12" s="2817">
        <v>3</v>
      </c>
      <c r="W12" s="2817">
        <v>5</v>
      </c>
      <c r="X12" s="2814"/>
      <c r="Y12" s="2814"/>
      <c r="Z12" s="2814"/>
      <c r="AA12" s="2818"/>
      <c r="AB12" s="2818"/>
      <c r="AC12" s="2818"/>
      <c r="AD12" s="2818"/>
      <c r="AE12" s="2818"/>
      <c r="AF12" s="2818"/>
      <c r="AG12" s="2818"/>
      <c r="AH12" s="2818"/>
      <c r="AI12" s="2818"/>
      <c r="AJ12" s="2818"/>
      <c r="AK12" s="2818"/>
      <c r="AL12" s="2818"/>
      <c r="AM12" s="2818"/>
      <c r="AN12" s="2818"/>
      <c r="AO12" s="2818"/>
      <c r="AP12" s="2818"/>
      <c r="AQ12" s="2818"/>
      <c r="AR12" s="2818"/>
      <c r="AS12" s="2818"/>
      <c r="AT12" s="2818"/>
      <c r="AU12" s="2818"/>
      <c r="AV12" s="2818"/>
      <c r="AW12" s="2818"/>
      <c r="AX12" s="2818"/>
      <c r="AY12" s="2818"/>
      <c r="AZ12" s="2818"/>
      <c r="BA12" s="2818"/>
      <c r="BB12" s="2818"/>
      <c r="BC12" s="2818"/>
      <c r="BD12" s="2818"/>
      <c r="BE12" s="2818"/>
      <c r="BF12" s="2818"/>
      <c r="BG12" s="2818"/>
      <c r="BH12" s="2818"/>
      <c r="BI12" s="2818"/>
      <c r="BJ12" s="2818"/>
      <c r="BK12" s="2818"/>
      <c r="BL12" s="2818"/>
      <c r="BM12" s="2818"/>
      <c r="BN12" s="2818"/>
      <c r="BO12" s="2818"/>
      <c r="BP12" s="2818"/>
      <c r="BQ12" s="2818"/>
      <c r="BR12" s="2818"/>
      <c r="BS12" s="2818"/>
      <c r="BT12" s="2818"/>
      <c r="BU12" s="2818"/>
      <c r="BV12" s="2818"/>
      <c r="BW12" s="2818"/>
      <c r="BX12" s="2818"/>
      <c r="BY12" s="2818"/>
      <c r="BZ12" s="2818"/>
      <c r="CA12" s="2818"/>
      <c r="CB12" s="2818"/>
      <c r="CC12" s="2818"/>
      <c r="CD12" s="2818"/>
      <c r="CE12" s="2818"/>
      <c r="CF12" s="2818"/>
      <c r="CG12" s="2818"/>
      <c r="CH12" s="2818"/>
      <c r="CI12" s="2818"/>
      <c r="CJ12" s="2818"/>
      <c r="CK12" s="2818"/>
      <c r="CL12" s="2818"/>
      <c r="CM12" s="2818"/>
      <c r="CN12" s="2818"/>
      <c r="CO12" s="2818"/>
      <c r="CP12" s="2818"/>
      <c r="CQ12" s="2818"/>
      <c r="CR12" s="2818"/>
      <c r="CS12" s="2818"/>
      <c r="CT12" s="2818"/>
      <c r="CU12" s="2818"/>
      <c r="CV12" s="2818"/>
      <c r="CW12" s="2818"/>
      <c r="CX12" s="2818"/>
      <c r="CY12" s="2818"/>
      <c r="CZ12" s="2818"/>
      <c r="DA12" s="2818"/>
      <c r="DB12" s="2818"/>
      <c r="DC12" s="2818"/>
      <c r="DD12" s="2818"/>
      <c r="DE12" s="2818"/>
      <c r="DF12" s="2818"/>
      <c r="DG12" s="2818"/>
      <c r="DH12" s="2818"/>
      <c r="DI12" s="2818"/>
      <c r="DJ12" s="2818"/>
      <c r="DK12" s="2818"/>
      <c r="DL12" s="2818"/>
      <c r="DM12" s="2818"/>
      <c r="DN12" s="2818"/>
      <c r="DO12" s="2818"/>
      <c r="DP12" s="2818"/>
      <c r="DQ12" s="2818"/>
      <c r="DR12" s="2818"/>
      <c r="DS12" s="2818"/>
      <c r="DT12" s="2818"/>
      <c r="DU12" s="2818"/>
      <c r="DV12" s="2818"/>
      <c r="DW12" s="2818"/>
      <c r="DX12" s="2818"/>
      <c r="DY12" s="2818"/>
      <c r="DZ12" s="2818"/>
      <c r="EA12" s="2818"/>
      <c r="EB12" s="2818"/>
      <c r="EC12" s="2818"/>
      <c r="ED12" s="2818"/>
      <c r="EE12" s="2818"/>
      <c r="EF12" s="2818"/>
      <c r="EG12" s="2818"/>
      <c r="EH12" s="2818"/>
      <c r="EI12" s="2818"/>
      <c r="EJ12" s="2818"/>
      <c r="EK12" s="2818"/>
      <c r="EL12" s="2818"/>
      <c r="EM12" s="2818"/>
      <c r="EN12" s="2818"/>
      <c r="EO12" s="2818"/>
      <c r="EP12" s="2818"/>
      <c r="EQ12" s="2818"/>
      <c r="ER12" s="2818"/>
      <c r="ES12" s="2818"/>
      <c r="ET12" s="2818"/>
      <c r="EU12" s="2818"/>
      <c r="EV12" s="2818"/>
      <c r="EW12" s="2818"/>
      <c r="EX12" s="2818"/>
      <c r="EY12" s="2818"/>
      <c r="EZ12" s="2818"/>
      <c r="FA12" s="2818"/>
      <c r="FB12" s="2818"/>
      <c r="FC12" s="2818"/>
      <c r="FD12" s="2818"/>
      <c r="FE12" s="2818"/>
      <c r="FF12" s="2818"/>
      <c r="FG12" s="2818"/>
      <c r="FH12" s="2818"/>
      <c r="FI12" s="2818"/>
      <c r="FJ12" s="2818"/>
      <c r="FK12" s="2818"/>
      <c r="FL12" s="2818"/>
      <c r="FM12" s="2818"/>
      <c r="FN12" s="2818"/>
      <c r="FO12" s="2818"/>
      <c r="FP12" s="2818"/>
      <c r="FQ12" s="2818"/>
      <c r="FR12" s="2818"/>
      <c r="FS12" s="2818"/>
      <c r="FT12" s="2818"/>
      <c r="FU12" s="2818"/>
      <c r="FV12" s="2818"/>
      <c r="FW12" s="2818"/>
      <c r="FX12" s="2818"/>
      <c r="FY12" s="2818"/>
      <c r="FZ12" s="2818"/>
      <c r="GA12" s="2818"/>
      <c r="GB12" s="2818"/>
      <c r="GC12" s="2818"/>
      <c r="GD12" s="2818"/>
      <c r="GE12" s="2818"/>
      <c r="GF12" s="2818"/>
      <c r="GG12" s="2818"/>
      <c r="GH12" s="2818"/>
      <c r="GI12" s="2818"/>
      <c r="GJ12" s="2818"/>
      <c r="GK12" s="2818"/>
      <c r="GL12" s="2818"/>
      <c r="GM12" s="2818"/>
      <c r="GN12" s="2818"/>
      <c r="GO12" s="2818"/>
      <c r="GP12" s="2818"/>
      <c r="GQ12" s="2818"/>
      <c r="GR12" s="2818"/>
      <c r="GS12" s="2818"/>
      <c r="GT12" s="2818"/>
      <c r="GU12" s="2818"/>
      <c r="GV12" s="2818"/>
      <c r="GW12" s="2818"/>
      <c r="GX12" s="2818"/>
      <c r="GY12" s="2818"/>
      <c r="GZ12" s="2818"/>
      <c r="HA12" s="2818"/>
      <c r="HB12" s="2818"/>
      <c r="HC12" s="2818"/>
      <c r="HD12" s="2818"/>
      <c r="HE12" s="2818"/>
      <c r="HF12" s="2818"/>
      <c r="HG12" s="2818"/>
      <c r="HH12" s="2818"/>
      <c r="HI12" s="2818"/>
      <c r="HJ12" s="2818"/>
      <c r="HK12" s="2818"/>
      <c r="HL12" s="2818"/>
      <c r="HM12" s="2818"/>
      <c r="HN12" s="2818"/>
      <c r="HO12" s="2818"/>
      <c r="HP12" s="2818"/>
      <c r="HQ12" s="2818"/>
      <c r="HR12" s="2818"/>
      <c r="HS12" s="2818"/>
      <c r="HT12" s="2818"/>
      <c r="HU12" s="2818"/>
      <c r="HV12" s="2818"/>
      <c r="HW12" s="2818"/>
      <c r="HX12" s="2818"/>
      <c r="HY12" s="2818"/>
      <c r="HZ12" s="2818"/>
      <c r="IA12" s="2818"/>
      <c r="IB12" s="2818"/>
      <c r="IC12" s="2818"/>
      <c r="ID12" s="2818"/>
      <c r="IE12" s="2818"/>
      <c r="IF12" s="2818"/>
      <c r="IG12" s="2818"/>
      <c r="IH12" s="2818"/>
      <c r="II12" s="2818"/>
      <c r="IJ12" s="2818"/>
      <c r="IK12" s="2818"/>
      <c r="IL12" s="2818"/>
      <c r="IM12" s="2818"/>
      <c r="IN12" s="2818"/>
      <c r="IO12" s="2818"/>
      <c r="IP12" s="2818"/>
      <c r="IQ12" s="2818"/>
      <c r="IR12" s="2818"/>
      <c r="IS12" s="2818"/>
      <c r="IT12" s="2818"/>
      <c r="IU12" s="2818"/>
      <c r="IV12" s="2818"/>
    </row>
    <row r="13" spans="1:257" ht="14.25">
      <c r="A13" s="2819"/>
      <c r="B13" s="2820" t="s">
        <v>2807</v>
      </c>
      <c r="C13" s="2821">
        <v>42301</v>
      </c>
      <c r="D13" s="2822">
        <v>4.3499999999999996</v>
      </c>
      <c r="E13" s="2822">
        <v>4.3499999999999996</v>
      </c>
      <c r="F13" s="2822">
        <v>4.75</v>
      </c>
      <c r="G13" s="2822">
        <v>4.75</v>
      </c>
      <c r="H13" s="2822">
        <v>4.9000000000000004</v>
      </c>
      <c r="I13" s="2822">
        <v>2.75</v>
      </c>
      <c r="J13" s="2822">
        <v>3.25</v>
      </c>
      <c r="K13" s="2819"/>
      <c r="L13" s="2820" t="s">
        <v>2807</v>
      </c>
      <c r="M13" s="2823">
        <v>42301</v>
      </c>
      <c r="N13" s="2822">
        <v>0.35</v>
      </c>
      <c r="O13" s="2822">
        <v>1.1000000000000001</v>
      </c>
      <c r="P13" s="2822">
        <v>1.3</v>
      </c>
      <c r="Q13" s="2822">
        <v>1.5</v>
      </c>
      <c r="R13" s="2822">
        <v>2.1</v>
      </c>
      <c r="S13" s="2822">
        <v>2.75</v>
      </c>
      <c r="T13" s="2822"/>
      <c r="U13" s="2822"/>
      <c r="V13" s="2822"/>
      <c r="W13" s="2822"/>
      <c r="X13" s="2822"/>
      <c r="Y13" s="2822"/>
      <c r="Z13" s="2822"/>
      <c r="AA13" s="2824"/>
      <c r="AB13" s="2824"/>
      <c r="AC13" s="2824"/>
      <c r="AD13" s="2824"/>
      <c r="AE13" s="2824"/>
      <c r="AF13" s="2824"/>
      <c r="AG13" s="2824"/>
      <c r="AH13" s="2824"/>
      <c r="AI13" s="2824"/>
      <c r="AJ13" s="2824"/>
      <c r="AK13" s="2824"/>
      <c r="AL13" s="2824"/>
      <c r="AM13" s="2824"/>
      <c r="AN13" s="2824"/>
      <c r="AO13" s="2824"/>
      <c r="AP13" s="2824"/>
      <c r="AQ13" s="2824"/>
      <c r="AR13" s="2824"/>
      <c r="AS13" s="2824"/>
      <c r="AT13" s="2824"/>
      <c r="AU13" s="2824"/>
      <c r="AV13" s="2824"/>
      <c r="AW13" s="2824"/>
      <c r="AX13" s="2824"/>
      <c r="AY13" s="2824"/>
      <c r="AZ13" s="2824"/>
      <c r="BA13" s="2824"/>
      <c r="BB13" s="2824"/>
      <c r="BC13" s="2824"/>
      <c r="BD13" s="2824"/>
      <c r="BE13" s="2824"/>
      <c r="BF13" s="2824"/>
      <c r="BG13" s="2824"/>
      <c r="BH13" s="2824"/>
      <c r="BI13" s="2824"/>
      <c r="BJ13" s="2824"/>
      <c r="BK13" s="2824"/>
      <c r="BL13" s="2824"/>
      <c r="BM13" s="2824"/>
      <c r="BN13" s="2824"/>
      <c r="BO13" s="2824"/>
      <c r="BP13" s="2824"/>
      <c r="BQ13" s="2824"/>
      <c r="BR13" s="2824"/>
      <c r="BS13" s="2824"/>
      <c r="BT13" s="2824"/>
      <c r="BU13" s="2824"/>
      <c r="BV13" s="2824"/>
      <c r="BW13" s="2824"/>
      <c r="BX13" s="2824"/>
      <c r="BY13" s="2824"/>
      <c r="BZ13" s="2824"/>
      <c r="CA13" s="2824"/>
      <c r="CB13" s="2824"/>
      <c r="CC13" s="2824"/>
      <c r="CD13" s="2824"/>
      <c r="CE13" s="2824"/>
      <c r="CF13" s="2824"/>
      <c r="CG13" s="2824"/>
      <c r="CH13" s="2824"/>
      <c r="CI13" s="2824"/>
      <c r="CJ13" s="2824"/>
      <c r="CK13" s="2824"/>
      <c r="CL13" s="2824"/>
      <c r="CM13" s="2824"/>
      <c r="CN13" s="2824"/>
      <c r="CO13" s="2824"/>
      <c r="CP13" s="2824"/>
      <c r="CQ13" s="2824"/>
      <c r="CR13" s="2824"/>
      <c r="CS13" s="2824"/>
      <c r="CT13" s="2824"/>
      <c r="CU13" s="2824"/>
      <c r="CV13" s="2824"/>
      <c r="CW13" s="2824"/>
      <c r="CX13" s="2824"/>
      <c r="CY13" s="2824"/>
      <c r="CZ13" s="2824"/>
      <c r="DA13" s="2824"/>
      <c r="DB13" s="2824"/>
      <c r="DC13" s="2824"/>
      <c r="DD13" s="2824"/>
      <c r="DE13" s="2824"/>
      <c r="DF13" s="2824"/>
      <c r="DG13" s="2824"/>
      <c r="DH13" s="2824"/>
      <c r="DI13" s="2824"/>
      <c r="DJ13" s="2824"/>
      <c r="DK13" s="2824"/>
      <c r="DL13" s="2824"/>
      <c r="DM13" s="2824"/>
      <c r="DN13" s="2824"/>
      <c r="DO13" s="2824"/>
      <c r="DP13" s="2824"/>
      <c r="DQ13" s="2824"/>
      <c r="DR13" s="2824"/>
      <c r="DS13" s="2824"/>
      <c r="DT13" s="2824"/>
      <c r="DU13" s="2824"/>
      <c r="DV13" s="2824"/>
      <c r="DW13" s="2824"/>
      <c r="DX13" s="2824"/>
      <c r="DY13" s="2824"/>
      <c r="DZ13" s="2824"/>
      <c r="EA13" s="2824"/>
      <c r="EB13" s="2824"/>
      <c r="EC13" s="2824"/>
      <c r="ED13" s="2824"/>
      <c r="EE13" s="2824"/>
      <c r="EF13" s="2824"/>
      <c r="EG13" s="2824"/>
      <c r="EH13" s="2824"/>
      <c r="EI13" s="2824"/>
      <c r="EJ13" s="2824"/>
      <c r="EK13" s="2824"/>
      <c r="EL13" s="2824"/>
      <c r="EM13" s="2824"/>
      <c r="EN13" s="2824"/>
      <c r="EO13" s="2824"/>
      <c r="EP13" s="2824"/>
      <c r="EQ13" s="2824"/>
      <c r="ER13" s="2824"/>
      <c r="ES13" s="2824"/>
      <c r="ET13" s="2824"/>
      <c r="EU13" s="2824"/>
      <c r="EV13" s="2824"/>
      <c r="EW13" s="2824"/>
      <c r="EX13" s="2824"/>
      <c r="EY13" s="2824"/>
      <c r="EZ13" s="2824"/>
      <c r="FA13" s="2824"/>
      <c r="FB13" s="2824"/>
      <c r="FC13" s="2824"/>
      <c r="FD13" s="2824"/>
      <c r="FE13" s="2824"/>
      <c r="FF13" s="2824"/>
      <c r="FG13" s="2824"/>
      <c r="FH13" s="2824"/>
      <c r="FI13" s="2824"/>
      <c r="FJ13" s="2824"/>
      <c r="FK13" s="2824"/>
      <c r="FL13" s="2824"/>
      <c r="FM13" s="2824"/>
      <c r="FN13" s="2824"/>
      <c r="FO13" s="2824"/>
      <c r="FP13" s="2824"/>
      <c r="FQ13" s="2824"/>
      <c r="FR13" s="2824"/>
      <c r="FS13" s="2824"/>
      <c r="FT13" s="2824"/>
      <c r="FU13" s="2824"/>
      <c r="FV13" s="2824"/>
      <c r="FW13" s="2824"/>
      <c r="FX13" s="2824"/>
      <c r="FY13" s="2824"/>
      <c r="FZ13" s="2824"/>
      <c r="GA13" s="2824"/>
      <c r="GB13" s="2824"/>
      <c r="GC13" s="2824"/>
      <c r="GD13" s="2824"/>
      <c r="GE13" s="2824"/>
      <c r="GF13" s="2824"/>
      <c r="GG13" s="2824"/>
      <c r="GH13" s="2824"/>
      <c r="GI13" s="2824"/>
      <c r="GJ13" s="2824"/>
      <c r="GK13" s="2824"/>
      <c r="GL13" s="2824"/>
      <c r="GM13" s="2824"/>
      <c r="GN13" s="2824"/>
      <c r="GO13" s="2824"/>
      <c r="GP13" s="2824"/>
      <c r="GQ13" s="2824"/>
      <c r="GR13" s="2824"/>
      <c r="GS13" s="2824"/>
      <c r="GT13" s="2824"/>
      <c r="GU13" s="2824"/>
      <c r="GV13" s="2824"/>
      <c r="GW13" s="2824"/>
      <c r="GX13" s="2824"/>
      <c r="GY13" s="2824"/>
      <c r="GZ13" s="2824"/>
      <c r="HA13" s="2824"/>
      <c r="HB13" s="2824"/>
      <c r="HC13" s="2824"/>
      <c r="HD13" s="2824"/>
      <c r="HE13" s="2824"/>
      <c r="HF13" s="2824"/>
      <c r="HG13" s="2824"/>
      <c r="HH13" s="2824"/>
      <c r="HI13" s="2824"/>
      <c r="HJ13" s="2824"/>
      <c r="HK13" s="2824"/>
      <c r="HL13" s="2824"/>
      <c r="HM13" s="2824"/>
      <c r="HN13" s="2824"/>
      <c r="HO13" s="2824"/>
      <c r="HP13" s="2824"/>
      <c r="HQ13" s="2824"/>
      <c r="HR13" s="2824"/>
      <c r="HS13" s="2824"/>
      <c r="HT13" s="2824"/>
      <c r="HU13" s="2824"/>
      <c r="HV13" s="2824"/>
      <c r="HW13" s="2824"/>
      <c r="HX13" s="2824"/>
      <c r="HY13" s="2824"/>
      <c r="HZ13" s="2824"/>
      <c r="IA13" s="2824"/>
      <c r="IB13" s="2824"/>
      <c r="IC13" s="2824"/>
      <c r="ID13" s="2824"/>
      <c r="IE13" s="2824"/>
      <c r="IF13" s="2824"/>
      <c r="IG13" s="2824"/>
      <c r="IH13" s="2824"/>
      <c r="II13" s="2824"/>
      <c r="IJ13" s="2824"/>
      <c r="IK13" s="2824"/>
      <c r="IL13" s="2824"/>
      <c r="IM13" s="2824"/>
      <c r="IN13" s="2824"/>
      <c r="IO13" s="2824"/>
      <c r="IP13" s="2824"/>
      <c r="IQ13" s="2824"/>
      <c r="IR13" s="2824"/>
      <c r="IS13" s="2824"/>
      <c r="IT13" s="2824"/>
      <c r="IU13" s="2824"/>
      <c r="IV13" s="2824"/>
      <c r="IW13" s="2825"/>
    </row>
    <row r="14" spans="1:257">
      <c r="B14" s="2826"/>
      <c r="C14" s="2827">
        <v>42242</v>
      </c>
      <c r="D14" s="2826">
        <v>4.5999999999999996</v>
      </c>
      <c r="E14" s="2826">
        <v>4.5999999999999996</v>
      </c>
      <c r="F14" s="2826">
        <v>5</v>
      </c>
      <c r="G14" s="2826">
        <v>5</v>
      </c>
      <c r="H14" s="2826">
        <v>5.15</v>
      </c>
      <c r="I14" s="2826">
        <v>2.75</v>
      </c>
      <c r="J14" s="2826">
        <v>3.25</v>
      </c>
      <c r="L14" s="2826"/>
      <c r="M14" s="2827">
        <v>42242</v>
      </c>
      <c r="N14" s="2826">
        <v>0.35</v>
      </c>
      <c r="O14" s="2826">
        <v>1.35</v>
      </c>
      <c r="P14" s="2826">
        <v>1.55</v>
      </c>
      <c r="Q14" s="2826">
        <v>1.75</v>
      </c>
      <c r="R14" s="2826">
        <v>2.35</v>
      </c>
      <c r="S14" s="2826">
        <v>3</v>
      </c>
      <c r="T14" s="2826"/>
      <c r="U14" s="2826"/>
      <c r="V14" s="2826"/>
      <c r="W14" s="2826"/>
      <c r="X14" s="2826"/>
      <c r="Y14" s="2826"/>
      <c r="Z14" s="2826"/>
    </row>
    <row r="15" spans="1:257">
      <c r="B15" s="2826"/>
      <c r="C15" s="2827">
        <v>42183</v>
      </c>
      <c r="D15" s="2826">
        <v>4.8499999999999996</v>
      </c>
      <c r="E15" s="2826">
        <v>4.8499999999999996</v>
      </c>
      <c r="F15" s="2826">
        <v>5.25</v>
      </c>
      <c r="G15" s="2826">
        <v>5.25</v>
      </c>
      <c r="H15" s="2826">
        <v>5.4</v>
      </c>
      <c r="I15" s="2826">
        <v>3</v>
      </c>
      <c r="J15" s="2826">
        <v>3.5</v>
      </c>
      <c r="L15" s="2826"/>
      <c r="M15" s="2827">
        <v>42183</v>
      </c>
      <c r="N15" s="2826">
        <v>0.35</v>
      </c>
      <c r="O15" s="2826">
        <v>1.6</v>
      </c>
      <c r="P15" s="2826">
        <v>1.8</v>
      </c>
      <c r="Q15" s="2826">
        <v>2</v>
      </c>
      <c r="R15" s="2826">
        <v>2.6</v>
      </c>
      <c r="S15" s="2826">
        <v>3.25</v>
      </c>
      <c r="T15" s="2826"/>
      <c r="U15" s="2826"/>
      <c r="V15" s="2826"/>
      <c r="W15" s="2826"/>
      <c r="X15" s="2826"/>
      <c r="Y15" s="2826"/>
      <c r="Z15" s="2826"/>
    </row>
    <row r="16" spans="1:257">
      <c r="B16" s="2826"/>
      <c r="C16" s="2827">
        <v>42135</v>
      </c>
      <c r="D16" s="2826">
        <v>5.0999999999999996</v>
      </c>
      <c r="E16" s="2826">
        <v>5.0999999999999996</v>
      </c>
      <c r="F16" s="2826">
        <v>5.5</v>
      </c>
      <c r="G16" s="2826">
        <v>5.5</v>
      </c>
      <c r="H16" s="2826">
        <v>5.65</v>
      </c>
      <c r="I16" s="2826">
        <v>3.25</v>
      </c>
      <c r="J16" s="2826">
        <v>3.75</v>
      </c>
      <c r="L16" s="2826"/>
      <c r="M16" s="2827">
        <v>42135</v>
      </c>
      <c r="N16" s="2826">
        <v>0.35</v>
      </c>
      <c r="O16" s="2826">
        <v>1.85</v>
      </c>
      <c r="P16" s="2826">
        <v>2.0499999999999998</v>
      </c>
      <c r="Q16" s="2826">
        <v>2.25</v>
      </c>
      <c r="R16" s="2826">
        <v>2.85</v>
      </c>
      <c r="S16" s="2826">
        <v>3.5</v>
      </c>
      <c r="T16" s="2826"/>
      <c r="U16" s="2826"/>
      <c r="V16" s="2826"/>
      <c r="W16" s="2826"/>
      <c r="X16" s="2826"/>
      <c r="Y16" s="2826"/>
      <c r="Z16" s="2826"/>
    </row>
    <row r="17" spans="2:26">
      <c r="B17" s="2826"/>
      <c r="C17" s="2827">
        <v>42064</v>
      </c>
      <c r="D17" s="2826">
        <v>5.35</v>
      </c>
      <c r="E17" s="2826">
        <v>5.35</v>
      </c>
      <c r="F17" s="2826">
        <v>5.75</v>
      </c>
      <c r="G17" s="2826">
        <v>5.75</v>
      </c>
      <c r="H17" s="2826">
        <v>5.9</v>
      </c>
      <c r="I17" s="2826"/>
      <c r="J17" s="2826"/>
      <c r="L17" s="2826"/>
      <c r="M17" s="2827">
        <v>42064</v>
      </c>
      <c r="N17" s="2826">
        <v>0.35</v>
      </c>
      <c r="O17" s="2826">
        <v>2.1</v>
      </c>
      <c r="P17" s="2826">
        <v>2.2999999999999998</v>
      </c>
      <c r="Q17" s="2826">
        <v>2.5</v>
      </c>
      <c r="R17" s="2826">
        <v>3.1</v>
      </c>
      <c r="S17" s="2826">
        <v>3.75</v>
      </c>
      <c r="T17" s="2826">
        <v>4.5</v>
      </c>
      <c r="U17" s="2826">
        <v>2.35</v>
      </c>
      <c r="V17" s="2826">
        <v>2.5499999999999998</v>
      </c>
      <c r="W17" s="2826">
        <v>2.75</v>
      </c>
      <c r="X17" s="2826"/>
      <c r="Y17" s="2826">
        <v>0.8</v>
      </c>
      <c r="Z17" s="2826">
        <v>1.35</v>
      </c>
    </row>
    <row r="18" spans="2:26" ht="15">
      <c r="B18" s="2826"/>
      <c r="C18" s="2827">
        <v>41965</v>
      </c>
      <c r="D18" s="2826">
        <v>5.6</v>
      </c>
      <c r="E18" s="2826">
        <v>5.6</v>
      </c>
      <c r="F18" s="2826">
        <v>6</v>
      </c>
      <c r="G18" s="2826">
        <v>6</v>
      </c>
      <c r="H18" s="2826">
        <v>6.15</v>
      </c>
      <c r="I18" s="2826"/>
      <c r="J18" s="2826"/>
      <c r="L18" s="2826"/>
      <c r="M18" s="2827">
        <v>41965</v>
      </c>
      <c r="N18" s="2826">
        <v>0.35</v>
      </c>
      <c r="O18" s="2826">
        <v>2.35</v>
      </c>
      <c r="P18" s="2826">
        <v>2.5499999999999998</v>
      </c>
      <c r="Q18" s="2826">
        <v>2.75</v>
      </c>
      <c r="R18" s="2826">
        <v>3.35</v>
      </c>
      <c r="S18" s="2826">
        <v>4</v>
      </c>
      <c r="T18" s="2826">
        <v>4.75</v>
      </c>
      <c r="U18" s="2828">
        <v>2.35</v>
      </c>
      <c r="V18" s="2828">
        <v>2.5499999999999998</v>
      </c>
      <c r="W18" s="2828">
        <v>2.75</v>
      </c>
      <c r="X18" s="2826"/>
      <c r="Y18" s="2828">
        <v>0.8</v>
      </c>
      <c r="Z18" s="2828">
        <v>1.35</v>
      </c>
    </row>
    <row r="19" spans="2:26">
      <c r="B19" s="2826"/>
      <c r="C19" s="2827">
        <v>41096</v>
      </c>
      <c r="D19" s="2826">
        <v>5.6</v>
      </c>
      <c r="E19" s="2826">
        <v>6</v>
      </c>
      <c r="F19" s="2826">
        <v>6.15</v>
      </c>
      <c r="G19" s="2826">
        <v>6.4</v>
      </c>
      <c r="H19" s="2826">
        <v>6.55</v>
      </c>
      <c r="I19" s="2826">
        <v>4</v>
      </c>
      <c r="J19" s="2826">
        <v>4.5</v>
      </c>
      <c r="L19" s="2826"/>
      <c r="M19" s="2827">
        <v>41096</v>
      </c>
      <c r="N19" s="2826">
        <v>0.35</v>
      </c>
      <c r="O19" s="2826">
        <v>2.6</v>
      </c>
      <c r="P19" s="2826">
        <v>2.8</v>
      </c>
      <c r="Q19" s="2826">
        <v>3</v>
      </c>
      <c r="R19" s="2826">
        <v>3.75</v>
      </c>
      <c r="S19" s="2826">
        <v>4.25</v>
      </c>
      <c r="T19" s="2826">
        <v>4.75</v>
      </c>
      <c r="U19" s="2826">
        <v>2.85</v>
      </c>
      <c r="V19" s="2826">
        <v>2.9</v>
      </c>
      <c r="W19" s="2826">
        <v>3</v>
      </c>
      <c r="X19" s="2826">
        <v>1.1499999999999999</v>
      </c>
      <c r="Y19" s="2826">
        <v>0.8</v>
      </c>
      <c r="Z19" s="2826">
        <v>1.35</v>
      </c>
    </row>
    <row r="20" spans="2:26">
      <c r="B20" s="2826"/>
      <c r="C20" s="2827">
        <v>41068</v>
      </c>
      <c r="D20" s="2826">
        <v>5.85</v>
      </c>
      <c r="E20" s="2826">
        <v>6.31</v>
      </c>
      <c r="F20" s="2826">
        <v>6.4</v>
      </c>
      <c r="G20" s="2826">
        <v>6.65</v>
      </c>
      <c r="H20" s="2826">
        <v>6.8</v>
      </c>
      <c r="I20" s="2826">
        <v>4.2</v>
      </c>
      <c r="J20" s="2826">
        <v>4.7</v>
      </c>
      <c r="L20" s="2826"/>
      <c r="M20" s="2827">
        <v>41068</v>
      </c>
      <c r="N20" s="2826">
        <v>0.4</v>
      </c>
      <c r="O20" s="2826">
        <v>2.85</v>
      </c>
      <c r="P20" s="2826">
        <v>3.05</v>
      </c>
      <c r="Q20" s="2826">
        <v>3.25</v>
      </c>
      <c r="R20" s="2826">
        <v>4.0999999999999996</v>
      </c>
      <c r="S20" s="2826">
        <v>4.6500000000000004</v>
      </c>
      <c r="T20" s="2826">
        <v>5.0999999999999996</v>
      </c>
      <c r="U20" s="2826">
        <v>3.1</v>
      </c>
      <c r="V20" s="2826">
        <v>3.15</v>
      </c>
      <c r="W20" s="2826">
        <v>3.25</v>
      </c>
      <c r="X20" s="2826">
        <v>1.31</v>
      </c>
      <c r="Y20" s="2826">
        <v>0.94</v>
      </c>
      <c r="Z20" s="2826">
        <v>1.49</v>
      </c>
    </row>
    <row r="21" spans="2:26">
      <c r="B21" s="2826"/>
      <c r="C21" s="2827">
        <v>40731</v>
      </c>
      <c r="D21" s="2826">
        <v>6.1</v>
      </c>
      <c r="E21" s="2826">
        <v>6.56</v>
      </c>
      <c r="F21" s="2826">
        <v>6.65</v>
      </c>
      <c r="G21" s="2826">
        <v>6.9</v>
      </c>
      <c r="H21" s="2826">
        <v>7.05</v>
      </c>
      <c r="I21" s="2826">
        <v>4.45</v>
      </c>
      <c r="J21" s="2826">
        <v>4.9000000000000004</v>
      </c>
      <c r="L21" s="2826"/>
      <c r="M21" s="2827">
        <v>40731</v>
      </c>
      <c r="N21" s="2826">
        <v>0.5</v>
      </c>
      <c r="O21" s="2826">
        <v>3.1</v>
      </c>
      <c r="P21" s="2826">
        <v>3.3</v>
      </c>
      <c r="Q21" s="2826">
        <v>3.5</v>
      </c>
      <c r="R21" s="2826">
        <v>4.4000000000000004</v>
      </c>
      <c r="S21" s="2826">
        <v>5</v>
      </c>
      <c r="T21" s="2826">
        <v>5.5</v>
      </c>
      <c r="U21" s="2826">
        <v>3.1</v>
      </c>
      <c r="V21" s="2826">
        <v>3.3</v>
      </c>
      <c r="W21" s="2826">
        <v>3.5</v>
      </c>
      <c r="X21" s="2826">
        <v>1.31</v>
      </c>
      <c r="Y21" s="2826">
        <v>0.95</v>
      </c>
      <c r="Z21" s="2826">
        <v>1.49</v>
      </c>
    </row>
    <row r="22" spans="2:26">
      <c r="B22" s="2826"/>
      <c r="C22" s="2827">
        <v>40639</v>
      </c>
      <c r="D22" s="2826">
        <v>5.85</v>
      </c>
      <c r="E22" s="2826">
        <v>6.31</v>
      </c>
      <c r="F22" s="2826">
        <v>6.4</v>
      </c>
      <c r="G22" s="2826">
        <v>6.65</v>
      </c>
      <c r="H22" s="2826">
        <v>6.8</v>
      </c>
      <c r="I22" s="2826">
        <v>4.2</v>
      </c>
      <c r="J22" s="2826">
        <v>4.7</v>
      </c>
      <c r="L22" s="2826"/>
      <c r="M22" s="2827">
        <v>40639</v>
      </c>
      <c r="N22" s="2826">
        <v>0.5</v>
      </c>
      <c r="O22" s="2826">
        <v>2.85</v>
      </c>
      <c r="P22" s="2826">
        <v>3.05</v>
      </c>
      <c r="Q22" s="2826">
        <v>3.25</v>
      </c>
      <c r="R22" s="2826">
        <v>4.1500000000000004</v>
      </c>
      <c r="S22" s="2826">
        <v>4.75</v>
      </c>
      <c r="T22" s="2826">
        <v>5.25</v>
      </c>
      <c r="U22" s="2826">
        <v>2.85</v>
      </c>
      <c r="V22" s="2826">
        <v>3.05</v>
      </c>
      <c r="W22" s="2826">
        <v>3.25</v>
      </c>
      <c r="X22" s="2826">
        <v>1.31</v>
      </c>
      <c r="Y22" s="2826">
        <v>0.95</v>
      </c>
      <c r="Z22" s="2826">
        <v>1.49</v>
      </c>
    </row>
    <row r="23" spans="2:26">
      <c r="B23" s="2826"/>
      <c r="C23" s="2827">
        <v>40583</v>
      </c>
      <c r="D23" s="2826">
        <v>5.6</v>
      </c>
      <c r="E23" s="2826">
        <v>6.06</v>
      </c>
      <c r="F23" s="2826">
        <v>6.1</v>
      </c>
      <c r="G23" s="2826">
        <v>6.45</v>
      </c>
      <c r="H23" s="2826">
        <v>6.6</v>
      </c>
      <c r="I23" s="2826">
        <v>4</v>
      </c>
      <c r="J23" s="2826">
        <v>4.5</v>
      </c>
      <c r="L23" s="2826"/>
      <c r="M23" s="2827">
        <v>40583</v>
      </c>
      <c r="N23" s="2826">
        <v>0.4</v>
      </c>
      <c r="O23" s="2826">
        <v>2.6</v>
      </c>
      <c r="P23" s="2826">
        <v>2.8</v>
      </c>
      <c r="Q23" s="2826">
        <v>3</v>
      </c>
      <c r="R23" s="2826">
        <v>3.9</v>
      </c>
      <c r="S23" s="2826">
        <v>4.5</v>
      </c>
      <c r="T23" s="2826">
        <v>5</v>
      </c>
      <c r="U23" s="2826">
        <v>2.6</v>
      </c>
      <c r="V23" s="2826">
        <v>2.8</v>
      </c>
      <c r="W23" s="2826">
        <v>3</v>
      </c>
      <c r="X23" s="2826">
        <v>1.21</v>
      </c>
      <c r="Y23" s="2826">
        <v>0.85</v>
      </c>
      <c r="Z23" s="2826">
        <v>1.39</v>
      </c>
    </row>
    <row r="24" spans="2:26">
      <c r="B24" s="2826"/>
      <c r="C24" s="2827">
        <v>40538</v>
      </c>
      <c r="D24" s="2826">
        <v>5.35</v>
      </c>
      <c r="E24" s="2826">
        <v>5.81</v>
      </c>
      <c r="F24" s="2826">
        <v>5.85</v>
      </c>
      <c r="G24" s="2826">
        <v>6.22</v>
      </c>
      <c r="H24" s="2826">
        <v>6.4</v>
      </c>
      <c r="I24" s="2826">
        <v>3.75</v>
      </c>
      <c r="J24" s="2826">
        <v>4.3</v>
      </c>
      <c r="L24" s="2826"/>
      <c r="M24" s="2827">
        <v>40538</v>
      </c>
      <c r="N24" s="2826">
        <v>0.36</v>
      </c>
      <c r="O24" s="2826">
        <v>2.25</v>
      </c>
      <c r="P24" s="2826">
        <v>2.5</v>
      </c>
      <c r="Q24" s="2826">
        <v>2.75</v>
      </c>
      <c r="R24" s="2826">
        <v>3.55</v>
      </c>
      <c r="S24" s="2826">
        <v>4.1500000000000004</v>
      </c>
      <c r="T24" s="2826">
        <v>4.55</v>
      </c>
      <c r="U24" s="2826">
        <v>2.16</v>
      </c>
      <c r="V24" s="2826">
        <v>2.5</v>
      </c>
      <c r="W24" s="2826">
        <v>2.85</v>
      </c>
      <c r="X24" s="2826">
        <v>1.17</v>
      </c>
      <c r="Y24" s="2826">
        <v>0.81</v>
      </c>
      <c r="Z24" s="2826">
        <v>1.35</v>
      </c>
    </row>
    <row r="25" spans="2:26">
      <c r="B25" s="2826"/>
      <c r="C25" s="2827">
        <v>40471</v>
      </c>
      <c r="D25" s="2826">
        <v>5.0999999999999996</v>
      </c>
      <c r="E25" s="2826">
        <v>5.56</v>
      </c>
      <c r="F25" s="2826">
        <v>5.6</v>
      </c>
      <c r="G25" s="2826">
        <v>5.96</v>
      </c>
      <c r="H25" s="2826">
        <v>6.14</v>
      </c>
      <c r="I25" s="2826">
        <v>3.5</v>
      </c>
      <c r="J25" s="2826">
        <v>4.05</v>
      </c>
      <c r="L25" s="2826"/>
      <c r="M25" s="2827">
        <v>40471</v>
      </c>
      <c r="N25" s="2826">
        <v>0.36</v>
      </c>
      <c r="O25" s="2826">
        <v>1.91</v>
      </c>
      <c r="P25" s="2826">
        <v>2.2000000000000002</v>
      </c>
      <c r="Q25" s="2826">
        <v>2.5</v>
      </c>
      <c r="R25" s="2826">
        <v>3.25</v>
      </c>
      <c r="S25" s="2826">
        <v>3.85</v>
      </c>
      <c r="T25" s="2826">
        <v>4.2</v>
      </c>
      <c r="U25" s="2826">
        <v>1.91</v>
      </c>
      <c r="V25" s="2826">
        <v>2.2000000000000002</v>
      </c>
      <c r="W25" s="2826">
        <v>2.5</v>
      </c>
      <c r="X25" s="2826">
        <v>1.17</v>
      </c>
      <c r="Y25" s="2826">
        <v>0.81</v>
      </c>
      <c r="Z25" s="2826">
        <v>1.35</v>
      </c>
    </row>
    <row r="26" spans="2:26">
      <c r="B26" s="2826"/>
      <c r="C26" s="2827">
        <v>39805</v>
      </c>
      <c r="D26" s="2826">
        <v>4.8600000000000003</v>
      </c>
      <c r="E26" s="2826">
        <v>5.31</v>
      </c>
      <c r="F26" s="2826">
        <v>5.4</v>
      </c>
      <c r="G26" s="2826">
        <v>5.76</v>
      </c>
      <c r="H26" s="2826">
        <v>5.94</v>
      </c>
      <c r="I26" s="2826">
        <v>3.33</v>
      </c>
      <c r="J26" s="2826">
        <v>3.87</v>
      </c>
      <c r="L26" s="2826"/>
      <c r="M26" s="2827">
        <v>39805</v>
      </c>
      <c r="N26" s="2826">
        <v>0.36</v>
      </c>
      <c r="O26" s="2826">
        <v>1.71</v>
      </c>
      <c r="P26" s="2826">
        <v>1.98</v>
      </c>
      <c r="Q26" s="2826">
        <v>2.25</v>
      </c>
      <c r="R26" s="2826">
        <v>2.79</v>
      </c>
      <c r="S26" s="2826">
        <v>3.33</v>
      </c>
      <c r="T26" s="2826">
        <v>3.6</v>
      </c>
      <c r="U26" s="2826">
        <v>1.71</v>
      </c>
      <c r="V26" s="2826">
        <v>1.98</v>
      </c>
      <c r="W26" s="2826">
        <v>2.25</v>
      </c>
      <c r="X26" s="2826">
        <v>1.17</v>
      </c>
      <c r="Y26" s="2826">
        <v>0.81</v>
      </c>
      <c r="Z26" s="2826">
        <v>1.35</v>
      </c>
    </row>
    <row r="27" spans="2:26">
      <c r="B27" s="2826"/>
      <c r="C27" s="2827">
        <v>39779</v>
      </c>
      <c r="D27" s="2826">
        <v>5.04</v>
      </c>
      <c r="E27" s="2826">
        <v>5.58</v>
      </c>
      <c r="F27" s="2826">
        <v>5.67</v>
      </c>
      <c r="G27" s="2826">
        <v>5.94</v>
      </c>
      <c r="H27" s="2826">
        <v>6.12</v>
      </c>
      <c r="I27" s="2826">
        <v>3.51</v>
      </c>
      <c r="J27" s="2826">
        <v>4.05</v>
      </c>
      <c r="L27" s="2826"/>
      <c r="M27" s="2827">
        <v>39779</v>
      </c>
      <c r="N27" s="2826">
        <v>0.36</v>
      </c>
      <c r="O27" s="2826">
        <v>1.98</v>
      </c>
      <c r="P27" s="2826">
        <v>2.25</v>
      </c>
      <c r="Q27" s="2826">
        <v>2.52</v>
      </c>
      <c r="R27" s="2826">
        <v>3.06</v>
      </c>
      <c r="S27" s="2826">
        <v>3.6</v>
      </c>
      <c r="T27" s="2826">
        <v>3.87</v>
      </c>
      <c r="U27" s="2826">
        <v>1.98</v>
      </c>
      <c r="V27" s="2826">
        <v>2.25</v>
      </c>
      <c r="W27" s="2826">
        <v>2.52</v>
      </c>
      <c r="X27" s="2826">
        <v>1.17</v>
      </c>
      <c r="Y27" s="2826">
        <v>0.81</v>
      </c>
      <c r="Z27" s="2826">
        <v>1.35</v>
      </c>
    </row>
    <row r="28" spans="2:26">
      <c r="B28" s="2826"/>
      <c r="C28" s="2827">
        <v>39751</v>
      </c>
      <c r="D28" s="2826">
        <v>6.03</v>
      </c>
      <c r="E28" s="2826">
        <v>6.66</v>
      </c>
      <c r="F28" s="2826">
        <v>6.75</v>
      </c>
      <c r="G28" s="2826">
        <v>7.02</v>
      </c>
      <c r="H28" s="2826">
        <v>7.2</v>
      </c>
      <c r="I28" s="2826">
        <v>4.05</v>
      </c>
      <c r="J28" s="2826">
        <v>4.59</v>
      </c>
      <c r="L28" s="2826"/>
      <c r="M28" s="2827">
        <v>39751</v>
      </c>
      <c r="N28" s="2826">
        <v>0.72</v>
      </c>
      <c r="O28" s="2826">
        <v>2.88</v>
      </c>
      <c r="P28" s="2826">
        <v>3.24</v>
      </c>
      <c r="Q28" s="2826">
        <v>3.6</v>
      </c>
      <c r="R28" s="2826">
        <v>4.1399999999999997</v>
      </c>
      <c r="S28" s="2826">
        <v>4.7699999999999996</v>
      </c>
      <c r="T28" s="2826">
        <v>5.13</v>
      </c>
      <c r="U28" s="2826">
        <v>2.88</v>
      </c>
      <c r="V28" s="2826">
        <v>3.24</v>
      </c>
      <c r="W28" s="2826">
        <v>3.6</v>
      </c>
      <c r="X28" s="2826">
        <v>1.53</v>
      </c>
      <c r="Y28" s="2826">
        <v>1.17</v>
      </c>
      <c r="Z28" s="2826">
        <v>1.71</v>
      </c>
    </row>
    <row r="29" spans="2:26">
      <c r="B29" s="2826"/>
      <c r="C29" s="2829">
        <v>39748</v>
      </c>
      <c r="D29" s="2826">
        <v>6.12</v>
      </c>
      <c r="E29" s="2826">
        <v>6.93</v>
      </c>
      <c r="F29" s="2826">
        <v>7.02</v>
      </c>
      <c r="G29" s="2826">
        <v>7.29</v>
      </c>
      <c r="H29" s="2826">
        <v>7.47</v>
      </c>
      <c r="I29" s="2826">
        <v>4.05</v>
      </c>
      <c r="J29" s="2826">
        <v>4.59</v>
      </c>
      <c r="L29" s="2826"/>
      <c r="M29" s="2829">
        <v>39736</v>
      </c>
      <c r="N29" s="2826">
        <v>0.72</v>
      </c>
      <c r="O29" s="2826">
        <v>3.15</v>
      </c>
      <c r="P29" s="2826">
        <v>3.51</v>
      </c>
      <c r="Q29" s="2826">
        <v>3.87</v>
      </c>
      <c r="R29" s="2826">
        <v>4.41</v>
      </c>
      <c r="S29" s="2826">
        <v>5.13</v>
      </c>
      <c r="T29" s="2826">
        <v>5.58</v>
      </c>
      <c r="U29" s="2826">
        <v>3.15</v>
      </c>
      <c r="V29" s="2826">
        <v>3.51</v>
      </c>
      <c r="W29" s="2826">
        <v>3.87</v>
      </c>
      <c r="X29" s="2826">
        <v>1.53</v>
      </c>
      <c r="Y29" s="2826">
        <v>1.17</v>
      </c>
      <c r="Z29" s="2826">
        <v>1.71</v>
      </c>
    </row>
    <row r="30" spans="2:26">
      <c r="B30" s="2826"/>
      <c r="C30" s="2827">
        <v>39730</v>
      </c>
      <c r="D30" s="2826">
        <v>6.12</v>
      </c>
      <c r="E30" s="2826">
        <v>6.93</v>
      </c>
      <c r="F30" s="2826">
        <v>7.02</v>
      </c>
      <c r="G30" s="2826">
        <v>7.29</v>
      </c>
      <c r="H30" s="2826">
        <v>7.47</v>
      </c>
      <c r="I30" s="2826">
        <v>4.32</v>
      </c>
      <c r="J30" s="2826">
        <v>4.8600000000000003</v>
      </c>
      <c r="L30" s="2826"/>
      <c r="M30" s="2827">
        <v>39730</v>
      </c>
      <c r="N30" s="2826">
        <v>0.72</v>
      </c>
      <c r="O30" s="2826">
        <v>3.15</v>
      </c>
      <c r="P30" s="2826">
        <v>3.51</v>
      </c>
      <c r="Q30" s="2826">
        <v>3.87</v>
      </c>
      <c r="R30" s="2826">
        <v>4.41</v>
      </c>
      <c r="S30" s="2826">
        <v>5.13</v>
      </c>
      <c r="T30" s="2826">
        <v>5.58</v>
      </c>
      <c r="U30" s="2826">
        <v>3.15</v>
      </c>
      <c r="V30" s="2826">
        <v>3.51</v>
      </c>
      <c r="W30" s="2826">
        <v>3.87</v>
      </c>
      <c r="X30" s="2826">
        <v>1.53</v>
      </c>
      <c r="Y30" s="2826">
        <v>1.17</v>
      </c>
      <c r="Z30" s="2826">
        <v>1.71</v>
      </c>
    </row>
    <row r="31" spans="2:26">
      <c r="B31" s="2826"/>
      <c r="C31" s="2827">
        <v>39707</v>
      </c>
      <c r="D31" s="2826">
        <v>6.21</v>
      </c>
      <c r="E31" s="2826">
        <v>7.2</v>
      </c>
      <c r="F31" s="2826">
        <v>7.29</v>
      </c>
      <c r="G31" s="2826">
        <v>7.56</v>
      </c>
      <c r="H31" s="2826">
        <v>7.74</v>
      </c>
      <c r="I31" s="2826">
        <v>4.59</v>
      </c>
      <c r="J31" s="2826">
        <v>5.13</v>
      </c>
      <c r="L31" s="2826"/>
      <c r="M31" s="2827">
        <v>39437</v>
      </c>
      <c r="N31" s="2826">
        <v>0.72</v>
      </c>
      <c r="O31" s="2826">
        <v>3.33</v>
      </c>
      <c r="P31" s="2826">
        <v>3.78</v>
      </c>
      <c r="Q31" s="2826">
        <v>4.1399999999999997</v>
      </c>
      <c r="R31" s="2826">
        <v>4.68</v>
      </c>
      <c r="S31" s="2826">
        <v>5.4</v>
      </c>
      <c r="T31" s="2826">
        <v>5.85</v>
      </c>
      <c r="U31" s="2826">
        <v>3.33</v>
      </c>
      <c r="V31" s="2826">
        <v>3.78</v>
      </c>
      <c r="W31" s="2826">
        <v>4.1399999999999997</v>
      </c>
      <c r="X31" s="2826">
        <v>1.53</v>
      </c>
      <c r="Y31" s="2826">
        <v>1.17</v>
      </c>
      <c r="Z31" s="2826">
        <v>1.71</v>
      </c>
    </row>
    <row r="32" spans="2:26">
      <c r="B32" s="2826"/>
      <c r="C32" s="2827">
        <v>39437</v>
      </c>
      <c r="D32" s="2826">
        <v>6.57</v>
      </c>
      <c r="E32" s="2826">
        <v>7.47</v>
      </c>
      <c r="F32" s="2826">
        <v>7.56</v>
      </c>
      <c r="G32" s="2826">
        <v>7.74</v>
      </c>
      <c r="H32" s="2826">
        <v>7.83</v>
      </c>
      <c r="I32" s="2826">
        <v>4.7699999999999996</v>
      </c>
      <c r="J32" s="2826">
        <v>5.22</v>
      </c>
      <c r="L32" s="2826"/>
      <c r="M32" s="2827">
        <v>39340</v>
      </c>
      <c r="N32" s="2826">
        <v>0.81</v>
      </c>
      <c r="O32" s="2826">
        <v>2.88</v>
      </c>
      <c r="P32" s="2826">
        <v>3.42</v>
      </c>
      <c r="Q32" s="2826">
        <v>3.87</v>
      </c>
      <c r="R32" s="2826">
        <v>4.5</v>
      </c>
      <c r="S32" s="2826">
        <v>5.22</v>
      </c>
      <c r="T32" s="2826">
        <v>5.76</v>
      </c>
      <c r="U32" s="2826">
        <v>2.88</v>
      </c>
      <c r="V32" s="2826">
        <v>3.42</v>
      </c>
      <c r="W32" s="2826">
        <v>3.87</v>
      </c>
      <c r="X32" s="2826">
        <v>1.53</v>
      </c>
      <c r="Y32" s="2826">
        <v>1.17</v>
      </c>
      <c r="Z32" s="2826">
        <v>1.71</v>
      </c>
    </row>
    <row r="33" spans="2:26">
      <c r="B33" s="2826"/>
      <c r="C33" s="2827">
        <v>39340</v>
      </c>
      <c r="D33" s="2826">
        <v>6.48</v>
      </c>
      <c r="E33" s="2826">
        <v>7.29</v>
      </c>
      <c r="F33" s="2826">
        <v>7.47</v>
      </c>
      <c r="G33" s="2826">
        <v>7.65</v>
      </c>
      <c r="H33" s="2826">
        <v>7.83</v>
      </c>
      <c r="I33" s="2826">
        <v>4.7699999999999996</v>
      </c>
      <c r="J33" s="2826">
        <v>5.22</v>
      </c>
      <c r="L33" s="2826"/>
      <c r="M33" s="2827">
        <v>39316</v>
      </c>
      <c r="N33" s="2826">
        <v>0.81</v>
      </c>
      <c r="O33" s="2826">
        <v>2.61</v>
      </c>
      <c r="P33" s="2826">
        <v>3.15</v>
      </c>
      <c r="Q33" s="2826">
        <v>3.6</v>
      </c>
      <c r="R33" s="2826">
        <v>4.2300000000000004</v>
      </c>
      <c r="S33" s="2826">
        <v>4.95</v>
      </c>
      <c r="T33" s="2826">
        <v>5.49</v>
      </c>
      <c r="U33" s="2826">
        <v>2.61</v>
      </c>
      <c r="V33" s="2826">
        <v>3.15</v>
      </c>
      <c r="W33" s="2826">
        <v>3.6</v>
      </c>
      <c r="X33" s="2826">
        <v>1.53</v>
      </c>
      <c r="Y33" s="2826">
        <v>1.17</v>
      </c>
      <c r="Z33" s="2826">
        <v>1.71</v>
      </c>
    </row>
    <row r="34" spans="2:26">
      <c r="B34" s="2826"/>
      <c r="C34" s="2827">
        <v>39316</v>
      </c>
      <c r="D34" s="2826">
        <v>6.21</v>
      </c>
      <c r="E34" s="2826">
        <v>7.02</v>
      </c>
      <c r="F34" s="2826">
        <v>7.2</v>
      </c>
      <c r="G34" s="2826">
        <v>7.38</v>
      </c>
      <c r="H34" s="2826">
        <v>7.56</v>
      </c>
      <c r="I34" s="2826">
        <v>4.59</v>
      </c>
      <c r="J34" s="2826">
        <v>5.04</v>
      </c>
      <c r="L34" s="2826"/>
      <c r="M34" s="2827">
        <v>39284</v>
      </c>
      <c r="N34" s="2826">
        <v>0.81</v>
      </c>
      <c r="O34" s="2826">
        <v>2.34</v>
      </c>
      <c r="P34" s="2826">
        <v>2.88</v>
      </c>
      <c r="Q34" s="2826">
        <v>3.33</v>
      </c>
      <c r="R34" s="2826">
        <v>3.96</v>
      </c>
      <c r="S34" s="2826">
        <v>4.68</v>
      </c>
      <c r="T34" s="2826">
        <v>5.22</v>
      </c>
      <c r="U34" s="2826">
        <v>2.34</v>
      </c>
      <c r="V34" s="2826">
        <v>2.88</v>
      </c>
      <c r="W34" s="2826">
        <v>3.33</v>
      </c>
      <c r="X34" s="2826">
        <v>1.53</v>
      </c>
      <c r="Y34" s="2826">
        <v>1.17</v>
      </c>
      <c r="Z34" s="2826">
        <v>1.71</v>
      </c>
    </row>
    <row r="35" spans="2:26">
      <c r="B35" s="2826"/>
      <c r="C35" s="2827">
        <v>39284</v>
      </c>
      <c r="D35" s="2826">
        <v>6.03</v>
      </c>
      <c r="E35" s="2826">
        <v>6.84</v>
      </c>
      <c r="F35" s="2826">
        <v>7.02</v>
      </c>
      <c r="G35" s="2826">
        <v>7.2</v>
      </c>
      <c r="H35" s="2826">
        <v>7.38</v>
      </c>
      <c r="I35" s="2826">
        <v>4.5</v>
      </c>
      <c r="J35" s="2826">
        <v>4.95</v>
      </c>
      <c r="L35" s="2826"/>
      <c r="M35" s="2827">
        <v>39221</v>
      </c>
      <c r="N35" s="2826">
        <v>0.72</v>
      </c>
      <c r="O35" s="2826">
        <v>2.0699999999999998</v>
      </c>
      <c r="P35" s="2826">
        <v>2.61</v>
      </c>
      <c r="Q35" s="2826">
        <v>3.06</v>
      </c>
      <c r="R35" s="2826">
        <v>3.69</v>
      </c>
      <c r="S35" s="2826">
        <v>4.41</v>
      </c>
      <c r="T35" s="2826">
        <v>4.95</v>
      </c>
      <c r="U35" s="2826">
        <v>2.0699999999999998</v>
      </c>
      <c r="V35" s="2826">
        <v>2.61</v>
      </c>
      <c r="W35" s="2826">
        <v>3.06</v>
      </c>
      <c r="X35" s="2826">
        <v>1.44</v>
      </c>
      <c r="Y35" s="2826">
        <v>1.08</v>
      </c>
      <c r="Z35" s="2826">
        <v>1.62</v>
      </c>
    </row>
    <row r="36" spans="2:26">
      <c r="B36" s="2826"/>
      <c r="C36" s="2827">
        <v>39221</v>
      </c>
      <c r="D36" s="2826">
        <v>5.85</v>
      </c>
      <c r="E36" s="2826">
        <v>6.57</v>
      </c>
      <c r="F36" s="2826">
        <v>6.75</v>
      </c>
      <c r="G36" s="2826">
        <v>6.93</v>
      </c>
      <c r="H36" s="2826">
        <v>7.2</v>
      </c>
      <c r="I36" s="2826">
        <v>4.41</v>
      </c>
      <c r="J36" s="2826">
        <v>4.8600000000000003</v>
      </c>
      <c r="L36" s="2826"/>
      <c r="M36" s="2827">
        <v>39159</v>
      </c>
      <c r="N36" s="2826">
        <v>0.72</v>
      </c>
      <c r="O36" s="2826">
        <v>1.98</v>
      </c>
      <c r="P36" s="2826">
        <v>2.4300000000000002</v>
      </c>
      <c r="Q36" s="2826">
        <v>2.79</v>
      </c>
      <c r="R36" s="2826">
        <v>3.33</v>
      </c>
      <c r="S36" s="2826">
        <v>3.96</v>
      </c>
      <c r="T36" s="2826">
        <v>4.41</v>
      </c>
      <c r="U36" s="2826">
        <v>1.98</v>
      </c>
      <c r="V36" s="2826">
        <v>2.4300000000000002</v>
      </c>
      <c r="W36" s="2826">
        <v>2.79</v>
      </c>
      <c r="X36" s="2826">
        <v>1.44</v>
      </c>
      <c r="Y36" s="2826">
        <v>1.08</v>
      </c>
      <c r="Z36" s="2826">
        <v>1.62</v>
      </c>
    </row>
    <row r="37" spans="2:26">
      <c r="B37" s="2826"/>
      <c r="C37" s="2827">
        <v>39159</v>
      </c>
      <c r="D37" s="2826">
        <v>5.67</v>
      </c>
      <c r="E37" s="2826">
        <v>6.39</v>
      </c>
      <c r="F37" s="2826">
        <v>6.57</v>
      </c>
      <c r="G37" s="2826">
        <v>6.75</v>
      </c>
      <c r="H37" s="2826">
        <v>7.11</v>
      </c>
      <c r="I37" s="2826">
        <v>4.32</v>
      </c>
      <c r="J37" s="2826">
        <v>4.7699999999999996</v>
      </c>
      <c r="L37" s="2826"/>
      <c r="M37" s="2827">
        <v>38948</v>
      </c>
      <c r="N37" s="2826">
        <v>0.72</v>
      </c>
      <c r="O37" s="2826">
        <v>1.8</v>
      </c>
      <c r="P37" s="2826">
        <v>2.25</v>
      </c>
      <c r="Q37" s="2826">
        <v>2.52</v>
      </c>
      <c r="R37" s="2826">
        <v>3.06</v>
      </c>
      <c r="S37" s="2826">
        <v>3.69</v>
      </c>
      <c r="T37" s="2826">
        <v>4.1399999999999997</v>
      </c>
      <c r="U37" s="2826">
        <v>1.8</v>
      </c>
      <c r="V37" s="2826">
        <v>2.25</v>
      </c>
      <c r="W37" s="2826">
        <v>2.52</v>
      </c>
      <c r="X37" s="2826">
        <v>1.44</v>
      </c>
      <c r="Y37" s="2826">
        <v>1.08</v>
      </c>
      <c r="Z37" s="2826">
        <v>1.62</v>
      </c>
    </row>
    <row r="38" spans="2:26">
      <c r="B38" s="2826"/>
      <c r="C38" s="2827">
        <v>38948</v>
      </c>
      <c r="D38" s="2826">
        <v>5.58</v>
      </c>
      <c r="E38" s="2826">
        <v>6.12</v>
      </c>
      <c r="F38" s="2826">
        <v>6.3</v>
      </c>
      <c r="G38" s="2826">
        <v>6.48</v>
      </c>
      <c r="H38" s="2826">
        <v>6.84</v>
      </c>
      <c r="I38" s="2826">
        <v>4.1399999999999997</v>
      </c>
      <c r="J38" s="2826">
        <v>4.59</v>
      </c>
      <c r="L38" s="2826"/>
      <c r="M38" s="2827">
        <v>38289</v>
      </c>
      <c r="N38" s="2826">
        <v>0.72</v>
      </c>
      <c r="O38" s="2826">
        <v>1.71</v>
      </c>
      <c r="P38" s="2826">
        <v>2.0699999999999998</v>
      </c>
      <c r="Q38" s="2826">
        <v>2.25</v>
      </c>
      <c r="R38" s="2826">
        <v>2.7</v>
      </c>
      <c r="S38" s="2826">
        <v>3.24</v>
      </c>
      <c r="T38" s="2826">
        <v>3.6</v>
      </c>
      <c r="U38" s="2826">
        <v>1.71</v>
      </c>
      <c r="V38" s="2826">
        <v>2.0699999999999998</v>
      </c>
      <c r="W38" s="2826">
        <v>2.25</v>
      </c>
      <c r="X38" s="2826">
        <v>1.44</v>
      </c>
      <c r="Y38" s="2826">
        <v>1.08</v>
      </c>
      <c r="Z38" s="2826">
        <v>1.62</v>
      </c>
    </row>
    <row r="39" spans="2:26">
      <c r="B39" s="2826"/>
      <c r="C39" s="2827">
        <v>38835</v>
      </c>
      <c r="D39" s="2826">
        <v>5.4</v>
      </c>
      <c r="E39" s="2826">
        <v>5.85</v>
      </c>
      <c r="F39" s="2826">
        <v>6.03</v>
      </c>
      <c r="G39" s="2826">
        <v>6.12</v>
      </c>
      <c r="H39" s="2826">
        <v>6.39</v>
      </c>
      <c r="I39" s="2826">
        <v>4.1399999999999997</v>
      </c>
      <c r="J39" s="2826">
        <v>4.59</v>
      </c>
      <c r="L39" s="2826"/>
      <c r="M39" s="2827">
        <v>37308</v>
      </c>
      <c r="N39" s="2826">
        <v>0.72</v>
      </c>
      <c r="O39" s="2826">
        <v>1.71</v>
      </c>
      <c r="P39" s="2826">
        <v>1.89</v>
      </c>
      <c r="Q39" s="2826">
        <v>1.98</v>
      </c>
      <c r="R39" s="2826">
        <v>2.25</v>
      </c>
      <c r="S39" s="2826">
        <v>2.52</v>
      </c>
      <c r="T39" s="2826">
        <v>2.79</v>
      </c>
      <c r="U39" s="2826">
        <v>1.71</v>
      </c>
      <c r="V39" s="2826">
        <v>1.89</v>
      </c>
      <c r="W39" s="2826">
        <v>1.98</v>
      </c>
      <c r="X39" s="2826">
        <v>1.44</v>
      </c>
      <c r="Y39" s="2826">
        <v>1.08</v>
      </c>
      <c r="Z39" s="2826">
        <v>1.62</v>
      </c>
    </row>
    <row r="40" spans="2:26">
      <c r="B40" s="2826"/>
      <c r="C40" s="2827">
        <v>38428</v>
      </c>
      <c r="D40" s="2826">
        <v>5.22</v>
      </c>
      <c r="E40" s="2826">
        <v>5.58</v>
      </c>
      <c r="F40" s="2826">
        <v>5.76</v>
      </c>
      <c r="G40" s="2826">
        <v>5.85</v>
      </c>
      <c r="H40" s="2826">
        <v>6.12</v>
      </c>
      <c r="I40" s="2826">
        <v>3.96</v>
      </c>
      <c r="J40" s="2826">
        <v>4.41</v>
      </c>
      <c r="L40" s="2826"/>
      <c r="M40" s="2827">
        <v>36321</v>
      </c>
      <c r="N40" s="2826">
        <v>0.99</v>
      </c>
      <c r="O40" s="2826">
        <v>1.98</v>
      </c>
      <c r="P40" s="2826">
        <v>2.16</v>
      </c>
      <c r="Q40" s="2826">
        <v>2.25</v>
      </c>
      <c r="R40" s="2826">
        <v>2.4300000000000002</v>
      </c>
      <c r="S40" s="2826">
        <v>2.7</v>
      </c>
      <c r="T40" s="2826">
        <v>2.88</v>
      </c>
      <c r="U40" s="2826">
        <v>1.98</v>
      </c>
      <c r="V40" s="2826">
        <v>2.16</v>
      </c>
      <c r="W40" s="2826">
        <v>2.25</v>
      </c>
      <c r="X40" s="2826">
        <v>1.71</v>
      </c>
      <c r="Y40" s="2826">
        <v>1.35</v>
      </c>
      <c r="Z40" s="2826">
        <v>1.89</v>
      </c>
    </row>
    <row r="41" spans="2:26">
      <c r="B41" s="2826"/>
      <c r="C41" s="2827">
        <v>38289</v>
      </c>
      <c r="D41" s="2826">
        <v>5.22</v>
      </c>
      <c r="E41" s="2826">
        <v>5.58</v>
      </c>
      <c r="F41" s="2826">
        <v>5.76</v>
      </c>
      <c r="G41" s="2826">
        <v>5.85</v>
      </c>
      <c r="H41" s="2826">
        <v>6.12</v>
      </c>
      <c r="I41" s="2826">
        <v>3.78</v>
      </c>
      <c r="J41" s="2826">
        <v>4.2300000000000004</v>
      </c>
      <c r="L41" s="2826"/>
      <c r="M41" s="2827">
        <v>36136</v>
      </c>
      <c r="N41" s="2826">
        <v>1.44</v>
      </c>
      <c r="O41" s="2826">
        <v>2.79</v>
      </c>
      <c r="P41" s="2826">
        <v>3.33</v>
      </c>
      <c r="Q41" s="2826">
        <v>3.78</v>
      </c>
      <c r="R41" s="2826">
        <v>3.96</v>
      </c>
      <c r="S41" s="2826">
        <v>4.1399999999999997</v>
      </c>
      <c r="T41" s="2826">
        <v>4.5</v>
      </c>
      <c r="U41" s="2826">
        <v>3.33</v>
      </c>
      <c r="V41" s="2826">
        <v>3.78</v>
      </c>
      <c r="W41" s="2826">
        <v>4.1399999999999997</v>
      </c>
      <c r="X41" s="2826">
        <v>2.16</v>
      </c>
      <c r="Y41" s="2826">
        <v>1.8</v>
      </c>
      <c r="Z41" s="2826">
        <v>2.34</v>
      </c>
    </row>
    <row r="42" spans="2:26">
      <c r="B42" s="2826"/>
      <c r="C42" s="2827">
        <v>37308</v>
      </c>
      <c r="D42" s="2826">
        <v>5.04</v>
      </c>
      <c r="E42" s="2826">
        <v>5.31</v>
      </c>
      <c r="F42" s="2826">
        <v>5.49</v>
      </c>
      <c r="G42" s="2826">
        <v>5.58</v>
      </c>
      <c r="H42" s="2826">
        <v>5.76</v>
      </c>
      <c r="I42" s="2826">
        <v>3.6</v>
      </c>
      <c r="J42" s="2826">
        <v>4.05</v>
      </c>
      <c r="L42" s="2826"/>
      <c r="M42" s="2827">
        <v>35977</v>
      </c>
      <c r="N42" s="2826">
        <v>1.44</v>
      </c>
      <c r="O42" s="2826">
        <v>2.79</v>
      </c>
      <c r="P42" s="2826">
        <v>3.96</v>
      </c>
      <c r="Q42" s="2826">
        <v>4.7699999999999996</v>
      </c>
      <c r="R42" s="2826">
        <v>4.8600000000000003</v>
      </c>
      <c r="S42" s="2826">
        <v>4.95</v>
      </c>
      <c r="T42" s="2826">
        <v>5.22</v>
      </c>
      <c r="U42" s="2826">
        <v>3.96</v>
      </c>
      <c r="V42" s="2826">
        <v>4.7699999999999996</v>
      </c>
      <c r="W42" s="2826">
        <v>4.95</v>
      </c>
      <c r="X42" s="2826" t="s">
        <v>2808</v>
      </c>
      <c r="Y42" s="2826" t="s">
        <v>2808</v>
      </c>
      <c r="Z42" s="2826" t="s">
        <v>2808</v>
      </c>
    </row>
    <row r="43" spans="2:26">
      <c r="B43" s="2826"/>
      <c r="C43" s="2827">
        <v>36321</v>
      </c>
      <c r="D43" s="2826">
        <v>5.58</v>
      </c>
      <c r="E43" s="2826">
        <v>5.85</v>
      </c>
      <c r="F43" s="2826">
        <v>5.94</v>
      </c>
      <c r="G43" s="2826">
        <v>6.03</v>
      </c>
      <c r="H43" s="2826">
        <v>6.21</v>
      </c>
      <c r="I43" s="2826">
        <v>4.1399999999999997</v>
      </c>
      <c r="J43" s="2826">
        <v>4.59</v>
      </c>
      <c r="L43" s="2826"/>
      <c r="M43" s="2827">
        <v>35879</v>
      </c>
      <c r="N43" s="2826">
        <v>1.71</v>
      </c>
      <c r="O43" s="2826">
        <v>2.88</v>
      </c>
      <c r="P43" s="2826">
        <v>4.1399999999999997</v>
      </c>
      <c r="Q43" s="2826">
        <v>5.22</v>
      </c>
      <c r="R43" s="2826">
        <v>5.58</v>
      </c>
      <c r="S43" s="2826">
        <v>6.21</v>
      </c>
      <c r="T43" s="2826">
        <v>6.66</v>
      </c>
      <c r="U43" s="2826">
        <v>4.1399999999999997</v>
      </c>
      <c r="V43" s="2826">
        <v>5.22</v>
      </c>
      <c r="W43" s="2826">
        <v>6.21</v>
      </c>
      <c r="X43" s="2826" t="s">
        <v>2808</v>
      </c>
      <c r="Y43" s="2826" t="s">
        <v>2808</v>
      </c>
      <c r="Z43" s="2826" t="s">
        <v>2808</v>
      </c>
    </row>
    <row r="44" spans="2:26">
      <c r="B44" s="2826"/>
      <c r="C44" s="2827">
        <v>36136</v>
      </c>
      <c r="D44" s="2826">
        <v>6.12</v>
      </c>
      <c r="E44" s="2826">
        <v>6.39</v>
      </c>
      <c r="F44" s="2826">
        <v>6.66</v>
      </c>
      <c r="G44" s="2826">
        <v>7.2</v>
      </c>
      <c r="H44" s="2826">
        <v>7.56</v>
      </c>
      <c r="I44" s="2826">
        <v>0</v>
      </c>
      <c r="J44" s="2826">
        <v>0</v>
      </c>
      <c r="L44" s="2826"/>
      <c r="M44" s="2827">
        <v>35726</v>
      </c>
      <c r="N44" s="2826">
        <v>1.71</v>
      </c>
      <c r="O44" s="2826">
        <v>2.88</v>
      </c>
      <c r="P44" s="2826">
        <v>4.1399999999999997</v>
      </c>
      <c r="Q44" s="2826">
        <v>5.67</v>
      </c>
      <c r="R44" s="2826">
        <v>5.94</v>
      </c>
      <c r="S44" s="2826">
        <v>6.21</v>
      </c>
      <c r="T44" s="2826">
        <v>6.66</v>
      </c>
      <c r="U44" s="2826">
        <v>4.1399999999999997</v>
      </c>
      <c r="V44" s="2826">
        <v>5.67</v>
      </c>
      <c r="W44" s="2826">
        <v>6.21</v>
      </c>
      <c r="X44" s="2826" t="s">
        <v>2808</v>
      </c>
      <c r="Y44" s="2826" t="s">
        <v>2808</v>
      </c>
      <c r="Z44" s="2826" t="s">
        <v>2808</v>
      </c>
    </row>
    <row r="45" spans="2:26">
      <c r="B45" s="2826"/>
      <c r="C45" s="2827">
        <v>35977</v>
      </c>
      <c r="D45" s="2826">
        <v>6.57</v>
      </c>
      <c r="E45" s="2826">
        <v>6.93</v>
      </c>
      <c r="F45" s="2826">
        <v>7.11</v>
      </c>
      <c r="G45" s="2826">
        <v>7.65</v>
      </c>
      <c r="H45" s="2826">
        <v>8.01</v>
      </c>
      <c r="I45" s="2826">
        <v>0</v>
      </c>
      <c r="J45" s="2826">
        <v>0</v>
      </c>
      <c r="L45" s="2826"/>
      <c r="M45" s="2827">
        <v>35300</v>
      </c>
      <c r="N45" s="2826">
        <v>1.98</v>
      </c>
      <c r="O45" s="2826">
        <v>3.33</v>
      </c>
      <c r="P45" s="2826">
        <v>5.4</v>
      </c>
      <c r="Q45" s="2826">
        <v>7.47</v>
      </c>
      <c r="R45" s="2826">
        <v>7.92</v>
      </c>
      <c r="S45" s="2826">
        <v>8.2799999999999994</v>
      </c>
      <c r="T45" s="2826">
        <v>9</v>
      </c>
      <c r="U45" s="2826">
        <v>5.4</v>
      </c>
      <c r="V45" s="2826">
        <v>7.47</v>
      </c>
      <c r="W45" s="2826">
        <v>8.2799999999999994</v>
      </c>
      <c r="X45" s="2826" t="s">
        <v>2808</v>
      </c>
      <c r="Y45" s="2826" t="s">
        <v>2808</v>
      </c>
      <c r="Z45" s="2826" t="s">
        <v>2808</v>
      </c>
    </row>
    <row r="46" spans="2:26">
      <c r="B46" s="2826"/>
      <c r="C46" s="2827">
        <v>35879</v>
      </c>
      <c r="D46" s="2826">
        <v>7.02</v>
      </c>
      <c r="E46" s="2826">
        <v>7.92</v>
      </c>
      <c r="F46" s="2826">
        <v>9</v>
      </c>
      <c r="G46" s="2826">
        <v>9.7200000000000006</v>
      </c>
      <c r="H46" s="2826">
        <v>10.35</v>
      </c>
      <c r="I46" s="2826">
        <v>0</v>
      </c>
      <c r="J46" s="2826">
        <v>0</v>
      </c>
      <c r="L46" s="2826"/>
      <c r="M46" s="2827">
        <v>35186</v>
      </c>
      <c r="N46" s="2826">
        <v>2.97</v>
      </c>
      <c r="O46" s="2826">
        <v>4.8600000000000003</v>
      </c>
      <c r="P46" s="2826">
        <v>7.2</v>
      </c>
      <c r="Q46" s="2826">
        <v>9.18</v>
      </c>
      <c r="R46" s="2826">
        <v>9.9</v>
      </c>
      <c r="S46" s="2826">
        <v>10.8</v>
      </c>
      <c r="T46" s="2826">
        <v>12.06</v>
      </c>
      <c r="U46" s="2826">
        <v>7.2</v>
      </c>
      <c r="V46" s="2826">
        <v>9.18</v>
      </c>
      <c r="W46" s="2826">
        <v>10.8</v>
      </c>
      <c r="X46" s="2826" t="s">
        <v>2808</v>
      </c>
      <c r="Y46" s="2826" t="s">
        <v>2808</v>
      </c>
      <c r="Z46" s="2826" t="s">
        <v>2808</v>
      </c>
    </row>
    <row r="47" spans="2:26">
      <c r="B47" s="2826"/>
      <c r="C47" s="2827">
        <v>35726</v>
      </c>
      <c r="D47" s="2826">
        <v>7.65</v>
      </c>
      <c r="E47" s="2826">
        <v>8.64</v>
      </c>
      <c r="F47" s="2826">
        <v>9.36</v>
      </c>
      <c r="G47" s="2826">
        <v>9.9</v>
      </c>
      <c r="H47" s="2826">
        <v>10.53</v>
      </c>
      <c r="I47" s="2826">
        <v>0</v>
      </c>
      <c r="J47" s="2826">
        <v>0</v>
      </c>
      <c r="L47" s="2826"/>
      <c r="M47" s="2827">
        <v>34161</v>
      </c>
      <c r="N47" s="2826">
        <v>3.15</v>
      </c>
      <c r="O47" s="2826">
        <v>6.66</v>
      </c>
      <c r="P47" s="2826">
        <v>9</v>
      </c>
      <c r="Q47" s="2826">
        <v>10.98</v>
      </c>
      <c r="R47" s="2826">
        <v>11.7</v>
      </c>
      <c r="S47" s="2826">
        <v>12.24</v>
      </c>
      <c r="T47" s="2826">
        <v>13.86</v>
      </c>
      <c r="U47" s="2826">
        <v>9</v>
      </c>
      <c r="V47" s="2826">
        <v>10.98</v>
      </c>
      <c r="W47" s="2826">
        <v>12.24</v>
      </c>
      <c r="X47" s="2826" t="s">
        <v>2808</v>
      </c>
      <c r="Y47" s="2826" t="s">
        <v>2808</v>
      </c>
      <c r="Z47" s="2826" t="s">
        <v>2808</v>
      </c>
    </row>
    <row r="48" spans="2:26">
      <c r="B48" s="2826"/>
      <c r="C48" s="2827">
        <v>35300</v>
      </c>
      <c r="D48" s="2826">
        <v>9.18</v>
      </c>
      <c r="E48" s="2826">
        <v>10.08</v>
      </c>
      <c r="F48" s="2826">
        <v>10.98</v>
      </c>
      <c r="G48" s="2826">
        <v>11.7</v>
      </c>
      <c r="H48" s="2826">
        <v>12.42</v>
      </c>
      <c r="I48" s="2826">
        <v>0</v>
      </c>
      <c r="J48" s="2826">
        <v>0</v>
      </c>
      <c r="L48" s="2826"/>
      <c r="M48" s="2827">
        <v>34104</v>
      </c>
      <c r="N48" s="2826">
        <v>2.16</v>
      </c>
      <c r="O48" s="2826">
        <v>4.8600000000000003</v>
      </c>
      <c r="P48" s="2826">
        <v>7.2</v>
      </c>
      <c r="Q48" s="2826">
        <v>9.18</v>
      </c>
      <c r="R48" s="2826">
        <v>9.9</v>
      </c>
      <c r="S48" s="2826">
        <v>10.8</v>
      </c>
      <c r="T48" s="2826">
        <v>12.06</v>
      </c>
      <c r="U48" s="2826">
        <v>7.2</v>
      </c>
      <c r="V48" s="2826">
        <v>9.18</v>
      </c>
      <c r="W48" s="2826">
        <v>10.8</v>
      </c>
      <c r="X48" s="2826" t="s">
        <v>2808</v>
      </c>
      <c r="Y48" s="2826" t="s">
        <v>2808</v>
      </c>
      <c r="Z48" s="2826" t="s">
        <v>2808</v>
      </c>
    </row>
    <row r="49" spans="2:26">
      <c r="B49" s="2826"/>
      <c r="C49" s="2827">
        <v>35186</v>
      </c>
      <c r="D49" s="2826">
        <v>9.7200000000000006</v>
      </c>
      <c r="E49" s="2826">
        <v>10.98</v>
      </c>
      <c r="F49" s="2826">
        <v>13.14</v>
      </c>
      <c r="G49" s="2826">
        <v>14.94</v>
      </c>
      <c r="H49" s="2826">
        <v>15.12</v>
      </c>
      <c r="I49" s="2826">
        <v>0</v>
      </c>
      <c r="J49" s="2826">
        <v>0</v>
      </c>
      <c r="L49" s="2826"/>
      <c r="M49" s="2827">
        <v>33349</v>
      </c>
      <c r="N49" s="2826">
        <v>1.8</v>
      </c>
      <c r="O49" s="2826">
        <v>3.24</v>
      </c>
      <c r="P49" s="2826">
        <v>5.4</v>
      </c>
      <c r="Q49" s="2826">
        <v>7.56</v>
      </c>
      <c r="R49" s="2826">
        <v>7.92</v>
      </c>
      <c r="S49" s="2826">
        <v>8.2799999999999994</v>
      </c>
      <c r="T49" s="2826">
        <v>9</v>
      </c>
      <c r="U49" s="2826">
        <v>6.12</v>
      </c>
      <c r="V49" s="2826">
        <v>6.84</v>
      </c>
      <c r="W49" s="2826">
        <v>7.56</v>
      </c>
      <c r="X49" s="2826" t="s">
        <v>2808</v>
      </c>
      <c r="Y49" s="2826" t="s">
        <v>2808</v>
      </c>
      <c r="Z49" s="2826" t="s">
        <v>2808</v>
      </c>
    </row>
    <row r="50" spans="2:26">
      <c r="B50" s="2826"/>
      <c r="C50" s="2827">
        <v>34881</v>
      </c>
      <c r="D50" s="2826">
        <v>10.08</v>
      </c>
      <c r="E50" s="2826">
        <v>12.06</v>
      </c>
      <c r="F50" s="2826">
        <v>13.5</v>
      </c>
      <c r="G50" s="2826">
        <v>15.12</v>
      </c>
      <c r="H50" s="2826">
        <v>15.3</v>
      </c>
      <c r="I50" s="2826">
        <v>0</v>
      </c>
      <c r="J50" s="2826">
        <v>0</v>
      </c>
      <c r="L50" s="2826"/>
      <c r="M50" s="2827">
        <v>33106</v>
      </c>
      <c r="N50" s="2826">
        <v>2.16</v>
      </c>
      <c r="O50" s="2826">
        <v>4.32</v>
      </c>
      <c r="P50" s="2826">
        <v>6.48</v>
      </c>
      <c r="Q50" s="2826">
        <v>8.64</v>
      </c>
      <c r="R50" s="2826">
        <v>9.36</v>
      </c>
      <c r="S50" s="2826">
        <v>10.08</v>
      </c>
      <c r="T50" s="2826">
        <v>11.52</v>
      </c>
      <c r="U50" s="2826">
        <v>7.2</v>
      </c>
      <c r="V50" s="2826">
        <v>8.64</v>
      </c>
      <c r="W50" s="2826">
        <v>10.08</v>
      </c>
      <c r="X50" s="2826" t="s">
        <v>2808</v>
      </c>
      <c r="Y50" s="2826" t="s">
        <v>2808</v>
      </c>
      <c r="Z50" s="2826" t="s">
        <v>2808</v>
      </c>
    </row>
    <row r="51" spans="2:26">
      <c r="B51" s="2826"/>
      <c r="C51" s="2827">
        <v>34700</v>
      </c>
      <c r="D51" s="2826">
        <v>9</v>
      </c>
      <c r="E51" s="2826">
        <v>10.98</v>
      </c>
      <c r="F51" s="2826">
        <v>12.96</v>
      </c>
      <c r="G51" s="2826">
        <v>14.58</v>
      </c>
      <c r="H51" s="2826">
        <v>14.76</v>
      </c>
      <c r="I51" s="2826">
        <v>0</v>
      </c>
      <c r="J51" s="2826">
        <v>0</v>
      </c>
      <c r="L51" s="2826"/>
      <c r="M51" s="2827">
        <v>32978</v>
      </c>
      <c r="N51" s="2826">
        <v>2.88</v>
      </c>
      <c r="O51" s="2826">
        <v>6.3</v>
      </c>
      <c r="P51" s="2826">
        <v>7.74</v>
      </c>
      <c r="Q51" s="2826">
        <v>10.08</v>
      </c>
      <c r="R51" s="2826">
        <v>10.98</v>
      </c>
      <c r="S51" s="2826">
        <v>11.88</v>
      </c>
      <c r="T51" s="2826">
        <v>13.68</v>
      </c>
      <c r="U51" s="2826" t="s">
        <v>2808</v>
      </c>
      <c r="V51" s="2826" t="s">
        <v>2808</v>
      </c>
      <c r="W51" s="2826" t="s">
        <v>2808</v>
      </c>
      <c r="X51" s="2826" t="s">
        <v>2808</v>
      </c>
      <c r="Y51" s="2826" t="s">
        <v>2808</v>
      </c>
      <c r="Z51" s="2826" t="s">
        <v>2808</v>
      </c>
    </row>
    <row r="52" spans="2:26">
      <c r="B52" s="2826"/>
      <c r="C52" s="2827">
        <v>34161</v>
      </c>
      <c r="D52" s="2826">
        <v>9</v>
      </c>
      <c r="E52" s="2826">
        <v>10.98</v>
      </c>
      <c r="F52" s="2826">
        <v>12.24</v>
      </c>
      <c r="G52" s="2826">
        <v>13.86</v>
      </c>
      <c r="H52" s="2826">
        <v>14.04</v>
      </c>
      <c r="I52" s="2826">
        <v>0</v>
      </c>
      <c r="J52" s="2826">
        <v>0</v>
      </c>
      <c r="L52" s="2826"/>
      <c r="M52" s="2827"/>
      <c r="N52" s="2826"/>
      <c r="O52" s="2826"/>
      <c r="P52" s="2826"/>
      <c r="Q52" s="2826"/>
      <c r="R52" s="2826"/>
      <c r="S52" s="2826"/>
      <c r="T52" s="2826"/>
      <c r="U52" s="2826"/>
      <c r="V52" s="2826"/>
      <c r="W52" s="2826"/>
      <c r="X52" s="2826"/>
      <c r="Y52" s="2826"/>
      <c r="Z52" s="2826"/>
    </row>
    <row r="53" spans="2:26">
      <c r="B53" s="2826"/>
      <c r="C53" s="2827">
        <v>34104</v>
      </c>
      <c r="D53" s="2826">
        <v>8.82</v>
      </c>
      <c r="E53" s="2826">
        <v>9.36</v>
      </c>
      <c r="F53" s="2826">
        <v>10.8</v>
      </c>
      <c r="G53" s="2826">
        <v>12.06</v>
      </c>
      <c r="H53" s="2826">
        <v>12.24</v>
      </c>
      <c r="I53" s="2826">
        <v>0</v>
      </c>
      <c r="J53" s="2826">
        <v>0</v>
      </c>
      <c r="L53" s="2826"/>
      <c r="M53" s="2827"/>
      <c r="N53" s="2826"/>
      <c r="O53" s="2826"/>
      <c r="P53" s="2826"/>
      <c r="Q53" s="2826"/>
      <c r="R53" s="2826"/>
      <c r="S53" s="2826"/>
      <c r="T53" s="2826"/>
      <c r="U53" s="2826"/>
      <c r="V53" s="2826"/>
      <c r="W53" s="2826"/>
      <c r="X53" s="2826"/>
      <c r="Y53" s="2826"/>
      <c r="Z53" s="2826"/>
    </row>
    <row r="54" spans="2:26">
      <c r="B54" s="2826"/>
      <c r="C54" s="2827">
        <v>33349</v>
      </c>
      <c r="D54" s="2826">
        <v>8.1</v>
      </c>
      <c r="E54" s="2826">
        <v>8.64</v>
      </c>
      <c r="F54" s="2826">
        <v>9</v>
      </c>
      <c r="G54" s="2826">
        <v>9.5399999999999991</v>
      </c>
      <c r="H54" s="2826">
        <v>9.7200000000000006</v>
      </c>
      <c r="I54" s="2826">
        <v>0</v>
      </c>
      <c r="J54" s="2826">
        <v>0</v>
      </c>
      <c r="L54" s="2826"/>
      <c r="M54" s="2827"/>
      <c r="N54" s="2826"/>
      <c r="O54" s="2826"/>
      <c r="P54" s="2826"/>
      <c r="Q54" s="2826"/>
      <c r="R54" s="2826"/>
      <c r="S54" s="2826"/>
      <c r="T54" s="2826"/>
      <c r="U54" s="2826"/>
      <c r="V54" s="2826"/>
      <c r="W54" s="2826"/>
      <c r="X54" s="2826"/>
      <c r="Y54" s="2826"/>
      <c r="Z54" s="2826"/>
    </row>
    <row r="55" spans="2:26">
      <c r="B55" s="2826"/>
      <c r="C55" s="2827">
        <v>33318</v>
      </c>
      <c r="D55" s="2826">
        <v>9</v>
      </c>
      <c r="E55" s="2826">
        <v>10.08</v>
      </c>
      <c r="F55" s="2826">
        <v>10.8</v>
      </c>
      <c r="G55" s="2826">
        <v>11.52</v>
      </c>
      <c r="H55" s="2826">
        <v>11.88</v>
      </c>
      <c r="I55" s="2826" t="s">
        <v>2808</v>
      </c>
      <c r="J55" s="2826" t="s">
        <v>2808</v>
      </c>
      <c r="L55" s="2826"/>
      <c r="M55" s="2827"/>
      <c r="N55" s="2826"/>
      <c r="O55" s="2826"/>
      <c r="P55" s="2826"/>
      <c r="Q55" s="2826"/>
      <c r="R55" s="2826"/>
      <c r="S55" s="2826"/>
      <c r="T55" s="2826"/>
      <c r="U55" s="2826"/>
      <c r="V55" s="2826"/>
      <c r="W55" s="2826"/>
      <c r="X55" s="2826"/>
      <c r="Y55" s="2826"/>
      <c r="Z55" s="2826"/>
    </row>
    <row r="56" spans="2:26">
      <c r="B56" s="2826"/>
      <c r="C56" s="2827">
        <v>33106</v>
      </c>
      <c r="D56" s="2826">
        <v>8.64</v>
      </c>
      <c r="E56" s="2826">
        <v>9.36</v>
      </c>
      <c r="F56" s="2826">
        <v>10.08</v>
      </c>
      <c r="G56" s="2826">
        <v>10.8</v>
      </c>
      <c r="H56" s="2826">
        <v>11.16</v>
      </c>
      <c r="I56" s="2826">
        <v>0</v>
      </c>
      <c r="J56" s="2826">
        <v>0</v>
      </c>
      <c r="L56" s="2826"/>
      <c r="M56" s="2827"/>
      <c r="N56" s="2826"/>
      <c r="O56" s="2826"/>
      <c r="P56" s="2826"/>
      <c r="Q56" s="2826"/>
      <c r="R56" s="2826"/>
      <c r="S56" s="2826"/>
      <c r="T56" s="2826"/>
      <c r="U56" s="2826"/>
      <c r="V56" s="2826"/>
      <c r="W56" s="2826"/>
      <c r="X56" s="2826"/>
      <c r="Y56" s="2826"/>
      <c r="Z56" s="2826"/>
    </row>
    <row r="57" spans="2:26">
      <c r="B57" s="2826"/>
      <c r="C57" s="2827">
        <v>32540</v>
      </c>
      <c r="D57" s="2826">
        <v>11.34</v>
      </c>
      <c r="E57" s="2826">
        <v>11.34</v>
      </c>
      <c r="F57" s="2826">
        <v>12.78</v>
      </c>
      <c r="G57" s="2826">
        <v>14.4</v>
      </c>
      <c r="H57" s="2826">
        <v>19.260000000000002</v>
      </c>
      <c r="I57" s="2826">
        <v>0</v>
      </c>
      <c r="J57" s="2826">
        <v>0</v>
      </c>
      <c r="L57" s="2826"/>
      <c r="M57" s="2827"/>
      <c r="N57" s="2826"/>
      <c r="O57" s="2826"/>
      <c r="P57" s="2826"/>
      <c r="Q57" s="2826"/>
      <c r="R57" s="2826"/>
      <c r="S57" s="2826"/>
      <c r="T57" s="2826"/>
      <c r="U57" s="2826"/>
      <c r="V57" s="2826"/>
      <c r="W57" s="2826"/>
      <c r="X57" s="2826"/>
      <c r="Y57" s="2826"/>
      <c r="Z57" s="2826"/>
    </row>
    <row r="58" spans="2:26">
      <c r="B58" s="2826"/>
      <c r="C58" s="2827"/>
      <c r="D58" s="2826"/>
      <c r="E58" s="2826"/>
      <c r="F58" s="2826"/>
      <c r="G58" s="2826"/>
      <c r="H58" s="2826"/>
      <c r="I58" s="2826"/>
      <c r="J58" s="2826"/>
    </row>
    <row r="59" spans="2:26">
      <c r="B59" s="2830"/>
      <c r="C59" s="2831"/>
      <c r="D59" s="2830"/>
      <c r="E59" s="2830"/>
      <c r="F59" s="2830"/>
      <c r="G59" s="2830"/>
      <c r="H59" s="2830"/>
      <c r="I59" s="2830"/>
      <c r="J59" s="2830"/>
    </row>
    <row r="60" spans="2:26">
      <c r="B60" s="2830"/>
      <c r="C60" s="2831"/>
      <c r="D60" s="2830"/>
      <c r="E60" s="2830"/>
      <c r="F60" s="2830"/>
      <c r="G60" s="2830"/>
      <c r="H60" s="2830"/>
      <c r="I60" s="2830"/>
      <c r="J60" s="2830"/>
    </row>
    <row r="61" spans="2:26">
      <c r="B61" s="2830"/>
      <c r="C61" s="2831"/>
      <c r="D61" s="2830"/>
      <c r="E61" s="2830"/>
      <c r="F61" s="2830"/>
      <c r="G61" s="2830"/>
      <c r="H61" s="2830"/>
      <c r="I61" s="2830"/>
      <c r="J61" s="2830"/>
    </row>
    <row r="62" spans="2:26">
      <c r="B62" s="2777"/>
      <c r="C62" s="2777"/>
      <c r="D62" s="2777"/>
      <c r="E62" s="2777"/>
      <c r="F62" s="2777"/>
      <c r="G62" s="2777"/>
      <c r="H62" s="2777"/>
      <c r="I62" s="2777"/>
      <c r="J62" s="2777"/>
    </row>
    <row r="63" spans="2:26">
      <c r="B63" s="2777"/>
      <c r="C63" s="2777"/>
      <c r="D63" s="2777"/>
      <c r="E63" s="2777"/>
      <c r="F63" s="2777"/>
      <c r="G63" s="2777"/>
      <c r="H63" s="2777"/>
      <c r="I63" s="2777"/>
      <c r="J63" s="2777"/>
    </row>
  </sheetData>
  <sheetProtection sheet="1" objects="1" scenarios="1"/>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C5:G18"/>
  <sheetViews>
    <sheetView workbookViewId="0">
      <selection activeCell="C5" sqref="C5:G18"/>
    </sheetView>
  </sheetViews>
  <sheetFormatPr defaultColWidth="8.875" defaultRowHeight="13.5"/>
  <cols>
    <col min="1" max="3" width="8.875" style="1775"/>
    <col min="4" max="4" width="15.75" style="1775" customWidth="1"/>
    <col min="5" max="5" width="12.25" style="1775" customWidth="1"/>
    <col min="6" max="7" width="12.5" style="1775" customWidth="1"/>
    <col min="8" max="16384" width="8.875" style="1775"/>
  </cols>
  <sheetData>
    <row r="5" spans="3:7" ht="15">
      <c r="C5" s="3523" t="s">
        <v>3317</v>
      </c>
      <c r="D5" s="3525" t="s">
        <v>3318</v>
      </c>
      <c r="E5" s="3216" t="s">
        <v>2937</v>
      </c>
      <c r="F5" s="3216"/>
      <c r="G5" s="3216"/>
    </row>
    <row r="6" spans="3:7" ht="14.25">
      <c r="C6" s="3524"/>
      <c r="D6" s="3526"/>
      <c r="E6" s="3210" t="s">
        <v>24</v>
      </c>
      <c r="F6" s="3212" t="s">
        <v>2998</v>
      </c>
      <c r="G6" s="3212" t="s">
        <v>2999</v>
      </c>
    </row>
    <row r="7" spans="3:7" ht="14.25">
      <c r="C7" s="3522" t="s">
        <v>3319</v>
      </c>
      <c r="D7" s="3211" t="s">
        <v>3324</v>
      </c>
      <c r="E7" s="3213">
        <v>195233.91999999998</v>
      </c>
      <c r="F7" s="3217">
        <v>195233.91999999998</v>
      </c>
      <c r="G7" s="3217" t="s">
        <v>3322</v>
      </c>
    </row>
    <row r="8" spans="3:7" ht="14.25">
      <c r="C8" s="3522"/>
      <c r="D8" s="3211" t="s">
        <v>3009</v>
      </c>
      <c r="E8" s="3213">
        <v>41200.360000000008</v>
      </c>
      <c r="F8" s="3217">
        <v>41200.360000000008</v>
      </c>
      <c r="G8" s="3217" t="s">
        <v>3323</v>
      </c>
    </row>
    <row r="9" spans="3:7" ht="14.25">
      <c r="C9" s="3522"/>
      <c r="D9" s="3211" t="s">
        <v>3011</v>
      </c>
      <c r="E9" s="3213">
        <v>13269.76</v>
      </c>
      <c r="F9" s="3217">
        <v>13269.76</v>
      </c>
      <c r="G9" s="3217" t="s">
        <v>3323</v>
      </c>
    </row>
    <row r="10" spans="3:7" ht="14.25">
      <c r="C10" s="3522"/>
      <c r="D10" s="3214" t="s">
        <v>2996</v>
      </c>
      <c r="E10" s="3213">
        <v>11647.55</v>
      </c>
      <c r="F10" s="3218">
        <v>11647.55</v>
      </c>
      <c r="G10" s="3218" t="s">
        <v>3323</v>
      </c>
    </row>
    <row r="11" spans="3:7" ht="14.25">
      <c r="C11" s="3522"/>
      <c r="D11" s="3214" t="s">
        <v>1674</v>
      </c>
      <c r="E11" s="3213">
        <v>55077.55</v>
      </c>
      <c r="F11" s="3218">
        <v>55077.55</v>
      </c>
      <c r="G11" s="3218" t="s">
        <v>3323</v>
      </c>
    </row>
    <row r="12" spans="3:7" ht="14.25">
      <c r="C12" s="3522"/>
      <c r="D12" s="3214" t="s">
        <v>2997</v>
      </c>
      <c r="E12" s="3213">
        <v>94770</v>
      </c>
      <c r="F12" s="3218" t="s">
        <v>3322</v>
      </c>
      <c r="G12" s="3218">
        <v>94770</v>
      </c>
    </row>
    <row r="13" spans="3:7" ht="14.25">
      <c r="C13" s="3522"/>
      <c r="D13" s="3214" t="s">
        <v>3024</v>
      </c>
      <c r="E13" s="3213">
        <v>7953.1100000000006</v>
      </c>
      <c r="F13" s="3218">
        <v>7953.1100000000006</v>
      </c>
      <c r="G13" s="3218" t="s">
        <v>3323</v>
      </c>
    </row>
    <row r="14" spans="3:7" ht="14.25">
      <c r="C14" s="3212"/>
      <c r="D14" s="3212" t="s">
        <v>27</v>
      </c>
      <c r="E14" s="3213">
        <v>419152.25</v>
      </c>
      <c r="F14" s="3213">
        <v>324382.25</v>
      </c>
      <c r="G14" s="3213">
        <v>94770</v>
      </c>
    </row>
    <row r="15" spans="3:7" ht="14.25">
      <c r="C15" s="3522" t="s">
        <v>1676</v>
      </c>
      <c r="D15" s="3212" t="s">
        <v>2305</v>
      </c>
      <c r="E15" s="3213">
        <v>45997.55000000001</v>
      </c>
      <c r="F15" s="3212">
        <v>4566.88</v>
      </c>
      <c r="G15" s="3212">
        <v>41430.670000000013</v>
      </c>
    </row>
    <row r="16" spans="3:7" ht="14.25">
      <c r="C16" s="3522"/>
      <c r="D16" s="3215" t="s">
        <v>3320</v>
      </c>
      <c r="E16" s="3213">
        <v>6935.72</v>
      </c>
      <c r="F16" s="3212">
        <v>6935.72</v>
      </c>
      <c r="G16" s="3212" t="s">
        <v>3323</v>
      </c>
    </row>
    <row r="17" spans="3:7" ht="14.25">
      <c r="C17" s="3212"/>
      <c r="D17" s="3212" t="s">
        <v>27</v>
      </c>
      <c r="E17" s="3213">
        <v>52933.270000000011</v>
      </c>
      <c r="F17" s="3213">
        <v>11502.6</v>
      </c>
      <c r="G17" s="3213">
        <v>41430.670000000013</v>
      </c>
    </row>
    <row r="18" spans="3:7" ht="15">
      <c r="C18" s="3179" t="s">
        <v>24</v>
      </c>
      <c r="D18" s="3219" t="s">
        <v>3321</v>
      </c>
      <c r="E18" s="3220">
        <v>472085.52</v>
      </c>
      <c r="F18" s="3220">
        <v>335884.85</v>
      </c>
      <c r="G18" s="3220">
        <v>136200.67000000001</v>
      </c>
    </row>
  </sheetData>
  <mergeCells count="4">
    <mergeCell ref="C7:C13"/>
    <mergeCell ref="C15:C16"/>
    <mergeCell ref="C5:C6"/>
    <mergeCell ref="D5:D6"/>
  </mergeCells>
  <phoneticPr fontId="228" type="noConversion"/>
  <conditionalFormatting sqref="E14">
    <cfRule type="containsText" dxfId="2" priority="1" stopIfTrue="1" operator="containsText" text="面积有误">
      <formula>NOT(ISERROR(SEARCH("面积有误",E14)))</formula>
    </cfRule>
    <cfRule type="cellIs" dxfId="1" priority="3" stopIfTrue="1" operator="equal">
      <formula>"地下面积有误"</formula>
    </cfRule>
  </conditionalFormatting>
  <conditionalFormatting sqref="F14">
    <cfRule type="cellIs" dxfId="0" priority="2" stopIfTrue="1" operator="equal">
      <formula>"地上面积有误"</formula>
    </cfRule>
  </conditionalFormatting>
  <dataValidations count="1">
    <dataValidation type="list" allowBlank="1" showInputMessage="1" showErrorMessage="1" sqref="C7 C15" xr:uid="{00000000-0002-0000-2E00-000000000000}">
      <formula1>类别</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2030</v>
      </c>
      <c r="B1" s="3222"/>
      <c r="C1" s="3222"/>
      <c r="D1" s="3222"/>
      <c r="E1" s="3222"/>
      <c r="F1" s="3222"/>
      <c r="G1" s="3222"/>
      <c r="H1" s="3222"/>
      <c r="I1" s="3222"/>
      <c r="J1" s="3222"/>
      <c r="K1" s="3222"/>
      <c r="L1" s="3222"/>
      <c r="M1" s="3222"/>
      <c r="N1" s="3222"/>
      <c r="O1" s="3222"/>
      <c r="P1" s="3222"/>
      <c r="Q1" s="3222"/>
      <c r="R1" s="3222"/>
    </row>
    <row r="2" spans="1:18">
      <c r="A2" s="1789" t="s">
        <v>2032</v>
      </c>
      <c r="B2" s="1789"/>
      <c r="C2" s="1789"/>
      <c r="D2" s="1789"/>
      <c r="E2" s="1789"/>
      <c r="F2" s="1789"/>
      <c r="G2" s="1789"/>
      <c r="H2" s="1789"/>
      <c r="I2" s="1790"/>
      <c r="J2" s="1790"/>
      <c r="K2" s="1791" t="str">
        <f>"估价期日："&amp;TEXT(项目基本情况!D3,"yyyy年m月d日;;")</f>
        <v>估价期日：2020年8月7日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23" t="s">
        <v>2021</v>
      </c>
      <c r="B3" s="3223" t="s">
        <v>2721</v>
      </c>
      <c r="C3" s="3224" t="s">
        <v>2022</v>
      </c>
      <c r="D3" s="3223" t="s">
        <v>2725</v>
      </c>
      <c r="E3" s="3226" t="s">
        <v>2023</v>
      </c>
      <c r="F3" s="3226"/>
      <c r="G3" s="3226"/>
      <c r="H3" s="3226" t="s">
        <v>2024</v>
      </c>
      <c r="I3" s="3226"/>
      <c r="J3" s="3226"/>
      <c r="K3" s="3224" t="s">
        <v>2025</v>
      </c>
      <c r="L3" s="3224" t="s">
        <v>2026</v>
      </c>
      <c r="M3" s="3223" t="s">
        <v>2722</v>
      </c>
      <c r="N3" s="3225" t="str">
        <f>"（分摊）"&amp;项目基本情况!B16&amp;"国有建设用地使用权面积/㎡"</f>
        <v>（分摊）出让国有建设用地使用权面积/㎡</v>
      </c>
      <c r="O3" s="3223" t="s">
        <v>2055</v>
      </c>
      <c r="P3" s="3224" t="s">
        <v>2035</v>
      </c>
      <c r="Q3" s="3224" t="s">
        <v>2056</v>
      </c>
      <c r="R3" s="3224" t="s">
        <v>2027</v>
      </c>
    </row>
    <row r="4" spans="1:18" ht="36.75" customHeight="1">
      <c r="A4" s="3223"/>
      <c r="B4" s="3223"/>
      <c r="C4" s="3224"/>
      <c r="D4" s="3223"/>
      <c r="E4" s="2610" t="s">
        <v>2034</v>
      </c>
      <c r="F4" s="2610" t="s">
        <v>2734</v>
      </c>
      <c r="G4" s="2610" t="s">
        <v>2028</v>
      </c>
      <c r="H4" s="2610" t="s">
        <v>2029</v>
      </c>
      <c r="I4" s="2610" t="s">
        <v>2735</v>
      </c>
      <c r="J4" s="2610" t="s">
        <v>2028</v>
      </c>
      <c r="K4" s="3224"/>
      <c r="L4" s="3224"/>
      <c r="M4" s="3223"/>
      <c r="N4" s="3225"/>
      <c r="O4" s="3223"/>
      <c r="P4" s="3224"/>
      <c r="Q4" s="3224"/>
      <c r="R4" s="3224"/>
    </row>
    <row r="5" spans="1:18" ht="135" customHeight="1">
      <c r="A5" s="1925" t="s">
        <v>2645</v>
      </c>
      <c r="B5" s="2703" t="s">
        <v>2643</v>
      </c>
      <c r="C5" s="2609">
        <v>22</v>
      </c>
      <c r="D5" s="2608" t="s">
        <v>2644</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177193.01</v>
      </c>
      <c r="O5" s="1792">
        <f>项目基本情况!C21</f>
        <v>472085.52</v>
      </c>
      <c r="P5" s="1792">
        <f ca="1">结果表!E42</f>
        <v>10990</v>
      </c>
      <c r="Q5" s="1792">
        <f ca="1">结果表!D42</f>
        <v>4125</v>
      </c>
      <c r="R5" s="1793">
        <f ca="1">结果表!C42</f>
        <v>194742</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794">
        <f ca="1">结果表!O39</f>
        <v>194742</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794" t="str">
        <f>结果表!O40</f>
        <v>——</v>
      </c>
    </row>
    <row r="8" spans="1:18">
      <c r="A8" s="3227">
        <f>IF(项目基本情况!B9="市场价格","——",项目基本情况!E9)</f>
        <v>0</v>
      </c>
      <c r="B8" s="3228"/>
      <c r="C8" s="3228"/>
      <c r="D8" s="3228"/>
      <c r="E8" s="3228"/>
      <c r="F8" s="3228"/>
      <c r="G8" s="3228"/>
      <c r="H8" s="3228"/>
      <c r="I8" s="3228"/>
      <c r="J8" s="3228"/>
      <c r="K8" s="3228"/>
      <c r="L8" s="3228"/>
      <c r="M8" s="3228"/>
      <c r="N8" s="3228"/>
      <c r="O8" s="3228"/>
      <c r="P8" s="3228"/>
      <c r="Q8" s="3229"/>
      <c r="R8" s="1794" t="str">
        <f>结果表!O41</f>
        <v>——</v>
      </c>
    </row>
    <row r="9" spans="1:18">
      <c r="A9" s="1795" t="s">
        <v>2033</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2020</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30" t="s">
        <v>2057</v>
      </c>
      <c r="B1" s="3230"/>
      <c r="C1" s="3230"/>
      <c r="D1" s="3230"/>
    </row>
    <row r="2" spans="1:4" ht="47.25" customHeight="1">
      <c r="A2" s="3234" t="str">
        <f>"1.权利限制："&amp;项目基本情况!L24&amp;"未设定租赁等其他他项权利。"</f>
        <v>1.权利限制：根据估价对象《不动产权证书》原件、《国有土地使用权》复印件，截至估价期日，估价对象抵押权未见登记。未设定租赁等其他他项权利。</v>
      </c>
      <c r="B2" s="3234"/>
      <c r="C2" s="3234"/>
      <c r="D2" s="3234"/>
    </row>
    <row r="3" spans="1:4" ht="48" customHeight="1">
      <c r="A3" s="32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0"/>
      <c r="C3" s="3230"/>
      <c r="D3" s="3230"/>
    </row>
    <row r="4" spans="1:4" ht="36.75" customHeight="1">
      <c r="A4" s="3230" t="str">
        <f>"3.估价规划限制条件：详见"&amp;项目基本情况!E21&amp;"。"</f>
        <v>3.估价规划限制条件：详见《建设工程规划许可证》[]、《出让合同》[]。</v>
      </c>
      <c r="B4" s="3230"/>
      <c r="C4" s="3230"/>
      <c r="D4" s="3230"/>
    </row>
    <row r="5" spans="1:4">
      <c r="A5" s="3233" t="s">
        <v>2058</v>
      </c>
      <c r="B5" s="3233"/>
      <c r="C5" s="3233"/>
      <c r="D5" s="3233"/>
    </row>
    <row r="6" spans="1:4">
      <c r="A6" s="3230" t="s">
        <v>2036</v>
      </c>
      <c r="B6" s="3230"/>
      <c r="C6" s="3230"/>
      <c r="D6" s="3230"/>
    </row>
    <row r="7" spans="1:4" ht="33" customHeight="1">
      <c r="A7" s="3230" t="s">
        <v>2565</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2"/>
      <c r="C11" s="3232"/>
      <c r="D11" s="3232"/>
    </row>
    <row r="12" spans="1:4" ht="168" customHeight="1">
      <c r="A12" s="3233" t="s">
        <v>2060</v>
      </c>
      <c r="B12" s="3233"/>
      <c r="C12" s="3233"/>
      <c r="D12" s="3233"/>
    </row>
    <row r="13" spans="1:4">
      <c r="A13" s="3231" t="s">
        <v>2736</v>
      </c>
      <c r="B13" s="3231"/>
      <c r="C13" s="3231"/>
      <c r="D13" s="3231"/>
    </row>
    <row r="14" spans="1:4">
      <c r="A14" s="3232" t="str">
        <f>IF(项目基本情况!B8="抵押","综上，"&amp;结果表!K47,"——")</f>
        <v>综上，本次评估不存在估价师知悉的法定优先受偿款</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2692</v>
      </c>
      <c r="B17" s="3230"/>
      <c r="C17" s="3230"/>
      <c r="D17" s="3230"/>
    </row>
    <row r="18" spans="1:4">
      <c r="A18" s="3230" t="s">
        <v>2684</v>
      </c>
      <c r="B18" s="3230"/>
      <c r="C18" s="3230"/>
      <c r="D18" s="3230"/>
    </row>
    <row r="19" spans="1:4">
      <c r="A19" s="2704" t="s">
        <v>2685</v>
      </c>
      <c r="B19" s="2704" t="s">
        <v>2686</v>
      </c>
      <c r="C19" s="2704" t="s">
        <v>2687</v>
      </c>
      <c r="D19" s="2704" t="s">
        <v>2688</v>
      </c>
    </row>
    <row r="20" spans="1:4">
      <c r="A20" s="2704" t="str">
        <f>项目基本情况!B4</f>
        <v>土地估价师</v>
      </c>
      <c r="B20" s="2704">
        <f>项目基本情况!C4</f>
        <v>0</v>
      </c>
      <c r="C20" s="2706"/>
      <c r="D20" s="1782" t="s">
        <v>2693</v>
      </c>
    </row>
    <row r="21" spans="1:4">
      <c r="A21" s="2704" t="str">
        <f>项目基本情况!D4</f>
        <v>土地估价师</v>
      </c>
      <c r="B21" s="2704">
        <f>项目基本情况!E4</f>
        <v>0</v>
      </c>
      <c r="C21" s="2706"/>
      <c r="D21" s="1782" t="s">
        <v>2694</v>
      </c>
    </row>
    <row r="23" spans="1:4">
      <c r="A23" s="3230" t="s">
        <v>2689</v>
      </c>
      <c r="B23" s="3230"/>
      <c r="C23" s="3230"/>
      <c r="D23" s="3230"/>
    </row>
    <row r="24" spans="1:4">
      <c r="A24" s="2704" t="s">
        <v>2685</v>
      </c>
      <c r="B24" s="2704" t="s">
        <v>2690</v>
      </c>
      <c r="C24" s="2704" t="s">
        <v>2687</v>
      </c>
      <c r="D24" s="2704" t="s">
        <v>2688</v>
      </c>
    </row>
    <row r="25" spans="1:4">
      <c r="A25" s="2707" t="s">
        <v>2691</v>
      </c>
      <c r="B25" s="2704" t="s">
        <v>949</v>
      </c>
      <c r="C25" s="2706"/>
      <c r="D25" s="1782" t="s">
        <v>2694</v>
      </c>
    </row>
    <row r="29" spans="1:4">
      <c r="D29" s="2705" t="s">
        <v>2031</v>
      </c>
    </row>
    <row r="30" spans="1:4">
      <c r="D30" s="270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25">
      <c r="A15" s="3242" t="s">
        <v>53</v>
      </c>
      <c r="B15" s="3243" t="s">
        <v>843</v>
      </c>
      <c r="C15" s="3239"/>
    </row>
    <row r="16" spans="1:7" ht="14.25">
      <c r="A16" s="3242"/>
      <c r="B16" s="3240" t="s">
        <v>54</v>
      </c>
      <c r="C16" s="1166" t="s">
        <v>53</v>
      </c>
    </row>
    <row r="17" spans="1:3" ht="14.25">
      <c r="A17" s="3242"/>
      <c r="B17" s="3240"/>
      <c r="C17" s="1166" t="s">
        <v>55</v>
      </c>
    </row>
    <row r="18" spans="1:3" ht="14.25">
      <c r="A18" s="3242"/>
      <c r="B18" s="3240"/>
      <c r="C18" s="1166" t="s">
        <v>56</v>
      </c>
    </row>
    <row r="19" spans="1:3" ht="14.25">
      <c r="A19" s="3242"/>
      <c r="B19" s="3238" t="s">
        <v>57</v>
      </c>
      <c r="C19" s="3239"/>
    </row>
    <row r="20" spans="1:3" ht="14.25">
      <c r="A20" s="1167" t="s">
        <v>58</v>
      </c>
      <c r="B20" s="1168"/>
      <c r="C20" s="1169"/>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0" t="s">
        <v>834</v>
      </c>
    </row>
    <row r="25" spans="1:3" ht="14.25">
      <c r="A25" s="3241"/>
      <c r="B25" s="3245"/>
      <c r="C25" s="1170" t="s">
        <v>835</v>
      </c>
    </row>
    <row r="26" spans="1:3" ht="14.25">
      <c r="A26" s="3241"/>
      <c r="B26" s="3245"/>
      <c r="C26" s="1170" t="s">
        <v>836</v>
      </c>
    </row>
    <row r="27" spans="1:3" ht="14.25">
      <c r="A27" s="3241"/>
      <c r="B27" s="3245"/>
      <c r="C27" s="1170" t="s">
        <v>837</v>
      </c>
    </row>
    <row r="28" spans="1:3" ht="14.25">
      <c r="A28" s="3241"/>
      <c r="B28" s="3245"/>
      <c r="C28" s="1170" t="s">
        <v>838</v>
      </c>
    </row>
    <row r="29" spans="1:3" ht="14.25">
      <c r="A29" s="3241"/>
      <c r="B29" s="3245"/>
      <c r="C29" s="1170" t="s">
        <v>839</v>
      </c>
    </row>
    <row r="30" spans="1:3" ht="14.25">
      <c r="A30" s="3241"/>
      <c r="B30" s="3245"/>
      <c r="C30" s="1170" t="s">
        <v>840</v>
      </c>
    </row>
    <row r="31" spans="1:3" ht="14.25">
      <c r="A31" s="3241"/>
      <c r="B31" s="3245"/>
      <c r="C31" s="1170" t="s">
        <v>841</v>
      </c>
    </row>
    <row r="32" spans="1:3" ht="14.25">
      <c r="A32" s="3241"/>
      <c r="B32" s="3245"/>
      <c r="C32" s="1170" t="s">
        <v>1643</v>
      </c>
    </row>
    <row r="33" spans="1:3" ht="14.25">
      <c r="A33" s="3241"/>
      <c r="B33" s="3235" t="s">
        <v>1649</v>
      </c>
      <c r="C33" s="1170" t="s">
        <v>1644</v>
      </c>
    </row>
    <row r="34" spans="1:3" ht="14.25">
      <c r="A34" s="3241"/>
      <c r="B34" s="3236"/>
      <c r="C34" s="1175" t="s">
        <v>1645</v>
      </c>
    </row>
    <row r="35" spans="1:3" ht="14.25">
      <c r="A35" s="3241"/>
      <c r="B35" s="3236"/>
      <c r="C35" s="1176" t="s">
        <v>1646</v>
      </c>
    </row>
    <row r="36" spans="1:3" ht="14.25">
      <c r="A36" s="3241"/>
      <c r="B36" s="3236"/>
      <c r="C36" s="1176" t="s">
        <v>1647</v>
      </c>
    </row>
    <row r="37" spans="1:3" ht="14.25">
      <c r="A37" s="3241"/>
      <c r="B37" s="3237"/>
      <c r="C37" s="1177" t="s">
        <v>1648</v>
      </c>
    </row>
    <row r="38" spans="1:3">
      <c r="A38" s="1171" t="s">
        <v>842</v>
      </c>
    </row>
    <row r="41" spans="1:3">
      <c r="A41" s="1171" t="s">
        <v>68</v>
      </c>
    </row>
    <row r="42" spans="1:3" ht="14.25">
      <c r="A42" s="1172" t="s">
        <v>850</v>
      </c>
    </row>
    <row r="43" spans="1:3" ht="14.25">
      <c r="A43" s="1173" t="s">
        <v>69</v>
      </c>
    </row>
    <row r="44" spans="1:3" ht="14.25">
      <c r="A44" s="1172" t="s">
        <v>849</v>
      </c>
    </row>
    <row r="45" spans="1:3" ht="14.25">
      <c r="A45" s="1174" t="s">
        <v>851</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978" customWidth="1"/>
    <col min="2" max="5" width="22.625" style="2978"/>
    <col min="6" max="6" width="25.625" style="2978" customWidth="1"/>
    <col min="7" max="16384" width="22.625" style="2978"/>
  </cols>
  <sheetData>
    <row r="2" spans="1:6" ht="20.25" customHeight="1">
      <c r="A2" s="2975" t="s">
        <v>1901</v>
      </c>
      <c r="B2" s="2976">
        <f ca="1">TODAY()</f>
        <v>44053</v>
      </c>
      <c r="C2" s="2977" t="s">
        <v>1902</v>
      </c>
      <c r="D2" s="2977"/>
    </row>
    <row r="3" spans="1:6" ht="20.25" customHeight="1">
      <c r="A3" s="2979" t="s">
        <v>1903</v>
      </c>
      <c r="B3" s="2980" t="s">
        <v>1904</v>
      </c>
      <c r="C3" s="2980" t="s">
        <v>1905</v>
      </c>
      <c r="D3" s="2981" t="s">
        <v>1906</v>
      </c>
      <c r="E3" s="2980" t="s">
        <v>1907</v>
      </c>
      <c r="F3" s="2980" t="s">
        <v>1905</v>
      </c>
    </row>
    <row r="4" spans="1:6" ht="20.25" customHeight="1">
      <c r="A4" s="2980" t="s">
        <v>1908</v>
      </c>
      <c r="B4" s="2980">
        <f ca="1">IF(C4&lt;B2,"已过期",1119970066)</f>
        <v>1119970066</v>
      </c>
      <c r="C4" s="2982">
        <v>44876</v>
      </c>
      <c r="D4" s="2980" t="s">
        <v>1908</v>
      </c>
      <c r="E4" s="2980">
        <f ca="1">IF(F4&lt;B2,"已过期",96010014)</f>
        <v>96010014</v>
      </c>
      <c r="F4" s="2983">
        <v>47118</v>
      </c>
    </row>
    <row r="5" spans="1:6" ht="20.25" customHeight="1">
      <c r="A5" s="2980"/>
      <c r="B5" s="2980"/>
      <c r="C5" s="2982"/>
      <c r="D5" s="2980"/>
      <c r="E5" s="2980"/>
      <c r="F5" s="2983"/>
    </row>
    <row r="6" spans="1:6" ht="20.25" customHeight="1">
      <c r="A6" s="2980" t="s">
        <v>1909</v>
      </c>
      <c r="B6" s="2980">
        <f ca="1">IF(C6&lt;B2,"已过期",1119970111)</f>
        <v>1119970111</v>
      </c>
      <c r="C6" s="2982">
        <v>44876</v>
      </c>
      <c r="D6" s="2980" t="s">
        <v>1909</v>
      </c>
      <c r="E6" s="2980">
        <f ca="1">IF(F6&lt;B2,"已过期",94010078)</f>
        <v>94010078</v>
      </c>
      <c r="F6" s="2983">
        <v>46387</v>
      </c>
    </row>
    <row r="7" spans="1:6" ht="20.25" customHeight="1">
      <c r="A7" s="2980" t="s">
        <v>1910</v>
      </c>
      <c r="B7" s="2980">
        <f ca="1">IF(C7&lt;B2,"已过期",1120050019)</f>
        <v>1120050019</v>
      </c>
      <c r="C7" s="2982">
        <v>44395</v>
      </c>
      <c r="D7" s="2980" t="s">
        <v>1910</v>
      </c>
      <c r="E7" s="2980">
        <f ca="1">IF(F7&lt;B2,"已过期",2002110030)</f>
        <v>2002110030</v>
      </c>
      <c r="F7" s="2983">
        <v>46387</v>
      </c>
    </row>
    <row r="8" spans="1:6" ht="20.25" customHeight="1">
      <c r="A8" s="2980" t="s">
        <v>1911</v>
      </c>
      <c r="B8" s="2980">
        <f ca="1">IF(C8&lt;B2,"已过期",1120000080)</f>
        <v>1120000080</v>
      </c>
      <c r="C8" s="2982">
        <v>44876</v>
      </c>
      <c r="D8" s="2980" t="s">
        <v>1911</v>
      </c>
      <c r="E8" s="2980">
        <f ca="1">IF(F8&lt;B2,"已过期",2000110082)</f>
        <v>2000110082</v>
      </c>
      <c r="F8" s="2983">
        <v>46387</v>
      </c>
    </row>
    <row r="9" spans="1:6" ht="20.25" customHeight="1">
      <c r="A9" s="2980" t="s">
        <v>1912</v>
      </c>
      <c r="B9" s="2980">
        <f ca="1">IF(C9&lt;B2,"已过期",1419970001)</f>
        <v>1419970001</v>
      </c>
      <c r="C9" s="2982">
        <v>44899</v>
      </c>
      <c r="D9" s="2980" t="s">
        <v>1912</v>
      </c>
      <c r="E9" s="2980">
        <f ca="1">IF(F9&lt;B2,"已过期",2002110125)</f>
        <v>2002110125</v>
      </c>
      <c r="F9" s="2983">
        <v>47118</v>
      </c>
    </row>
    <row r="10" spans="1:6" ht="20.25" customHeight="1">
      <c r="A10" s="2980" t="s">
        <v>1913</v>
      </c>
      <c r="B10" s="2980">
        <f ca="1">IF(C10&lt;B2,"已过期",1120060040)</f>
        <v>1120060040</v>
      </c>
      <c r="C10" s="2982">
        <v>44554</v>
      </c>
      <c r="D10" s="2980" t="s">
        <v>1913</v>
      </c>
      <c r="E10" s="2980">
        <f ca="1">IF(F10&lt;B2,"已过期",2004110096)</f>
        <v>2004110096</v>
      </c>
      <c r="F10" s="2983">
        <v>47118</v>
      </c>
    </row>
    <row r="11" spans="1:6" ht="20.25" customHeight="1">
      <c r="A11" s="2980" t="s">
        <v>1914</v>
      </c>
      <c r="B11" s="2980">
        <f ca="1">IF(C11&lt;B2,"已过期",1120100036)</f>
        <v>1120100036</v>
      </c>
      <c r="C11" s="2982">
        <v>44675</v>
      </c>
      <c r="D11" s="2980" t="s">
        <v>1914</v>
      </c>
      <c r="E11" s="2980">
        <f ca="1">IF(F11&lt;B2,"已过期",2010110070)</f>
        <v>2010110070</v>
      </c>
      <c r="F11" s="2983">
        <v>47907</v>
      </c>
    </row>
    <row r="12" spans="1:6" ht="20.25" customHeight="1">
      <c r="A12" s="2980"/>
      <c r="B12" s="2980"/>
      <c r="C12" s="2982"/>
      <c r="D12" s="2980"/>
      <c r="E12" s="2980"/>
      <c r="F12" s="2983"/>
    </row>
    <row r="13" spans="1:6" ht="20.25" customHeight="1">
      <c r="A13" s="2980" t="s">
        <v>1915</v>
      </c>
      <c r="B13" s="2980">
        <f ca="1">IF(C13&lt;B2,"已过期",1120070131)</f>
        <v>1120070131</v>
      </c>
      <c r="C13" s="2982">
        <v>44849</v>
      </c>
      <c r="D13" s="2980" t="s">
        <v>1915</v>
      </c>
      <c r="E13" s="2980">
        <f ca="1">IF(F13&lt;B2,"已过期",2014110011)</f>
        <v>2014110011</v>
      </c>
      <c r="F13" s="2983">
        <v>49302</v>
      </c>
    </row>
    <row r="14" spans="1:6" ht="20.25" customHeight="1">
      <c r="A14" s="2980" t="s">
        <v>2970</v>
      </c>
      <c r="B14" s="2980">
        <f ca="1">IF(C14&lt;B2,"已过期",1120040230)</f>
        <v>1120040230</v>
      </c>
      <c r="C14" s="2984">
        <v>44864</v>
      </c>
      <c r="D14" s="2985" t="s">
        <v>2971</v>
      </c>
      <c r="E14" s="2980">
        <f ca="1">IF(F14&lt;B2,"已过期",98030020)</f>
        <v>98030020</v>
      </c>
      <c r="F14" s="2983">
        <v>47118</v>
      </c>
    </row>
    <row r="15" spans="1:6" ht="20.25" customHeight="1">
      <c r="A15" s="2980"/>
      <c r="B15" s="2980"/>
      <c r="C15" s="2984"/>
      <c r="D15" s="2980"/>
      <c r="E15" s="2980"/>
      <c r="F15" s="2986"/>
    </row>
    <row r="16" spans="1:6" ht="20.25" customHeight="1">
      <c r="A16" s="2980"/>
      <c r="B16" s="2980"/>
      <c r="C16" s="2982"/>
      <c r="D16" s="2980"/>
      <c r="E16" s="2980"/>
      <c r="F16" s="2983"/>
    </row>
    <row r="17" spans="1:7" ht="20.25" customHeight="1">
      <c r="A17" s="2980"/>
      <c r="B17" s="2980"/>
      <c r="C17" s="2982"/>
      <c r="D17" s="2985"/>
      <c r="E17" s="2980"/>
      <c r="F17" s="2983"/>
    </row>
    <row r="18" spans="1:7" ht="20.25" customHeight="1">
      <c r="A18" s="2980" t="s">
        <v>2984</v>
      </c>
      <c r="B18" s="2980">
        <v>1120190079</v>
      </c>
      <c r="C18" s="2982">
        <v>44826</v>
      </c>
      <c r="D18" s="2980"/>
      <c r="E18" s="2980"/>
      <c r="F18" s="2983"/>
    </row>
    <row r="19" spans="1:7" ht="20.25" customHeight="1">
      <c r="A19" s="2980"/>
      <c r="B19" s="2980"/>
      <c r="C19" s="2982"/>
      <c r="D19" s="2980"/>
      <c r="E19" s="2980"/>
      <c r="F19" s="2980"/>
    </row>
    <row r="20" spans="1:7" ht="20.25" customHeight="1">
      <c r="A20" s="2980"/>
      <c r="B20" s="2980"/>
      <c r="C20" s="2982"/>
      <c r="D20" s="2980"/>
      <c r="E20" s="2980"/>
      <c r="F20" s="2980"/>
    </row>
    <row r="21" spans="1:7" ht="20.25" customHeight="1">
      <c r="A21" s="2980"/>
      <c r="B21" s="2980"/>
      <c r="C21" s="2982"/>
      <c r="D21" s="2980" t="s">
        <v>1916</v>
      </c>
      <c r="E21" s="2980">
        <f ca="1">IF(F21&lt;B2,"已过期",2011110090)</f>
        <v>2011110090</v>
      </c>
      <c r="F21" s="2983">
        <v>48302</v>
      </c>
    </row>
    <row r="22" spans="1:7" ht="20.25" customHeight="1">
      <c r="A22" s="2980" t="s">
        <v>1917</v>
      </c>
      <c r="B22" s="2980">
        <f ca="1">IF(C22&lt;B2,"已过期",1120020033)</f>
        <v>1120020033</v>
      </c>
      <c r="C22" s="2982">
        <v>44339</v>
      </c>
      <c r="D22" s="2980" t="s">
        <v>1917</v>
      </c>
      <c r="E22" s="2980">
        <f ca="1">IF(F22&lt;B2,"已过期",2000110137)</f>
        <v>2000110137</v>
      </c>
      <c r="F22" s="2983">
        <v>46387</v>
      </c>
    </row>
    <row r="23" spans="1:7" ht="20.25" customHeight="1">
      <c r="A23" s="2980" t="s">
        <v>2986</v>
      </c>
      <c r="B23" s="2980">
        <v>1119980106</v>
      </c>
      <c r="C23" s="2982">
        <v>44969</v>
      </c>
      <c r="D23" s="2980"/>
      <c r="E23" s="2980"/>
      <c r="F23" s="2980"/>
    </row>
    <row r="24" spans="1:7" s="2988" customFormat="1" ht="20.25" customHeight="1">
      <c r="A24" s="2979" t="s">
        <v>2045</v>
      </c>
      <c r="B24" s="2979" t="s">
        <v>2045</v>
      </c>
      <c r="C24" s="2982"/>
      <c r="D24" s="2987" t="s">
        <v>2045</v>
      </c>
      <c r="E24" s="2979" t="s">
        <v>2045</v>
      </c>
      <c r="F24" s="2986"/>
    </row>
    <row r="25" spans="1:7" ht="20.25" customHeight="1">
      <c r="A25" s="3246" t="s">
        <v>1918</v>
      </c>
      <c r="B25" s="3246"/>
      <c r="C25" s="3246"/>
      <c r="D25" s="3246"/>
      <c r="E25" s="3246"/>
      <c r="F25" s="3246"/>
      <c r="G25" s="3246"/>
    </row>
    <row r="26" spans="1:7" ht="20.25" customHeight="1">
      <c r="A26" s="3247" t="s">
        <v>1919</v>
      </c>
      <c r="B26" s="3247"/>
      <c r="C26" s="3247"/>
      <c r="D26" s="3247" t="s">
        <v>1920</v>
      </c>
      <c r="E26" s="3247"/>
      <c r="F26" s="3247"/>
    </row>
    <row r="27" spans="1:7" s="2975" customFormat="1" ht="20.25" customHeight="1">
      <c r="A27" s="2989" t="s">
        <v>1921</v>
      </c>
      <c r="B27" s="2990" t="s">
        <v>1922</v>
      </c>
      <c r="C27" s="2990" t="s">
        <v>1923</v>
      </c>
      <c r="D27" s="2980" t="s">
        <v>1921</v>
      </c>
      <c r="E27" s="2990" t="s">
        <v>1922</v>
      </c>
      <c r="F27" s="2990" t="s">
        <v>1923</v>
      </c>
    </row>
    <row r="28" spans="1:7" s="2975" customFormat="1" ht="20.25" customHeight="1">
      <c r="A28" s="2991" t="s">
        <v>1924</v>
      </c>
      <c r="B28" s="2991" t="s">
        <v>1925</v>
      </c>
      <c r="C28" s="2983">
        <v>44820</v>
      </c>
      <c r="D28" s="2991" t="s">
        <v>1926</v>
      </c>
      <c r="E28" s="2991" t="s">
        <v>1927</v>
      </c>
      <c r="F28" s="2992">
        <v>44377</v>
      </c>
    </row>
    <row r="29" spans="1:7" s="2975" customFormat="1" ht="20.25" customHeight="1">
      <c r="A29" s="2991"/>
      <c r="B29" s="2991"/>
      <c r="C29" s="2993"/>
      <c r="D29" s="2991" t="s">
        <v>1928</v>
      </c>
      <c r="E29" s="2991" t="s">
        <v>2985</v>
      </c>
      <c r="F29" s="2992">
        <v>44012</v>
      </c>
    </row>
    <row r="30" spans="1:7" ht="20.25" customHeight="1">
      <c r="C30" s="2994"/>
      <c r="D30" s="2994"/>
    </row>
  </sheetData>
  <sheetProtection sheet="1" objects="1" scenarios="1"/>
  <mergeCells count="3">
    <mergeCell ref="A25:G25"/>
    <mergeCell ref="A26:C26"/>
    <mergeCell ref="D26:F26"/>
  </mergeCells>
  <phoneticPr fontId="3" type="noConversion"/>
  <conditionalFormatting sqref="C24:D24">
    <cfRule type="expression" dxfId="241" priority="149">
      <formula>AND($C24-TODAY()&lt;30,TODAY()&lt;$C24)</formula>
    </cfRule>
  </conditionalFormatting>
  <conditionalFormatting sqref="C28">
    <cfRule type="expression" dxfId="240" priority="148">
      <formula>AND($C28-TODAY()&lt;30,TODAY()&lt;$C28)</formula>
    </cfRule>
  </conditionalFormatting>
  <conditionalFormatting sqref="C28 F4">
    <cfRule type="cellIs" dxfId="239" priority="150" stopIfTrue="1" operator="lessThan">
      <formula>$B$2</formula>
    </cfRule>
  </conditionalFormatting>
  <conditionalFormatting sqref="F5">
    <cfRule type="cellIs" dxfId="238" priority="146" stopIfTrue="1" operator="lessThan">
      <formula>$B$2</formula>
    </cfRule>
  </conditionalFormatting>
  <conditionalFormatting sqref="F6 F8 F10">
    <cfRule type="cellIs" dxfId="237" priority="144" stopIfTrue="1" operator="lessThan">
      <formula>$B$2</formula>
    </cfRule>
  </conditionalFormatting>
  <conditionalFormatting sqref="C24:D24">
    <cfRule type="expression" dxfId="236" priority="142">
      <formula>AND($C24-TODAY()&lt;30,TODAY()&lt;$C24)</formula>
    </cfRule>
  </conditionalFormatting>
  <conditionalFormatting sqref="F7 F9 F11 C24:D24">
    <cfRule type="cellIs" dxfId="235" priority="143" stopIfTrue="1" operator="lessThan">
      <formula>$B$2</formula>
    </cfRule>
  </conditionalFormatting>
  <conditionalFormatting sqref="F22">
    <cfRule type="cellIs" dxfId="234" priority="114" stopIfTrue="1" operator="lessThan">
      <formula>$B$2</formula>
    </cfRule>
  </conditionalFormatting>
  <conditionalFormatting sqref="F21">
    <cfRule type="cellIs" dxfId="233" priority="113" stopIfTrue="1" operator="lessThan">
      <formula>$B$2</formula>
    </cfRule>
  </conditionalFormatting>
  <conditionalFormatting sqref="B4:B11 E4:E11 E19:E23 B17 B13 E13 B19:B23">
    <cfRule type="cellIs" dxfId="232" priority="111" stopIfTrue="1" operator="equal">
      <formula>"已过期"</formula>
    </cfRule>
  </conditionalFormatting>
  <conditionalFormatting sqref="F28">
    <cfRule type="cellIs" dxfId="231" priority="108" stopIfTrue="1" operator="lessThan">
      <formula>$B$2</formula>
    </cfRule>
  </conditionalFormatting>
  <conditionalFormatting sqref="F28">
    <cfRule type="expression" dxfId="230" priority="152">
      <formula>AND($E28-TODAY()&lt;30,TODAY()&lt;$E28)</formula>
    </cfRule>
  </conditionalFormatting>
  <conditionalFormatting sqref="C5">
    <cfRule type="expression" dxfId="229" priority="103">
      <formula>AND($C5-TODAY()&lt;30,TODAY()&lt;$C5)</formula>
    </cfRule>
  </conditionalFormatting>
  <conditionalFormatting sqref="C5">
    <cfRule type="cellIs" dxfId="228" priority="104" stopIfTrue="1" operator="lessThan">
      <formula>$B$2</formula>
    </cfRule>
  </conditionalFormatting>
  <conditionalFormatting sqref="C5:C6">
    <cfRule type="expression" dxfId="227" priority="101">
      <formula>AND($C5-TODAY()&lt;30,TODAY()&lt;$C5)</formula>
    </cfRule>
  </conditionalFormatting>
  <conditionalFormatting sqref="C5:C6">
    <cfRule type="cellIs" dxfId="226" priority="102" stopIfTrue="1" operator="lessThan">
      <formula>$B$2</formula>
    </cfRule>
  </conditionalFormatting>
  <conditionalFormatting sqref="C7">
    <cfRule type="expression" dxfId="225" priority="82">
      <formula>AND($C7-TODAY()&lt;30,TODAY()&lt;$C7)</formula>
    </cfRule>
  </conditionalFormatting>
  <conditionalFormatting sqref="C7">
    <cfRule type="cellIs" dxfId="224" priority="83" stopIfTrue="1" operator="lessThan">
      <formula>$B$2</formula>
    </cfRule>
  </conditionalFormatting>
  <conditionalFormatting sqref="C13 C23 C17 C19:C21">
    <cfRule type="expression" dxfId="223" priority="80">
      <formula>AND($C13-TODAY()&lt;30,TODAY()&lt;$C13)</formula>
    </cfRule>
  </conditionalFormatting>
  <conditionalFormatting sqref="C13 C23 C17 C19:C21">
    <cfRule type="cellIs" dxfId="222" priority="81" stopIfTrue="1" operator="lessThan">
      <formula>$B$2</formula>
    </cfRule>
  </conditionalFormatting>
  <conditionalFormatting sqref="F13">
    <cfRule type="cellIs" dxfId="221" priority="79" stopIfTrue="1" operator="lessThan">
      <formula>$B$2</formula>
    </cfRule>
  </conditionalFormatting>
  <conditionalFormatting sqref="F12">
    <cfRule type="cellIs" dxfId="220" priority="71" stopIfTrue="1" operator="lessThan">
      <formula>$B$2</formula>
    </cfRule>
  </conditionalFormatting>
  <conditionalFormatting sqref="B12 E12">
    <cfRule type="cellIs" dxfId="219" priority="70" stopIfTrue="1" operator="equal">
      <formula>"已过期"</formula>
    </cfRule>
  </conditionalFormatting>
  <conditionalFormatting sqref="C12">
    <cfRule type="expression" dxfId="218" priority="68">
      <formula>AND($C12-TODAY()&lt;30,TODAY()&lt;$C12)</formula>
    </cfRule>
  </conditionalFormatting>
  <conditionalFormatting sqref="C12">
    <cfRule type="cellIs" dxfId="217" priority="69" stopIfTrue="1" operator="lessThan">
      <formula>$B$2</formula>
    </cfRule>
  </conditionalFormatting>
  <conditionalFormatting sqref="C22">
    <cfRule type="expression" dxfId="216" priority="60">
      <formula>AND($C22-TODAY()&lt;30,TODAY()&lt;$C22)</formula>
    </cfRule>
  </conditionalFormatting>
  <conditionalFormatting sqref="C22">
    <cfRule type="cellIs" dxfId="215" priority="61" stopIfTrue="1" operator="lessThan">
      <formula>$B$2</formula>
    </cfRule>
  </conditionalFormatting>
  <conditionalFormatting sqref="C16">
    <cfRule type="expression" dxfId="214" priority="58">
      <formula>AND($C16-TODAY()&lt;30,TODAY()&lt;$C16)</formula>
    </cfRule>
  </conditionalFormatting>
  <conditionalFormatting sqref="C16">
    <cfRule type="cellIs" dxfId="213" priority="59" stopIfTrue="1" operator="lessThan">
      <formula>$B$2</formula>
    </cfRule>
  </conditionalFormatting>
  <conditionalFormatting sqref="C16">
    <cfRule type="expression" dxfId="212" priority="56">
      <formula>AND($C16-TODAY()&lt;30,TODAY()&lt;$C16)</formula>
    </cfRule>
  </conditionalFormatting>
  <conditionalFormatting sqref="C16">
    <cfRule type="cellIs" dxfId="211" priority="57" stopIfTrue="1" operator="lessThan">
      <formula>$B$2</formula>
    </cfRule>
  </conditionalFormatting>
  <conditionalFormatting sqref="B16">
    <cfRule type="cellIs" dxfId="210" priority="55" stopIfTrue="1" operator="equal">
      <formula>"已过期"</formula>
    </cfRule>
  </conditionalFormatting>
  <conditionalFormatting sqref="C14:C15">
    <cfRule type="expression" dxfId="209" priority="53">
      <formula>AND($C14-TODAY()&lt;30,TODAY()&lt;$C14)</formula>
    </cfRule>
  </conditionalFormatting>
  <conditionalFormatting sqref="C14:C15">
    <cfRule type="cellIs" dxfId="208" priority="54" stopIfTrue="1" operator="lessThan">
      <formula>$B$2</formula>
    </cfRule>
  </conditionalFormatting>
  <conditionalFormatting sqref="C14">
    <cfRule type="expression" dxfId="207" priority="51">
      <formula>AND($C14-TODAY()&lt;30,TODAY()&lt;$C14)</formula>
    </cfRule>
  </conditionalFormatting>
  <conditionalFormatting sqref="C14">
    <cfRule type="cellIs" dxfId="206" priority="52" stopIfTrue="1" operator="lessThan">
      <formula>$B$2</formula>
    </cfRule>
  </conditionalFormatting>
  <conditionalFormatting sqref="C15">
    <cfRule type="expression" dxfId="205" priority="49">
      <formula>AND($C15-TODAY()&lt;30,TODAY()&lt;$C15)</formula>
    </cfRule>
  </conditionalFormatting>
  <conditionalFormatting sqref="C15">
    <cfRule type="cellIs" dxfId="204" priority="50" stopIfTrue="1" operator="lessThan">
      <formula>$B$2</formula>
    </cfRule>
  </conditionalFormatting>
  <conditionalFormatting sqref="B14">
    <cfRule type="cellIs" dxfId="203" priority="48" stopIfTrue="1" operator="equal">
      <formula>"已过期"</formula>
    </cfRule>
  </conditionalFormatting>
  <conditionalFormatting sqref="B15">
    <cfRule type="cellIs" dxfId="202" priority="47" stopIfTrue="1" operator="equal">
      <formula>"已过期"</formula>
    </cfRule>
  </conditionalFormatting>
  <conditionalFormatting sqref="A15">
    <cfRule type="cellIs" dxfId="201" priority="46" stopIfTrue="1" operator="equal">
      <formula>"已过期"</formula>
    </cfRule>
  </conditionalFormatting>
  <conditionalFormatting sqref="C15">
    <cfRule type="expression" dxfId="200" priority="45">
      <formula>AND($C15-TODAY()&lt;30,TODAY()&lt;$C15)</formula>
    </cfRule>
  </conditionalFormatting>
  <conditionalFormatting sqref="F16">
    <cfRule type="cellIs" dxfId="199" priority="44" stopIfTrue="1" operator="lessThan">
      <formula>$B$2</formula>
    </cfRule>
  </conditionalFormatting>
  <conditionalFormatting sqref="E16">
    <cfRule type="cellIs" dxfId="198" priority="43" stopIfTrue="1" operator="equal">
      <formula>"已过期"</formula>
    </cfRule>
  </conditionalFormatting>
  <conditionalFormatting sqref="E15">
    <cfRule type="cellIs" dxfId="197" priority="42" stopIfTrue="1" operator="equal">
      <formula>"已过期"</formula>
    </cfRule>
  </conditionalFormatting>
  <conditionalFormatting sqref="D15">
    <cfRule type="cellIs" dxfId="196" priority="41" stopIfTrue="1" operator="equal">
      <formula>"已过期"</formula>
    </cfRule>
  </conditionalFormatting>
  <conditionalFormatting sqref="F17">
    <cfRule type="cellIs" dxfId="195" priority="40" stopIfTrue="1" operator="lessThan">
      <formula>$B$2</formula>
    </cfRule>
  </conditionalFormatting>
  <conditionalFormatting sqref="E17">
    <cfRule type="cellIs" dxfId="194" priority="39" stopIfTrue="1" operator="equal">
      <formula>"已过期"</formula>
    </cfRule>
  </conditionalFormatting>
  <conditionalFormatting sqref="E14">
    <cfRule type="cellIs" dxfId="193" priority="38" stopIfTrue="1" operator="equal">
      <formula>"已过期"</formula>
    </cfRule>
  </conditionalFormatting>
  <conditionalFormatting sqref="F14">
    <cfRule type="cellIs" dxfId="192" priority="37" stopIfTrue="1" operator="lessThan">
      <formula>$B$2</formula>
    </cfRule>
  </conditionalFormatting>
  <conditionalFormatting sqref="C10:C11">
    <cfRule type="expression" dxfId="191" priority="33">
      <formula>AND($C10-TODAY()&lt;30,TODAY()&lt;$C10)</formula>
    </cfRule>
  </conditionalFormatting>
  <conditionalFormatting sqref="C10:C11">
    <cfRule type="cellIs" dxfId="190" priority="34" stopIfTrue="1" operator="lessThan">
      <formula>$B$2</formula>
    </cfRule>
  </conditionalFormatting>
  <conditionalFormatting sqref="C18">
    <cfRule type="expression" dxfId="189" priority="22">
      <formula>AND($C18-TODAY()&lt;30,TODAY()&lt;$C18)</formula>
    </cfRule>
  </conditionalFormatting>
  <conditionalFormatting sqref="C18">
    <cfRule type="cellIs" dxfId="188" priority="23" stopIfTrue="1" operator="lessThan">
      <formula>$B$2</formula>
    </cfRule>
  </conditionalFormatting>
  <conditionalFormatting sqref="C18">
    <cfRule type="expression" dxfId="187" priority="20">
      <formula>AND($C18-TODAY()&lt;30,TODAY()&lt;$C18)</formula>
    </cfRule>
  </conditionalFormatting>
  <conditionalFormatting sqref="C18">
    <cfRule type="cellIs" dxfId="186" priority="21" stopIfTrue="1" operator="lessThan">
      <formula>$B$2</formula>
    </cfRule>
  </conditionalFormatting>
  <conditionalFormatting sqref="B18">
    <cfRule type="cellIs" dxfId="185" priority="19" stopIfTrue="1" operator="equal">
      <formula>"已过期"</formula>
    </cfRule>
  </conditionalFormatting>
  <conditionalFormatting sqref="F18">
    <cfRule type="cellIs" dxfId="184" priority="18" stopIfTrue="1" operator="lessThan">
      <formula>$B$2</formula>
    </cfRule>
  </conditionalFormatting>
  <conditionalFormatting sqref="E18">
    <cfRule type="cellIs" dxfId="183" priority="17" stopIfTrue="1" operator="equal">
      <formula>"已过期"</formula>
    </cfRule>
  </conditionalFormatting>
  <conditionalFormatting sqref="F29">
    <cfRule type="cellIs" dxfId="182" priority="13" stopIfTrue="1" operator="lessThan">
      <formula>$B$2</formula>
    </cfRule>
  </conditionalFormatting>
  <conditionalFormatting sqref="F29">
    <cfRule type="expression" dxfId="181" priority="14">
      <formula>AND($E29-TODAY()&lt;30,TODAY()&lt;$E29)</formula>
    </cfRule>
  </conditionalFormatting>
  <conditionalFormatting sqref="C8:C9">
    <cfRule type="expression" dxfId="180" priority="5">
      <formula>AND($C8-TODAY()&lt;30,TODAY()&lt;$C8)</formula>
    </cfRule>
  </conditionalFormatting>
  <conditionalFormatting sqref="C8:C9">
    <cfRule type="cellIs" dxfId="179" priority="6" stopIfTrue="1" operator="lessThan">
      <formula>$B$2</formula>
    </cfRule>
  </conditionalFormatting>
  <conditionalFormatting sqref="C8:C9">
    <cfRule type="expression" dxfId="178" priority="3">
      <formula>AND($C8-TODAY()&lt;30,TODAY()&lt;$C8)</formula>
    </cfRule>
  </conditionalFormatting>
  <conditionalFormatting sqref="C8:C9">
    <cfRule type="cellIs" dxfId="177" priority="4" stopIfTrue="1" operator="lessThan">
      <formula>$B$2</formula>
    </cfRule>
  </conditionalFormatting>
  <conditionalFormatting sqref="C4">
    <cfRule type="expression" dxfId="176" priority="1">
      <formula>AND($C4-TODAY()&lt;30,TODAY()&lt;$C4)</formula>
    </cfRule>
  </conditionalFormatting>
  <conditionalFormatting sqref="C4">
    <cfRule type="cellIs" dxfId="17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18" sqref="B18"/>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853</v>
      </c>
      <c r="B1" s="5" t="s">
        <v>132</v>
      </c>
      <c r="C1" s="1533" t="s">
        <v>1702</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2536</v>
      </c>
      <c r="R1" s="2543" t="s">
        <v>2530</v>
      </c>
      <c r="S1" s="6" t="s">
        <v>146</v>
      </c>
      <c r="T1" s="7" t="s">
        <v>147</v>
      </c>
      <c r="U1" s="6" t="s">
        <v>148</v>
      </c>
      <c r="V1" s="6" t="s">
        <v>149</v>
      </c>
      <c r="W1" s="1002" t="s">
        <v>871</v>
      </c>
    </row>
    <row r="2" spans="1:23">
      <c r="A2" s="8" t="s">
        <v>73</v>
      </c>
      <c r="B2" s="8" t="s">
        <v>150</v>
      </c>
      <c r="C2" s="1534" t="s">
        <v>1703</v>
      </c>
      <c r="D2" s="9" t="s">
        <v>74</v>
      </c>
      <c r="E2" s="9" t="s">
        <v>127</v>
      </c>
      <c r="F2" s="9" t="s">
        <v>128</v>
      </c>
      <c r="G2" s="9">
        <v>40</v>
      </c>
      <c r="H2" s="9" t="s">
        <v>129</v>
      </c>
      <c r="I2" s="9" t="s">
        <v>130</v>
      </c>
      <c r="J2" s="9" t="s">
        <v>131</v>
      </c>
      <c r="K2" s="9" t="s">
        <v>75</v>
      </c>
      <c r="L2" s="9" t="s">
        <v>75</v>
      </c>
      <c r="M2" s="9" t="s">
        <v>75</v>
      </c>
      <c r="N2" s="9" t="s">
        <v>75</v>
      </c>
      <c r="O2" s="9" t="s">
        <v>75</v>
      </c>
      <c r="P2" s="1004" t="s">
        <v>877</v>
      </c>
      <c r="Q2" s="9" t="s">
        <v>75</v>
      </c>
      <c r="R2" s="1004" t="s">
        <v>2531</v>
      </c>
      <c r="S2" s="9" t="s">
        <v>75</v>
      </c>
      <c r="T2" s="9" t="s">
        <v>76</v>
      </c>
      <c r="U2" s="9" t="s">
        <v>75</v>
      </c>
      <c r="V2" s="9" t="s">
        <v>77</v>
      </c>
      <c r="W2" s="9" t="s">
        <v>872</v>
      </c>
    </row>
    <row r="3" spans="1:23">
      <c r="A3" s="8" t="s">
        <v>78</v>
      </c>
      <c r="B3" s="10" t="s">
        <v>151</v>
      </c>
      <c r="C3" s="1535" t="s">
        <v>1704</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2532</v>
      </c>
      <c r="S3" s="9" t="s">
        <v>84</v>
      </c>
      <c r="T3" s="9" t="s">
        <v>85</v>
      </c>
      <c r="U3" s="9" t="s">
        <v>84</v>
      </c>
      <c r="V3" s="9" t="s">
        <v>86</v>
      </c>
      <c r="W3" s="9" t="s">
        <v>873</v>
      </c>
    </row>
    <row r="4" spans="1:23">
      <c r="A4" s="8" t="s">
        <v>87</v>
      </c>
      <c r="B4" s="8" t="s">
        <v>152</v>
      </c>
      <c r="C4" s="1534" t="s">
        <v>1705</v>
      </c>
      <c r="D4" s="9" t="s">
        <v>1986</v>
      </c>
      <c r="E4" s="9" t="s">
        <v>88</v>
      </c>
      <c r="F4" s="9" t="s">
        <v>89</v>
      </c>
      <c r="G4" s="9">
        <v>70</v>
      </c>
      <c r="H4" s="9" t="s">
        <v>90</v>
      </c>
      <c r="I4" s="9" t="s">
        <v>91</v>
      </c>
      <c r="K4" s="9" t="s">
        <v>92</v>
      </c>
      <c r="L4" s="9" t="s">
        <v>92</v>
      </c>
      <c r="M4" s="9" t="s">
        <v>92</v>
      </c>
      <c r="N4" s="9" t="s">
        <v>92</v>
      </c>
      <c r="O4" s="9" t="s">
        <v>92</v>
      </c>
      <c r="P4" s="1004" t="s">
        <v>760</v>
      </c>
      <c r="Q4" s="9" t="s">
        <v>92</v>
      </c>
      <c r="R4" s="1004" t="s">
        <v>2533</v>
      </c>
      <c r="S4" s="9" t="s">
        <v>92</v>
      </c>
      <c r="T4" s="9" t="s">
        <v>93</v>
      </c>
      <c r="U4" s="9" t="s">
        <v>92</v>
      </c>
      <c r="W4" s="9" t="s">
        <v>874</v>
      </c>
    </row>
    <row r="5" spans="1:23">
      <c r="A5" s="8" t="s">
        <v>94</v>
      </c>
      <c r="B5" s="8" t="s">
        <v>153</v>
      </c>
      <c r="C5" s="1534" t="s">
        <v>1706</v>
      </c>
      <c r="F5" s="9" t="s">
        <v>95</v>
      </c>
      <c r="H5" s="9" t="s">
        <v>70</v>
      </c>
      <c r="I5" s="9" t="s">
        <v>96</v>
      </c>
      <c r="K5" s="9" t="s">
        <v>97</v>
      </c>
      <c r="L5" s="9" t="s">
        <v>97</v>
      </c>
      <c r="M5" s="9" t="s">
        <v>97</v>
      </c>
      <c r="N5" s="9" t="s">
        <v>97</v>
      </c>
      <c r="O5" s="9" t="s">
        <v>97</v>
      </c>
      <c r="P5" s="1004" t="s">
        <v>546</v>
      </c>
      <c r="Q5" s="9" t="s">
        <v>97</v>
      </c>
      <c r="R5" s="1004" t="s">
        <v>2534</v>
      </c>
      <c r="S5" s="9" t="s">
        <v>97</v>
      </c>
      <c r="T5" s="9" t="s">
        <v>98</v>
      </c>
      <c r="U5" s="9" t="s">
        <v>97</v>
      </c>
      <c r="W5" s="9" t="s">
        <v>875</v>
      </c>
    </row>
    <row r="6" spans="1:23">
      <c r="A6" s="8" t="s">
        <v>99</v>
      </c>
      <c r="B6" s="1143" t="s">
        <v>1637</v>
      </c>
      <c r="C6" s="1536" t="s">
        <v>1707</v>
      </c>
      <c r="F6" s="9" t="s">
        <v>71</v>
      </c>
      <c r="H6" s="9" t="s">
        <v>72</v>
      </c>
      <c r="I6" s="9" t="s">
        <v>100</v>
      </c>
      <c r="K6" s="9" t="s">
        <v>101</v>
      </c>
      <c r="L6" s="9" t="s">
        <v>101</v>
      </c>
      <c r="M6" s="9" t="s">
        <v>101</v>
      </c>
      <c r="N6" s="9" t="s">
        <v>101</v>
      </c>
      <c r="O6" s="9" t="s">
        <v>101</v>
      </c>
      <c r="P6" s="1004" t="s">
        <v>878</v>
      </c>
      <c r="Q6" s="9" t="s">
        <v>101</v>
      </c>
      <c r="R6" s="1004" t="s">
        <v>2535</v>
      </c>
      <c r="S6" s="9" t="s">
        <v>101</v>
      </c>
      <c r="T6" s="9"/>
      <c r="U6" s="9" t="s">
        <v>101</v>
      </c>
      <c r="W6" s="9" t="s">
        <v>876</v>
      </c>
    </row>
    <row r="7" spans="1:23">
      <c r="A7" s="8" t="s">
        <v>102</v>
      </c>
      <c r="B7" s="8" t="s">
        <v>103</v>
      </c>
      <c r="C7" s="1534" t="s">
        <v>1708</v>
      </c>
      <c r="F7" s="9" t="s">
        <v>154</v>
      </c>
      <c r="H7" s="9" t="s">
        <v>104</v>
      </c>
      <c r="I7" s="9" t="s">
        <v>105</v>
      </c>
    </row>
    <row r="8" spans="1:23">
      <c r="A8" s="8" t="s">
        <v>106</v>
      </c>
      <c r="B8" s="8" t="s">
        <v>107</v>
      </c>
      <c r="C8" s="1534" t="s">
        <v>1709</v>
      </c>
      <c r="F8" s="9" t="s">
        <v>155</v>
      </c>
      <c r="H8" s="9"/>
      <c r="I8" s="9" t="s">
        <v>108</v>
      </c>
    </row>
    <row r="9" spans="1:23">
      <c r="A9" s="8" t="s">
        <v>109</v>
      </c>
      <c r="B9" s="8" t="s">
        <v>156</v>
      </c>
      <c r="C9" s="1534" t="s">
        <v>1710</v>
      </c>
      <c r="F9" s="9" t="s">
        <v>110</v>
      </c>
      <c r="H9" s="9"/>
    </row>
    <row r="10" spans="1:23">
      <c r="A10" s="8" t="s">
        <v>111</v>
      </c>
      <c r="B10" s="8" t="s">
        <v>157</v>
      </c>
      <c r="C10" s="1534" t="s">
        <v>1711</v>
      </c>
      <c r="F10" s="9" t="s">
        <v>6</v>
      </c>
    </row>
    <row r="11" spans="1:23">
      <c r="A11" s="8" t="s">
        <v>112</v>
      </c>
      <c r="B11" s="8" t="s">
        <v>158</v>
      </c>
      <c r="C11" s="1534" t="s">
        <v>1712</v>
      </c>
    </row>
    <row r="12" spans="1:23">
      <c r="A12" s="8" t="s">
        <v>113</v>
      </c>
      <c r="B12" s="8" t="s">
        <v>159</v>
      </c>
      <c r="C12" s="1534" t="s">
        <v>1713</v>
      </c>
    </row>
    <row r="13" spans="1:23">
      <c r="A13" s="8" t="s">
        <v>114</v>
      </c>
      <c r="B13" s="8" t="s">
        <v>160</v>
      </c>
      <c r="C13" s="1534" t="s">
        <v>1714</v>
      </c>
    </row>
    <row r="14" spans="1:23">
      <c r="A14" s="8" t="s">
        <v>115</v>
      </c>
      <c r="B14" s="8" t="s">
        <v>161</v>
      </c>
      <c r="C14" s="1537" t="s">
        <v>1890</v>
      </c>
    </row>
    <row r="15" spans="1:23">
      <c r="A15" s="8" t="s">
        <v>116</v>
      </c>
      <c r="B15" s="3206" t="s">
        <v>3298</v>
      </c>
      <c r="C15" s="1537"/>
    </row>
    <row r="16" spans="1:23">
      <c r="A16" s="8" t="s">
        <v>117</v>
      </c>
      <c r="B16" s="3206" t="s">
        <v>3299</v>
      </c>
      <c r="C16" s="1537"/>
    </row>
    <row r="17" spans="1:3">
      <c r="A17" s="8" t="s">
        <v>118</v>
      </c>
      <c r="B17" s="3206" t="s">
        <v>3315</v>
      </c>
      <c r="C17" s="1537"/>
    </row>
    <row r="18" spans="1:3">
      <c r="A18" s="8" t="s">
        <v>119</v>
      </c>
      <c r="B18" s="2938" t="s">
        <v>2944</v>
      </c>
      <c r="C18" s="1537"/>
    </row>
    <row r="19" spans="1:3">
      <c r="A19" s="8" t="s">
        <v>120</v>
      </c>
      <c r="B19" s="2938" t="s">
        <v>2952</v>
      </c>
      <c r="C19" s="1537"/>
    </row>
    <row r="20" spans="1:3">
      <c r="A20" s="8" t="s">
        <v>121</v>
      </c>
      <c r="B20" s="8" t="s">
        <v>1638</v>
      </c>
      <c r="C20" s="1537"/>
    </row>
    <row r="21" spans="1:3">
      <c r="A21" s="8" t="s">
        <v>122</v>
      </c>
      <c r="B21" s="8" t="s">
        <v>1638</v>
      </c>
      <c r="C21" s="1537"/>
    </row>
    <row r="22" spans="1:3">
      <c r="A22" s="8" t="s">
        <v>123</v>
      </c>
      <c r="B22" s="8" t="s">
        <v>1638</v>
      </c>
      <c r="C22" s="1537"/>
    </row>
    <row r="23" spans="1:3">
      <c r="A23" s="8" t="s">
        <v>124</v>
      </c>
      <c r="B23" s="8" t="s">
        <v>1638</v>
      </c>
      <c r="C23" s="1537"/>
    </row>
    <row r="24" spans="1:3">
      <c r="A24" s="8" t="s">
        <v>12</v>
      </c>
      <c r="B24" s="8" t="s">
        <v>1638</v>
      </c>
      <c r="C24" s="1537"/>
    </row>
    <row r="25" spans="1:3">
      <c r="A25" s="8" t="s">
        <v>125</v>
      </c>
      <c r="B25" s="8" t="s">
        <v>1638</v>
      </c>
      <c r="C25" s="1537"/>
    </row>
    <row r="26" spans="1:3">
      <c r="A26" s="8" t="s">
        <v>126</v>
      </c>
      <c r="B26" s="8" t="s">
        <v>1638</v>
      </c>
      <c r="C26" s="1537"/>
    </row>
    <row r="27" spans="1:3">
      <c r="A27" s="8" t="s">
        <v>1638</v>
      </c>
      <c r="B27" s="8" t="s">
        <v>1638</v>
      </c>
      <c r="C27" s="1537"/>
    </row>
    <row r="28" spans="1:3">
      <c r="A28" s="8" t="s">
        <v>1638</v>
      </c>
      <c r="B28" s="8" t="s">
        <v>1638</v>
      </c>
      <c r="C28" s="1537"/>
    </row>
    <row r="29" spans="1:3">
      <c r="A29" s="8" t="s">
        <v>1638</v>
      </c>
      <c r="B29" s="8" t="s">
        <v>1638</v>
      </c>
      <c r="C29" s="1537"/>
    </row>
    <row r="30" spans="1:3">
      <c r="A30" s="8" t="s">
        <v>1638</v>
      </c>
      <c r="B30" s="8" t="s">
        <v>1638</v>
      </c>
      <c r="C30" s="1537"/>
    </row>
    <row r="31" spans="1:3">
      <c r="A31" s="8" t="s">
        <v>1638</v>
      </c>
      <c r="B31" s="8" t="s">
        <v>1638</v>
      </c>
      <c r="C31" s="1537"/>
    </row>
    <row r="32" spans="1:3">
      <c r="A32" s="8" t="s">
        <v>1638</v>
      </c>
      <c r="B32" s="8" t="s">
        <v>1638</v>
      </c>
      <c r="C32" s="1537"/>
    </row>
    <row r="33" spans="1:3">
      <c r="A33" s="8" t="s">
        <v>1638</v>
      </c>
      <c r="B33" s="8" t="s">
        <v>1638</v>
      </c>
      <c r="C33" s="1537"/>
    </row>
    <row r="34" spans="1:3">
      <c r="A34" s="8" t="s">
        <v>1638</v>
      </c>
      <c r="B34" s="8" t="s">
        <v>1638</v>
      </c>
      <c r="C34" s="1537"/>
    </row>
    <row r="35" spans="1:3">
      <c r="A35" s="8" t="s">
        <v>1638</v>
      </c>
      <c r="B35" s="8" t="s">
        <v>1638</v>
      </c>
      <c r="C35" s="1537"/>
    </row>
    <row r="36" spans="1:3">
      <c r="A36" s="8" t="s">
        <v>1638</v>
      </c>
      <c r="B36" s="8" t="s">
        <v>1638</v>
      </c>
      <c r="C36" s="1537"/>
    </row>
    <row r="37" spans="1:3">
      <c r="A37" s="8" t="s">
        <v>1638</v>
      </c>
      <c r="B37" s="8" t="s">
        <v>1638</v>
      </c>
      <c r="C37" s="1537"/>
    </row>
    <row r="38" spans="1:3">
      <c r="A38" s="8" t="s">
        <v>1638</v>
      </c>
      <c r="B38" s="8" t="s">
        <v>1638</v>
      </c>
      <c r="C38" s="1537"/>
    </row>
    <row r="39" spans="1:3">
      <c r="A39" s="8" t="s">
        <v>1638</v>
      </c>
      <c r="B39" s="8" t="s">
        <v>1638</v>
      </c>
      <c r="C39" s="1537"/>
    </row>
    <row r="40" spans="1:3">
      <c r="A40" s="8" t="s">
        <v>1638</v>
      </c>
      <c r="B40" s="8" t="s">
        <v>1638</v>
      </c>
      <c r="C40" s="1537"/>
    </row>
    <row r="41" spans="1:3">
      <c r="A41" s="8" t="s">
        <v>1638</v>
      </c>
      <c r="B41" s="8" t="s">
        <v>1638</v>
      </c>
      <c r="C41" s="1537"/>
    </row>
    <row r="42" spans="1:3">
      <c r="A42" s="8" t="s">
        <v>1638</v>
      </c>
      <c r="B42" s="8" t="s">
        <v>1638</v>
      </c>
      <c r="C42" s="1537"/>
    </row>
    <row r="43" spans="1:3">
      <c r="A43" s="8" t="s">
        <v>1638</v>
      </c>
      <c r="B43" s="8" t="s">
        <v>1638</v>
      </c>
      <c r="C43" s="1537"/>
    </row>
    <row r="44" spans="1:3">
      <c r="A44" s="8" t="s">
        <v>1638</v>
      </c>
      <c r="B44" s="8" t="s">
        <v>1638</v>
      </c>
      <c r="C44" s="1537"/>
    </row>
    <row r="45" spans="1:3">
      <c r="A45" s="8" t="s">
        <v>1638</v>
      </c>
      <c r="B45" s="8" t="s">
        <v>1638</v>
      </c>
      <c r="C45" s="1537"/>
    </row>
    <row r="46" spans="1:3">
      <c r="A46" s="8" t="s">
        <v>1638</v>
      </c>
      <c r="B46" s="8" t="s">
        <v>1638</v>
      </c>
      <c r="C46" s="1537"/>
    </row>
    <row r="47" spans="1:3">
      <c r="A47" s="8" t="s">
        <v>1638</v>
      </c>
      <c r="B47" s="8" t="s">
        <v>1638</v>
      </c>
      <c r="C47" s="1537"/>
    </row>
    <row r="48" spans="1:3">
      <c r="A48" s="8" t="s">
        <v>1638</v>
      </c>
      <c r="B48" s="8" t="s">
        <v>1638</v>
      </c>
      <c r="C48" s="1537"/>
    </row>
    <row r="49" spans="1:5">
      <c r="A49" s="8" t="s">
        <v>1638</v>
      </c>
      <c r="B49" s="8" t="s">
        <v>1638</v>
      </c>
      <c r="C49" s="1537"/>
    </row>
    <row r="50" spans="1:5">
      <c r="A50" s="8" t="s">
        <v>1638</v>
      </c>
      <c r="B50" s="8" t="s">
        <v>1638</v>
      </c>
      <c r="C50" s="1537"/>
    </row>
    <row r="51" spans="1:5">
      <c r="A51" s="1747" t="s">
        <v>1934</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1978</v>
      </c>
      <c r="B52" s="1750" t="s">
        <v>1979</v>
      </c>
      <c r="C52" s="1748" t="s">
        <v>1980</v>
      </c>
      <c r="D52" s="1748" t="s">
        <v>1981</v>
      </c>
      <c r="E52" s="1749"/>
    </row>
    <row r="53" spans="1:5">
      <c r="A53" s="3248" t="s">
        <v>1982</v>
      </c>
      <c r="B53" s="1748" t="s">
        <v>1988</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8月7日，在规划利用条件下、设定土地开发程度为红线外“七通”、宗地内场地，设定用途为，剩余土地使用年限为的出让国有建设用地使用权价格。</v>
      </c>
      <c r="D53" s="1749"/>
      <c r="E53" s="1749"/>
    </row>
    <row r="54" spans="1:5">
      <c r="A54" s="3248"/>
      <c r="B54" s="1748" t="s">
        <v>1989</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48"/>
      <c r="B55" s="1748" t="s">
        <v>1983</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48"/>
      <c r="B56" s="1748" t="s">
        <v>1984</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48"/>
      <c r="B57" s="1748" t="s">
        <v>1985</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2041</v>
      </c>
      <c r="B58" s="1748" t="s">
        <v>2042</v>
      </c>
      <c r="C58" s="11" t="s">
        <v>2043</v>
      </c>
      <c r="D58" s="1313" t="s">
        <v>2044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最新土地案例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住宅案例</vt:lpstr>
      <vt:lpstr>典型户型修正</vt:lpstr>
      <vt:lpstr>不动产比较法-商业</vt:lpstr>
      <vt:lpstr>不动产比较法-办公</vt:lpstr>
      <vt:lpstr>不动产比较法-工业</vt:lpstr>
      <vt:lpstr>不动产收益法商业</vt:lpstr>
      <vt:lpstr>不动产收益法办公</vt:lpstr>
      <vt:lpstr>不动产收益法车库</vt:lpstr>
      <vt:lpstr>评估动态信息</vt:lpstr>
      <vt:lpstr>不动产比较法-车位</vt:lpstr>
      <vt:lpstr>不动产比较法-仓储</vt:lpstr>
      <vt:lpstr>存贷款利率</vt:lpstr>
      <vt:lpstr>Sheet6</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2020-08-09T23:32:55Z</dcterms:modified>
</cp:coreProperties>
</file>