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60" yWindow="-30" windowWidth="14400" windowHeight="1230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1" sheetId="69" state="hidden" r:id="rId20"/>
    <sheet name="收益法 (元)-1" sheetId="67" state="hidden" r:id="rId21"/>
    <sheet name="假设开发法" sheetId="12" state="hidden" r:id="rId22"/>
    <sheet name="收益法" sheetId="15"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 name="Sheet1" sheetId="80" r:id="rId46"/>
    <sheet name="Sheet2" sheetId="87" r:id="rId47"/>
    <sheet name="快速变现比例" sheetId="88"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(元)-1'!$A$1:$G$57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0">'收益法 (元)-1'!$A$1:$F$43,'收益法 (元)-1'!$H$3:$M$29,'收益法 (元)-1'!$A$45:$F$71,'收益法 (元)-1'!$I$46:$N$65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F13" i="88" l="1"/>
  <c r="F14" i="88"/>
  <c r="F15" i="88"/>
  <c r="F16" i="88"/>
  <c r="F17" i="88"/>
  <c r="F12" i="88"/>
  <c r="B12" i="88"/>
  <c r="R28" i="77"/>
  <c r="B4" i="77"/>
  <c r="S25" i="77"/>
  <c r="N10" i="87"/>
  <c r="M10" i="87"/>
  <c r="N6" i="87"/>
  <c r="N7" i="87"/>
  <c r="N8" i="87"/>
  <c r="N5" i="87"/>
  <c r="L10" i="87"/>
  <c r="C36" i="77"/>
  <c r="R8" i="77"/>
  <c r="R9" i="77"/>
  <c r="R10" i="77"/>
  <c r="R11" i="77"/>
  <c r="R12" i="77"/>
  <c r="R13" i="77"/>
  <c r="R7" i="77"/>
  <c r="P9" i="77"/>
  <c r="P8" i="77"/>
  <c r="C6" i="68"/>
  <c r="G19" i="6"/>
  <c r="D37" i="43"/>
  <c r="D33" i="43"/>
  <c r="N6" i="1"/>
  <c r="F19" i="6"/>
  <c r="U3" i="43" l="1"/>
  <c r="U2" i="43"/>
  <c r="Y6" i="1"/>
  <c r="N19" i="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9" i="1" l="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D14" i="77"/>
  <c r="R4" i="77"/>
  <c r="R3" i="77"/>
  <c r="R14" i="77" l="1"/>
  <c r="R24" i="77" s="1"/>
  <c r="R25" i="77"/>
  <c r="R35" i="77"/>
  <c r="U34" i="77" s="1"/>
  <c r="AH9" i="71"/>
  <c r="AG9" i="71"/>
  <c r="AE9" i="71"/>
  <c r="AF9" i="71" s="1"/>
  <c r="AD9" i="71"/>
  <c r="Q9" i="71"/>
  <c r="P9" i="71"/>
  <c r="O9" i="71"/>
  <c r="N9" i="71"/>
  <c r="R19" i="77" l="1"/>
  <c r="R5" i="77" s="1"/>
  <c r="AH10" i="71"/>
  <c r="AG10" i="71"/>
  <c r="AE10" i="71"/>
  <c r="AF10" i="71" s="1"/>
  <c r="AD10" i="71"/>
  <c r="Q10" i="71"/>
  <c r="AB9" i="71" s="1"/>
  <c r="P10" i="71"/>
  <c r="AA9" i="71" s="1"/>
  <c r="O10" i="71"/>
  <c r="Y9" i="71" s="1"/>
  <c r="Z9" i="71" s="1"/>
  <c r="N10" i="71"/>
  <c r="X9" i="71" s="1"/>
  <c r="U5" i="77" l="1"/>
  <c r="D6" i="77"/>
  <c r="V12" i="71"/>
  <c r="U12" i="71"/>
  <c r="T12" i="71"/>
  <c r="S12" i="71"/>
  <c r="D17" i="77" l="1"/>
  <c r="D9" i="77"/>
  <c r="C23" i="77"/>
  <c r="D18" i="77"/>
  <c r="D16" i="77"/>
  <c r="D15" i="77"/>
  <c r="D10"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D26" i="77"/>
  <c r="D32" i="77" s="1"/>
  <c r="AH12" i="71"/>
  <c r="AG12" i="71"/>
  <c r="AE12" i="71"/>
  <c r="AF12" i="71" s="1"/>
  <c r="AD12" i="71"/>
  <c r="Q12" i="71"/>
  <c r="P12" i="71"/>
  <c r="O12" i="71"/>
  <c r="N12" i="71"/>
  <c r="E26" i="77" l="1"/>
  <c r="E29" i="77"/>
  <c r="E32" i="77" s="1"/>
  <c r="AH13" i="7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N16" i="3"/>
  <c r="BN17" i="3"/>
  <c r="BP13" i="3"/>
  <c r="BP14" i="3"/>
  <c r="BP15" i="3"/>
  <c r="BP16" i="3"/>
  <c r="BP17" i="3"/>
  <c r="E19" i="6"/>
  <c r="E20" i="6"/>
  <c r="K7" i="1" s="1"/>
  <c r="E21" i="6"/>
  <c r="K8" i="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B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3" i="76"/>
  <c r="E11" i="76"/>
  <c r="F7" i="73"/>
  <c r="M9" i="67"/>
  <c r="F26" i="67"/>
  <c r="E8" i="76"/>
  <c r="M22" i="15"/>
  <c r="B10" i="76"/>
  <c r="E2" i="68"/>
  <c r="F38" i="67"/>
  <c r="M26" i="67"/>
  <c r="L47" i="67"/>
  <c r="F38" i="15"/>
  <c r="D5" i="73"/>
  <c r="B12" i="76"/>
  <c r="E7" i="76"/>
  <c r="F16" i="67"/>
  <c r="F13" i="67"/>
  <c r="F36" i="67"/>
  <c r="M28" i="15"/>
  <c r="M23" i="67"/>
  <c r="C76" i="67"/>
  <c r="J15" i="67"/>
  <c r="M9" i="15"/>
  <c r="C76" i="15"/>
  <c r="M8" i="67"/>
  <c r="M28" i="67"/>
  <c r="J15" i="15"/>
  <c r="F42" i="15"/>
  <c r="F6" i="73"/>
  <c r="M22" i="67"/>
  <c r="M29" i="67"/>
  <c r="F16" i="15"/>
  <c r="D35" i="9"/>
  <c r="M26" i="15"/>
  <c r="F40" i="15"/>
  <c r="B8" i="76"/>
  <c r="F5" i="73"/>
  <c r="L48" i="15"/>
  <c r="D7" i="73"/>
  <c r="M24" i="67"/>
  <c r="F43" i="15"/>
  <c r="F9" i="15"/>
  <c r="F43" i="67"/>
  <c r="F7" i="67"/>
  <c r="M29" i="15"/>
  <c r="F6" i="67"/>
  <c r="B7" i="76"/>
  <c r="L47" i="15"/>
  <c r="F36" i="15"/>
  <c r="F37" i="15"/>
  <c r="M23" i="15"/>
  <c r="F7" i="15"/>
  <c r="M24" i="15"/>
  <c r="F42" i="67"/>
  <c r="F20" i="31"/>
  <c r="B11" i="76"/>
  <c r="D6" i="73"/>
  <c r="M6" i="15"/>
  <c r="F40" i="67"/>
  <c r="F3" i="73"/>
  <c r="M8" i="15"/>
  <c r="F8" i="15"/>
  <c r="F26" i="15"/>
  <c r="D3" i="73"/>
  <c r="F37" i="67"/>
  <c r="D34" i="9"/>
  <c r="AO13" i="1"/>
  <c r="F4" i="73"/>
  <c r="L48" i="67"/>
  <c r="F9" i="67"/>
  <c r="E10" i="76"/>
  <c r="B9" i="76"/>
  <c r="B13" i="76"/>
  <c r="E12" i="76"/>
  <c r="M6" i="67"/>
  <c r="F8" i="67"/>
  <c r="E9" i="76"/>
  <c r="F6" i="15"/>
  <c r="D4" i="73"/>
  <c r="E2" i="69"/>
  <c r="F13" i="15"/>
  <c r="C18" i="9" l="1"/>
  <c r="D18" i="9" s="1"/>
  <c r="D52" i="43"/>
  <c r="D56" i="43"/>
  <c r="H69" i="43"/>
  <c r="M20" i="15"/>
  <c r="D22" i="15"/>
  <c r="D23" i="15"/>
  <c r="G41" i="69"/>
  <c r="G13" i="3"/>
  <c r="BL15" i="3"/>
  <c r="M8" i="1"/>
  <c r="M7" i="1"/>
  <c r="O7" i="1" s="1"/>
  <c r="P7" i="1" s="1"/>
  <c r="G7" i="1"/>
  <c r="F8" i="1"/>
  <c r="D55" i="43"/>
  <c r="D50" i="43"/>
  <c r="B41" i="1"/>
  <c r="C21" i="68"/>
  <c r="C40" i="69"/>
  <c r="BF5" i="3"/>
  <c r="BL5" i="3"/>
  <c r="BS5" i="3"/>
  <c r="F28" i="6" s="1"/>
  <c r="F30" i="6" s="1"/>
  <c r="AZ15" i="3"/>
  <c r="G29" i="6"/>
  <c r="G28" i="6"/>
  <c r="G30" i="6" s="1"/>
  <c r="G31" i="6" s="1"/>
  <c r="G14" i="3"/>
  <c r="H5" i="3"/>
  <c r="BA5" i="3"/>
  <c r="D19" i="53"/>
  <c r="B38" i="72" s="1"/>
  <c r="D16" i="53"/>
  <c r="B34" i="72" s="1"/>
  <c r="D21" i="53"/>
  <c r="B39" i="72" s="1"/>
  <c r="C24" i="12"/>
  <c r="G6" i="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D9" i="11"/>
  <c r="C9" i="11" s="1"/>
  <c r="D19" i="12"/>
  <c r="C19" i="12" s="1"/>
  <c r="AZ13" i="3"/>
  <c r="AZ5" i="3" s="1"/>
  <c r="O9" i="1"/>
  <c r="P9" i="1" s="1"/>
  <c r="O12" i="1"/>
  <c r="P12" i="1" s="1"/>
  <c r="O8" i="1"/>
  <c r="P8" i="1" s="1"/>
  <c r="H73" i="43"/>
  <c r="H90"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67"/>
  <c r="C16" i="15"/>
  <c r="G1" i="73"/>
  <c r="F27" i="69"/>
  <c r="C36" i="69"/>
  <c r="D9" i="69"/>
  <c r="G5" i="3" l="1"/>
  <c r="B3" i="3" s="1"/>
  <c r="E188" i="3" s="1"/>
  <c r="E50" i="43"/>
  <c r="B48" i="43" s="1"/>
  <c r="E28" i="6"/>
  <c r="K14" i="1" s="1"/>
  <c r="K16" i="1" s="1"/>
  <c r="E514" i="3"/>
  <c r="E387" i="3"/>
  <c r="G8" i="1"/>
  <c r="G16" i="1" s="1"/>
  <c r="J7" i="36"/>
  <c r="I24" i="43"/>
  <c r="C24" i="43" s="1"/>
  <c r="F48" i="9"/>
  <c r="O52" i="9" s="1"/>
  <c r="F28" i="67"/>
  <c r="C28" i="67" s="1"/>
  <c r="F32" i="67"/>
  <c r="F60" i="67" s="1"/>
  <c r="F28" i="15"/>
  <c r="C28" i="15" s="1"/>
  <c r="F31" i="12"/>
  <c r="C31" i="12" s="1"/>
  <c r="F30" i="69"/>
  <c r="D68" i="9"/>
  <c r="M18" i="67"/>
  <c r="J18" i="67" s="1"/>
  <c r="M18" i="15"/>
  <c r="F30" i="68"/>
  <c r="F52" i="9"/>
  <c r="F32" i="15"/>
  <c r="F60" i="15" s="1"/>
  <c r="F54" i="9"/>
  <c r="F30" i="11"/>
  <c r="AI6" i="3"/>
  <c r="AB6" i="3"/>
  <c r="E579" i="3"/>
  <c r="E109" i="3"/>
  <c r="E327" i="3"/>
  <c r="E214" i="3"/>
  <c r="E465" i="3"/>
  <c r="X6" i="3"/>
  <c r="E161" i="3"/>
  <c r="E215" i="3"/>
  <c r="E526" i="3"/>
  <c r="E182" i="3"/>
  <c r="E531" i="3"/>
  <c r="E74" i="3"/>
  <c r="E171" i="3"/>
  <c r="E468" i="3"/>
  <c r="E133" i="3"/>
  <c r="E545" i="3"/>
  <c r="E273" i="3"/>
  <c r="E345" i="3"/>
  <c r="Z6" i="3"/>
  <c r="E368" i="3"/>
  <c r="E106" i="3"/>
  <c r="E587" i="3"/>
  <c r="E560" i="3"/>
  <c r="E568" i="3"/>
  <c r="E246" i="3"/>
  <c r="E263" i="3"/>
  <c r="E278" i="3"/>
  <c r="E335" i="3"/>
  <c r="E570" i="3"/>
  <c r="AJ6" i="3"/>
  <c r="E217" i="3"/>
  <c r="E377" i="3"/>
  <c r="E557" i="3"/>
  <c r="AO6" i="3"/>
  <c r="E89" i="3"/>
  <c r="E146" i="3"/>
  <c r="E577" i="3"/>
  <c r="E472" i="3"/>
  <c r="E181" i="3"/>
  <c r="E16" i="3"/>
  <c r="E59" i="40"/>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388" i="3"/>
  <c r="E508" i="3"/>
  <c r="E305" i="3"/>
  <c r="E343" i="3"/>
  <c r="E530" i="3"/>
  <c r="E175"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510" i="3"/>
  <c r="E539" i="3"/>
  <c r="E296" i="3"/>
  <c r="E149"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94" i="3"/>
  <c r="E198" i="3"/>
  <c r="E281" i="3"/>
  <c r="E332" i="3"/>
  <c r="E356" i="3"/>
  <c r="E42" i="3"/>
  <c r="E75" i="3"/>
  <c r="E428" i="3"/>
  <c r="E412" i="3"/>
  <c r="E96" i="3"/>
  <c r="E78" i="3"/>
  <c r="E190" i="3"/>
  <c r="E205" i="3"/>
  <c r="E244" i="3"/>
  <c r="E212" i="3"/>
  <c r="E173" i="3"/>
  <c r="E369" i="3"/>
  <c r="E525" i="3"/>
  <c r="E534" i="3"/>
  <c r="T6" i="3"/>
  <c r="E405" i="3"/>
  <c r="E456" i="3"/>
  <c r="E469" i="3"/>
  <c r="E512" i="3"/>
  <c r="E408" i="3"/>
  <c r="E451" i="3"/>
  <c r="E360" i="3"/>
  <c r="E556" i="3"/>
  <c r="E497" i="3"/>
  <c r="E13" i="3"/>
  <c r="E452" i="3"/>
  <c r="E470" i="3"/>
  <c r="E420" i="3"/>
  <c r="E26" i="3"/>
  <c r="E104" i="3"/>
  <c r="E41" i="3"/>
  <c r="E115" i="3"/>
  <c r="E139" i="3"/>
  <c r="E225" i="3"/>
  <c r="E243" i="3"/>
  <c r="E391" i="3"/>
  <c r="AL6" i="3"/>
  <c r="E94" i="3"/>
  <c r="E482" i="3"/>
  <c r="E18" i="3"/>
  <c r="E129" i="3"/>
  <c r="E174" i="3"/>
  <c r="E165" i="3"/>
  <c r="E148" i="3"/>
  <c r="E19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05" i="3"/>
  <c r="E543" i="3"/>
  <c r="E422" i="3"/>
  <c r="AH6" i="3"/>
  <c r="E483" i="3"/>
  <c r="E25" i="3"/>
  <c r="E202" i="3"/>
  <c r="E346" i="3"/>
  <c r="E60" i="3"/>
  <c r="E15" i="3"/>
  <c r="E100" i="3"/>
  <c r="E220" i="3"/>
  <c r="E235" i="3"/>
  <c r="E383" i="3"/>
  <c r="E522" i="3"/>
  <c r="E86" i="3"/>
  <c r="E49" i="3"/>
  <c r="E232" i="3"/>
  <c r="E370" i="3"/>
  <c r="E102" i="3"/>
  <c r="E113" i="3"/>
  <c r="E287" i="3"/>
  <c r="E326" i="3"/>
  <c r="E83" i="3"/>
  <c r="E493" i="3"/>
  <c r="E486" i="3"/>
  <c r="E490" i="3"/>
  <c r="E463" i="3"/>
  <c r="E226" i="3"/>
  <c r="E540" i="3"/>
  <c r="E137" i="3"/>
  <c r="E324" i="3"/>
  <c r="E342" i="3"/>
  <c r="E34" i="3"/>
  <c r="E251" i="3"/>
  <c r="E80" i="3"/>
  <c r="E308" i="3"/>
  <c r="E167" i="3"/>
  <c r="E564" i="3"/>
  <c r="E507" i="3"/>
  <c r="E419" i="3"/>
  <c r="E40" i="3"/>
  <c r="E119" i="3"/>
  <c r="E276" i="3"/>
  <c r="L6" i="3"/>
  <c r="E473" i="3"/>
  <c r="E38" i="3"/>
  <c r="E194" i="3"/>
  <c r="E219" i="3"/>
  <c r="E339" i="3"/>
  <c r="E392" i="3"/>
  <c r="E52" i="3"/>
  <c r="E112" i="3"/>
  <c r="E147" i="3"/>
  <c r="E340" i="3"/>
  <c r="E50" i="3"/>
  <c r="E62" i="3"/>
  <c r="E365" i="3"/>
  <c r="E536" i="3"/>
  <c r="E393" i="3"/>
  <c r="E427" i="3"/>
  <c r="E440" i="3"/>
  <c r="J6" i="3"/>
  <c r="E401" i="3"/>
  <c r="E108" i="3"/>
  <c r="E242" i="3"/>
  <c r="E333" i="3"/>
  <c r="E43" i="3"/>
  <c r="E455" i="3"/>
  <c r="E170" i="3"/>
  <c r="E234" i="3"/>
  <c r="E299" i="3"/>
  <c r="E325" i="3"/>
  <c r="AQ6" i="3"/>
  <c r="E36" i="3"/>
  <c r="E123" i="3"/>
  <c r="E289" i="3"/>
  <c r="E364" i="3"/>
  <c r="E20" i="3"/>
  <c r="E176" i="3"/>
  <c r="E265" i="3"/>
  <c r="E524" i="3"/>
  <c r="E376" i="3"/>
  <c r="E218" i="3"/>
  <c r="E140" i="3"/>
  <c r="E498" i="3"/>
  <c r="E178" i="3"/>
  <c r="E372" i="3"/>
  <c r="E79" i="3"/>
  <c r="E275" i="3"/>
  <c r="E35" i="3"/>
  <c r="E206" i="3"/>
  <c r="AF6" i="3"/>
  <c r="E158" i="3"/>
  <c r="E22" i="3"/>
  <c r="E101" i="3"/>
  <c r="E583"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223"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329" i="3"/>
  <c r="E116" i="3"/>
  <c r="D18" i="53"/>
  <c r="B35" i="72" s="1"/>
  <c r="C7" i="74"/>
  <c r="J7" i="37"/>
  <c r="F7" i="36"/>
  <c r="H7" i="36"/>
  <c r="E61" i="43"/>
  <c r="B59" i="43" s="1"/>
  <c r="C28" i="43" s="1"/>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D5" i="43"/>
  <c r="C7" i="43"/>
  <c r="C5" i="43" s="1"/>
  <c r="D10" i="52"/>
  <c r="D125" i="9"/>
  <c r="D11" i="52" s="1"/>
  <c r="B7" i="74"/>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F1" i="67"/>
  <c r="Q52" i="67"/>
  <c r="Q60" i="15"/>
  <c r="Q73" i="15"/>
  <c r="Q61" i="67"/>
  <c r="Q74" i="67"/>
  <c r="Q74" i="15"/>
  <c r="Q61" i="15"/>
  <c r="AE11" i="1"/>
  <c r="AE9" i="1"/>
  <c r="F27" i="68"/>
  <c r="AE12" i="1"/>
  <c r="AE10" i="1"/>
  <c r="AE6" i="1"/>
  <c r="F41" i="67"/>
  <c r="E322" i="3" l="1"/>
  <c r="E277" i="3"/>
  <c r="E362" i="3"/>
  <c r="E70" i="3"/>
  <c r="E247" i="3"/>
  <c r="E535" i="3"/>
  <c r="E228" i="3"/>
  <c r="E315" i="3"/>
  <c r="E28" i="3"/>
  <c r="E406" i="3"/>
  <c r="E485" i="3"/>
  <c r="E201" i="3"/>
  <c r="AK6" i="3"/>
  <c r="E489" i="3"/>
  <c r="E172" i="3"/>
  <c r="E431" i="3"/>
  <c r="E509" i="3"/>
  <c r="E563" i="3"/>
  <c r="E77" i="3"/>
  <c r="E454" i="3"/>
  <c r="E400" i="3"/>
  <c r="E268" i="3"/>
  <c r="E189" i="3"/>
  <c r="E445" i="3"/>
  <c r="E69" i="3"/>
  <c r="E204" i="3"/>
  <c r="E572" i="3"/>
  <c r="M6" i="3"/>
  <c r="H6" i="3" s="1"/>
  <c r="E423" i="3"/>
  <c r="K6" i="3"/>
  <c r="E227" i="3"/>
  <c r="E211" i="3"/>
  <c r="E311" i="3"/>
  <c r="E135" i="3"/>
  <c r="E385" i="3"/>
  <c r="E191" i="3"/>
  <c r="M14" i="1"/>
  <c r="AC6" i="3"/>
  <c r="E65" i="39"/>
  <c r="F10" i="39"/>
  <c r="F10" i="40"/>
  <c r="S10" i="40" s="1"/>
  <c r="J10" i="39"/>
  <c r="W10" i="39" s="1"/>
  <c r="J10" i="40"/>
  <c r="AC10" i="40" s="1"/>
  <c r="H10" i="40"/>
  <c r="AB10" i="40" s="1"/>
  <c r="H10" i="39"/>
  <c r="U10" i="39" s="1"/>
  <c r="L36" i="43"/>
  <c r="N36" i="43" s="1"/>
  <c r="C32" i="15"/>
  <c r="C48" i="11"/>
  <c r="C30" i="11"/>
  <c r="F48" i="68"/>
  <c r="C30" i="68"/>
  <c r="C48" i="68"/>
  <c r="F48" i="69"/>
  <c r="C48" i="69"/>
  <c r="C30" i="69"/>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AE7" i="1"/>
  <c r="AE8" i="1"/>
  <c r="M27" i="67"/>
  <c r="F41" i="15"/>
  <c r="M27" i="15"/>
  <c r="E6" i="3" l="1"/>
  <c r="W10" i="40"/>
  <c r="U10" i="40"/>
  <c r="E8" i="70"/>
  <c r="V3" i="43"/>
  <c r="V2" i="43"/>
  <c r="C6" i="69"/>
  <c r="C7" i="69" s="1"/>
  <c r="S10" i="39"/>
  <c r="AA10" i="39"/>
  <c r="M36" i="43"/>
  <c r="O36" i="43"/>
  <c r="P36" i="43"/>
  <c r="L37" i="43"/>
  <c r="O37" i="43" s="1"/>
  <c r="Q36"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C17" i="15"/>
  <c r="D10" i="69"/>
  <c r="C34" i="69"/>
  <c r="C14" i="67"/>
  <c r="C17" i="67"/>
  <c r="C25" i="11" l="1"/>
  <c r="H22" i="6"/>
  <c r="D30" i="6"/>
  <c r="H24" i="6"/>
  <c r="H25" i="6"/>
  <c r="E7" i="70"/>
  <c r="Q37" i="43"/>
  <c r="M37" i="43"/>
  <c r="N37" i="43"/>
  <c r="P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8" i="12" l="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C23" i="69"/>
  <c r="I69" i="39"/>
  <c r="J67" i="39"/>
  <c r="D9" i="71"/>
  <c r="I63" i="40"/>
  <c r="H65" i="40"/>
  <c r="I58" i="21"/>
  <c r="J58" i="21" s="1"/>
  <c r="K58" i="21" s="1"/>
  <c r="L58" i="21" s="1"/>
  <c r="M58" i="21" s="1"/>
  <c r="N58" i="21" s="1"/>
  <c r="O58" i="21" s="1"/>
  <c r="H7" i="21" s="1"/>
  <c r="J48" i="35"/>
  <c r="F26" i="43" l="1"/>
  <c r="H26" i="43"/>
  <c r="N370" i="46"/>
  <c r="N94" i="46"/>
  <c r="E26" i="43"/>
  <c r="B116" i="43"/>
  <c r="J26" i="43"/>
  <c r="G26" i="43"/>
  <c r="Z7" i="43"/>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I121" i="43" l="1"/>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D26" i="43"/>
  <c r="C25" i="43" s="1"/>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67"/>
  <c r="M21" i="15"/>
  <c r="C118" i="43" l="1"/>
  <c r="D116" i="43"/>
  <c r="C33" i="43"/>
  <c r="AC7" i="35"/>
  <c r="V38" i="35" s="1"/>
  <c r="I38" i="35" s="1"/>
  <c r="D5" i="71"/>
  <c r="M24" i="43" s="1"/>
  <c r="C56" i="67"/>
  <c r="C65" i="67" s="1"/>
  <c r="J22" i="67"/>
  <c r="C37" i="67"/>
  <c r="C75" i="67"/>
  <c r="C36" i="15"/>
  <c r="J59" i="15"/>
  <c r="J60"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Q48" i="15" l="1"/>
  <c r="E2" i="77"/>
  <c r="C51" i="68"/>
  <c r="C52" i="68" s="1"/>
  <c r="B2" i="68" s="1"/>
  <c r="D13" i="77"/>
  <c r="D12" i="77" s="1"/>
  <c r="D11" i="77" s="1"/>
  <c r="C34" i="43"/>
  <c r="E34" i="43" s="1"/>
  <c r="C31" i="43" s="1"/>
  <c r="E33" i="43"/>
  <c r="C30" i="43"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E6" i="76"/>
  <c r="D2" i="21"/>
  <c r="C102" i="9" l="1"/>
  <c r="C21" i="9"/>
  <c r="B3" i="68"/>
  <c r="C57" i="68"/>
  <c r="C56" i="68" s="1"/>
  <c r="E11" i="77"/>
  <c r="E7" i="77" s="1"/>
  <c r="C27" i="77" s="1"/>
  <c r="D7" i="77"/>
  <c r="C26" i="77" s="1"/>
  <c r="C32" i="77" s="1"/>
  <c r="C38" i="77" s="1"/>
  <c r="C39" i="77" s="1"/>
  <c r="C40" i="77" s="1"/>
  <c r="E2" i="76"/>
  <c r="B2" i="43"/>
  <c r="Q69" i="67"/>
  <c r="Q68" i="67" s="1"/>
  <c r="I40"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20" i="9"/>
  <c r="B6" i="76"/>
  <c r="L51" i="67"/>
  <c r="D2" i="33"/>
  <c r="C103" i="9" l="1"/>
  <c r="B2" i="77"/>
  <c r="B3" i="77" s="1"/>
  <c r="C41" i="77"/>
  <c r="B2" i="76"/>
  <c r="B3" i="76" s="1"/>
  <c r="B3" i="43"/>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4"/>
  <c r="D2" i="35"/>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12" i="1"/>
  <c r="AO11" i="1"/>
  <c r="AO10"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2" i="9"/>
  <c r="D21" i="9"/>
  <c r="G19"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J19" i="9"/>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45" i="9" l="1"/>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<sst xmlns="http://schemas.openxmlformats.org/spreadsheetml/2006/main" count="7846" uniqueCount="3448">
  <si>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</si>
  <si>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</si>
  <si>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</si>
  <si>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</si>
  <si>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</si>
  <si>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</si>
  <si>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</si>
  <si>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</si>
  <si>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</si>
  <si>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</si>
  <si>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</si>
  <si>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</si>
  <si>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</si>
  <si>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</si>
  <si>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</si>
  <si>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</si>
  <si>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</si>
  <si>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</si>
  <si>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</si>
  <si>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</si>
  <si>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</si>
  <si>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</si>
  <si>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</si>
  <si>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</si>
  <si>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</si>
  <si>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</si>
  <si>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</si>
  <si>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</si>
  <si>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</si>
  <si>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</si>
  <si>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</si>
  <si>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</si>
  <si>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</si>
  <si>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</si>
  <si>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</si>
  <si>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</si>
  <si>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</si>
  <si>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</si>
  <si>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</si>
  <si>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</si>
  <si>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</si>
  <si>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</si>
  <si>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</si>
  <si>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</si>
  <si>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</si>
  <si>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</si>
  <si>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</si>
  <si>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</si>
  <si>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</si>
  <si>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</si>
  <si>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</si>
  <si>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</si>
  <si>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</si>
  <si>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</si>
  <si>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</si>
  <si>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</si>
  <si>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</si>
  <si>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</si>
  <si>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</si>
  <si>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</si>
  <si>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</si>
  <si>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</si>
  <si>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</si>
  <si>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</si>
  <si>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</si>
  <si>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</si>
  <si>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</si>
  <si>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</si>
  <si>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</si>
  <si>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</si>
  <si>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</si>
  <si>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</si>
  <si>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</si>
  <si>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</si>
  <si>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</si>
  <si>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</si>
  <si>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</si>
  <si>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</si>
  <si>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</si>
  <si>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</si>
  <si>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</si>
  <si>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</si>
  <si>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</si>
  <si>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</si>
  <si>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</si>
  <si>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</si>
  <si>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</si>
  <si>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</si>
  <si>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</si>
  <si>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</si>
  <si>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</si>
  <si>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</si>
  <si>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</si>
  <si>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</si>
  <si>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</si>
  <si>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</si>
  <si>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</si>
  <si>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</si>
  <si>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</si>
  <si>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</si>
  <si>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</si>
  <si>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</si>
  <si>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</si>
  <si>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</si>
  <si>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</si>
  <si>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</si>
  <si>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</si>
  <si>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</si>
  <si>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</si>
  <si>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</si>
  <si>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</si>
  <si>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</si>
  <si>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</si>
  <si>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</si>
  <si>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</si>
  <si>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</si>
  <si>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</si>
  <si>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</si>
  <si>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</si>
  <si>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</si>
  <si>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</si>
  <si>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</si>
  <si>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</si>
  <si>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</si>
  <si>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</si>
  <si>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</si>
  <si>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</si>
  <si>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</si>
  <si>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</si>
  <si>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</si>
  <si>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</si>
  <si>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</si>
  <si>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</si>
  <si>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</si>
  <si>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</si>
  <si>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</si>
  <si>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</si>
  <si>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</si>
  <si>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</si>
  <si>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</si>
  <si>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</si>
  <si>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</si>
  <si>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</si>
  <si>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</si>
  <si>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</si>
  <si>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</si>
  <si>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</si>
  <si>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</si>
  <si>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</si>
  <si>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</si>
  <si>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</si>
  <si>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</si>
  <si>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</si>
  <si>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</si>
  <si>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</si>
  <si>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</si>
  <si>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</si>
  <si>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</si>
  <si>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</si>
  <si>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</si>
  <si>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</si>
  <si>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</si>
  <si>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</si>
  <si>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</si>
  <si>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</si>
  <si>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</si>
  <si>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</si>
  <si>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</si>
  <si>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</si>
  <si>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</si>
  <si>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</si>
  <si>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</si>
  <si>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</si>
  <si>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</si>
  <si>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</si>
  <si>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</si>
  <si>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</si>
  <si>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</si>
  <si>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</si>
  <si>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</si>
  <si>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</si>
  <si>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</si>
  <si>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</si>
  <si>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</si>
  <si>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</si>
  <si>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</si>
  <si>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</si>
  <si>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</si>
  <si>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</si>
  <si>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</si>
  <si>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</si>
  <si>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</si>
  <si>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</si>
  <si>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</si>
  <si>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</si>
  <si>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</si>
  <si>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</si>
  <si>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</si>
  <si>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</si>
  <si>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</si>
  <si>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</si>
  <si>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</si>
  <si>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</si>
  <si>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</si>
  <si>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</si>
  <si>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</si>
  <si>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</si>
  <si>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</si>
  <si>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</si>
  <si>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</si>
  <si>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</si>
  <si>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</si>
  <si>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</si>
  <si>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</si>
  <si>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</si>
  <si>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</si>
  <si>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</si>
  <si>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</si>
  <si>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</si>
  <si>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</si>
  <si>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</si>
  <si>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</si>
  <si>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</si>
  <si>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</si>
  <si>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</si>
  <si>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</si>
  <si>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</si>
  <si>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</si>
  <si>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</si>
  <si>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</si>
  <si>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</si>
  <si>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</si>
  <si>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</si>
  <si>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</si>
  <si>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</si>
  <si>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</si>
  <si>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</si>
  <si>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</si>
  <si>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</si>
  <si>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</si>
  <si>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</si>
  <si>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</si>
  <si>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</si>
  <si>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</si>
  <si>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</si>
  <si>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</si>
  <si>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</si>
  <si>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</si>
  <si>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</si>
  <si>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</si>
  <si>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</si>
  <si>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</si>
  <si>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</si>
  <si>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</si>
  <si>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</si>
  <si>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</si>
  <si>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</si>
  <si>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</si>
  <si>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</si>
  <si>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</si>
  <si>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</si>
  <si>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</si>
  <si>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</si>
  <si>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</si>
  <si>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</si>
  <si>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</si>
  <si>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</si>
  <si>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</si>
  <si>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</si>
  <si>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</si>
  <si>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</si>
  <si>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</si>
  <si>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</si>
  <si>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</si>
  <si>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</si>
  <si>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</si>
  <si>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</si>
  <si>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</si>
  <si>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</si>
  <si>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</si>
  <si>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</si>
  <si>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</si>
  <si>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</si>
  <si>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</si>
  <si>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</si>
  <si>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</si>
  <si>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</si>
  <si>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</si>
  <si>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</si>
  <si>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</si>
  <si>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</si>
  <si>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</si>
  <si>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</si>
  <si>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</si>
  <si>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</si>
  <si>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</si>
  <si>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</si>
  <si>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</si>
  <si>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</si>
  <si>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</si>
  <si>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</si>
  <si>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</si>
  <si>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</si>
  <si>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</si>
  <si>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</si>
  <si>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</si>
  <si>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</si>
  <si>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</si>
  <si>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</si>
  <si>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</si>
  <si>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</si>
  <si>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</si>
  <si>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</si>
  <si>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</si>
  <si>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</si>
  <si>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</si>
  <si>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</si>
  <si>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</si>
  <si>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</si>
  <si>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</si>
  <si>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</si>
  <si>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</si>
  <si>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</si>
  <si>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</si>
  <si>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</si>
  <si>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</si>
  <si>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</si>
  <si>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</si>
  <si>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</si>
  <si>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</si>
  <si>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</si>
  <si>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</si>
  <si>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</si>
  <si>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</si>
  <si>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</si>
  <si>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</si>
  <si>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</si>
  <si>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</si>
  <si>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</si>
  <si>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</si>
  <si>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</si>
  <si>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</si>
  <si>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</si>
  <si>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</si>
  <si>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</si>
  <si>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</si>
  <si>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</si>
  <si>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</si>
  <si>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</si>
  <si>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</si>
  <si>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</si>
  <si>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</si>
  <si>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</si>
  <si>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</si>
  <si>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</si>
  <si>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</si>
  <si>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</si>
  <si>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</si>
  <si>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</si>
  <si>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</si>
  <si>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</si>
  <si>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</si>
  <si>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</si>
  <si>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</si>
  <si>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</si>
  <si>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</si>
  <si>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</si>
  <si>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</si>
  <si>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</si>
  <si>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</si>
  <si>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</si>
  <si>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</si>
  <si>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</si>
  <si>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</si>
  <si>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</si>
  <si>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</si>
  <si>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</si>
  <si>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</si>
  <si>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</si>
  <si>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</si>
  <si>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</si>
  <si>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</si>
  <si>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</si>
  <si>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</si>
  <si>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</si>
  <si>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</si>
  <si>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</si>
  <si>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</si>
  <si>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</si>
  <si>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</si>
  <si>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</si>
  <si>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</si>
  <si>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</si>
  <si>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</si>
  <si>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</si>
  <si>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</si>
  <si>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</si>
  <si>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</si>
  <si>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</si>
  <si>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</si>
  <si>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</si>
  <si>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</si>
  <si>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</si>
  <si>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</si>
  <si>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</si>
  <si>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</si>
  <si>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</si>
  <si>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</si>
  <si>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</si>
  <si>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</si>
  <si>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</si>
  <si>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</si>
  <si>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</si>
  <si>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</si>
  <si>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</si>
  <si>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</si>
  <si>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</si>
  <si>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</si>
  <si>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</si>
  <si>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</si>
  <si>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</si>
  <si>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</si>
  <si>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</si>
  <si>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</si>
  <si>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</si>
  <si>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</si>
  <si>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</si>
  <si>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</si>
  <si>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</si>
  <si>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</si>
  <si>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</si>
  <si>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</si>
  <si>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</si>
  <si>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</si>
  <si>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</si>
  <si>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</si>
  <si>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</si>
  <si>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</si>
  <si>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</si>
  <si>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</si>
  <si>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</si>
  <si>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</si>
  <si>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</si>
  <si>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</si>
  <si>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</si>
  <si>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</si>
  <si>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</si>
  <si>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</si>
  <si>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</si>
  <si>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</si>
  <si>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</si>
  <si>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</si>
  <si>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</si>
  <si>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</si>
  <si>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</si>
  <si>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</si>
  <si>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</si>
  <si>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</si>
  <si>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</si>
  <si>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</si>
  <si>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</si>
  <si>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</si>
  <si>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</si>
  <si>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</si>
  <si>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</si>
  <si>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</si>
  <si>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</si>
  <si>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</si>
  <si>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</si>
  <si>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</si>
  <si>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</si>
  <si>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</si>
  <si>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</si>
  <si>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</si>
  <si>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</si>
  <si>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</si>
  <si>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</si>
  <si>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</si>
  <si>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</si>
  <si>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</si>
  <si>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</si>
  <si>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</si>
  <si>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</si>
  <si>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</si>
  <si>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</si>
  <si>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</si>
  <si>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</si>
  <si>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</si>
  <si>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</si>
  <si>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</si>
  <si>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</si>
  <si>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</si>
  <si>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</si>
  <si>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</si>
  <si>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</si>
  <si>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</si>
  <si>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</si>
  <si>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</si>
  <si>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</si>
  <si>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</si>
  <si>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</si>
  <si>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</si>
  <si>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</si>
  <si>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</si>
  <si>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</si>
  <si>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</si>
  <si>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</si>
  <si>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</si>
  <si>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</si>
  <si>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</si>
  <si>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</si>
  <si>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</si>
  <si>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</si>
  <si>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</si>
  <si>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</si>
  <si>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</si>
  <si>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</si>
  <si>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</si>
  <si>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</si>
  <si>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</si>
  <si>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</si>
  <si>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</si>
  <si>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</si>
  <si>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</si>
  <si>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</si>
  <si>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</si>
  <si>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</si>
  <si>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</si>
  <si>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</si>
  <si>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</si>
  <si>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</si>
  <si>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</si>
  <si>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</si>
  <si>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</si>
  <si>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</si>
  <si>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</si>
  <si>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</si>
  <si>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</si>
  <si>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</si>
  <si>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</si>
  <si>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</si>
  <si>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</si>
  <si>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</si>
  <si>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</si>
  <si>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</si>
  <si>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</si>
  <si>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</si>
  <si>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</si>
  <si>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</si>
  <si>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</si>
  <si>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</si>
  <si>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</si>
  <si>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</si>
  <si>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</si>
  <si>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</si>
  <si>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</si>
  <si>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</si>
  <si>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</si>
  <si>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</si>
  <si>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</si>
  <si>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</si>
  <si>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</si>
  <si>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</si>
  <si>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</si>
  <si>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</si>
  <si>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</si>
  <si>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</si>
  <si>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</si>
  <si>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</si>
  <si>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</si>
  <si>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</si>
  <si>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</si>
  <si>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</si>
  <si>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</si>
  <si>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</si>
  <si>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</si>
  <si>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</si>
  <si>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</si>
  <si>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</si>
  <si>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</si>
  <si>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</si>
  <si>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</si>
  <si>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</si>
  <si>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</si>
  <si>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</si>
  <si>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</si>
  <si>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</si>
  <si>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</si>
  <si>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</si>
  <si>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</si>
  <si>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</si>
  <si>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</si>
  <si>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</si>
  <si>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</si>
  <si>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</si>
  <si>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</si>
  <si>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</si>
  <si>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</si>
  <si>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</si>
  <si>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</si>
  <si>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</si>
  <si>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</si>
  <si>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</si>
  <si>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</si>
  <si>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</si>
  <si>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</si>
  <si>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</si>
  <si>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</si>
  <si>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</si>
  <si>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</si>
  <si>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</si>
  <si>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</si>
  <si>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</si>
  <si>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</si>
  <si>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</si>
  <si>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</si>
  <si>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</si>
  <si>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</si>
  <si>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</si>
  <si>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</si>
  <si>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</si>
  <si>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</si>
  <si>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</si>
  <si>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</si>
  <si>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</si>
  <si>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</si>
  <si>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</si>
  <si>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</si>
  <si>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</si>
  <si>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</si>
  <si>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</si>
  <si>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</si>
  <si>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</si>
  <si>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</si>
  <si>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</si>
  <si>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</si>
  <si>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</si>
  <si>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</si>
  <si>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</si>
  <si>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</si>
  <si>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</si>
  <si>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</si>
  <si>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</si>
  <si>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</si>
  <si>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</si>
  <si>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</si>
  <si>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</si>
  <si>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</si>
  <si>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</si>
  <si>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</si>
  <si>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</si>
  <si>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</si>
  <si>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</si>
  <si>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</si>
  <si>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</si>
  <si>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</si>
  <si>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</si>
  <si>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</si>
  <si>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</si>
  <si>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</si>
  <si>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</si>
  <si>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</si>
  <si>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</si>
  <si>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</si>
  <si>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</si>
  <si>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</si>
  <si>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</si>
  <si>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</si>
  <si>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</si>
  <si>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</si>
  <si>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</si>
  <si>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</si>
  <si>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</si>
  <si>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</si>
  <si>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</si>
  <si>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</si>
  <si>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</si>
  <si>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</si>
  <si>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</si>
  <si>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</si>
  <si>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</si>
  <si>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</si>
  <si>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</si>
  <si>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</si>
  <si>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</si>
  <si>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</si>
  <si>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</si>
  <si>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</si>
  <si>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</si>
  <si>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</si>
  <si>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</si>
  <si>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</si>
  <si>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</si>
  <si>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</si>
  <si>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</si>
  <si>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</si>
  <si>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</si>
  <si>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</si>
  <si>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</si>
  <si>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</si>
  <si>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</si>
  <si>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</si>
  <si>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</si>
  <si>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</si>
  <si>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</si>
  <si>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</si>
  <si>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</si>
  <si>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</si>
  <si>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</si>
  <si>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</si>
  <si>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</si>
  <si>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</si>
  <si>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</si>
  <si>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</si>
  <si>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</si>
  <si>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</si>
  <si>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</si>
  <si>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</si>
  <si>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</si>
  <si>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</si>
  <si>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</si>
  <si>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</si>
  <si>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</si>
  <si>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</si>
  <si>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</si>
  <si>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</si>
  <si>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</si>
  <si>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</si>
  <si>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</si>
  <si>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</si>
  <si>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</si>
  <si>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</si>
  <si>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</si>
  <si>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</si>
  <si>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</si>
  <si>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</si>
  <si>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</si>
  <si>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</si>
  <si>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</si>
  <si>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</si>
  <si>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</si>
  <si>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</si>
  <si>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</si>
  <si>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</si>
  <si>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</si>
  <si>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</si>
  <si>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</si>
  <si>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</si>
  <si>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</si>
  <si>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</si>
  <si>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</si>
  <si>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</si>
  <si>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</si>
  <si>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</si>
  <si>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</si>
  <si>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</si>
  <si>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</si>
  <si>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</si>
  <si>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</si>
  <si>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</si>
  <si>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</si>
  <si>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</si>
  <si>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</si>
  <si>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</si>
  <si>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</si>
  <si>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</si>
  <si>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</si>
  <si>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</si>
  <si>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</si>
  <si>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</si>
  <si>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</si>
  <si>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</si>
  <si>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</si>
  <si>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</si>
  <si>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</si>
  <si>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</si>
  <si>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</si>
  <si>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</si>
  <si>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</si>
  <si>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</si>
  <si>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</si>
  <si>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</si>
  <si>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</si>
  <si>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</si>
  <si>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</si>
  <si>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</si>
  <si>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</si>
  <si>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</si>
  <si>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</si>
  <si>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</si>
  <si>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</si>
  <si>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</si>
  <si>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</si>
  <si>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</si>
  <si>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</si>
  <si>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</si>
  <si>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</si>
  <si>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</si>
  <si>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</si>
  <si>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</si>
  <si>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</si>
  <si>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</si>
  <si>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</si>
  <si>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</si>
  <si>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</si>
  <si>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</si>
  <si>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</si>
  <si>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</si>
  <si>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</si>
  <si>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</si>
  <si>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</si>
  <si>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</si>
  <si>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</si>
  <si>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</si>
  <si>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</si>
  <si>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</si>
  <si>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</si>
  <si>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</si>
  <si>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</si>
  <si>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</si>
  <si>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</si>
  <si>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</si>
  <si>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</si>
  <si>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</si>
  <si>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</si>
  <si>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</si>
  <si>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</si>
  <si>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</si>
  <si>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</si>
  <si>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</si>
  <si>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</si>
  <si>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</si>
  <si>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</si>
  <si>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</si>
  <si>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</si>
  <si>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</si>
  <si>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</si>
  <si>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</si>
  <si>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</si>
  <si>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</si>
  <si>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</si>
  <si>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</si>
  <si>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</si>
  <si>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</si>
  <si>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</si>
  <si>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</si>
  <si>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</si>
  <si>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</si>
  <si>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</si>
  <si>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</si>
  <si>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</si>
  <si>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</si>
  <si>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</si>
  <si>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</si>
  <si>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</si>
  <si>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</si>
  <si>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</si>
  <si>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</si>
  <si>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</si>
  <si>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</si>
  <si>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</si>
  <si>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</si>
  <si>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</si>
  <si>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</si>
  <si>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</si>
  <si>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</si>
  <si>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</si>
  <si>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</si>
  <si>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</si>
  <si>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</si>
  <si>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</si>
  <si>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</si>
  <si>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</si>
  <si>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</si>
  <si>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</si>
  <si>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</si>
  <si>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</si>
  <si>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</si>
  <si>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</si>
  <si>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</si>
  <si>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</si>
  <si>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</si>
  <si>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</si>
  <si>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</si>
  <si>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</si>
  <si>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</si>
  <si>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</si>
  <si>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</si>
  <si>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</si>
  <si>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</si>
  <si>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</si>
  <si>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</si>
  <si>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</si>
  <si>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</si>
  <si>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</si>
  <si>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</si>
  <si>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</si>
  <si>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</si>
  <si>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</si>
  <si>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</si>
  <si>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</si>
  <si>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</si>
  <si>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</si>
  <si>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</si>
  <si>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</si>
  <si>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</si>
  <si>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</si>
  <si>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</si>
  <si>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</si>
  <si>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</si>
  <si>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</si>
  <si>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</si>
  <si>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</si>
  <si>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</si>
  <si>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</si>
  <si>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</si>
  <si>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</si>
  <si>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</si>
  <si>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</si>
  <si>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</si>
  <si>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</si>
  <si>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</si>
  <si>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</si>
  <si>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</si>
  <si>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</si>
  <si>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</si>
  <si>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</si>
  <si>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</si>
  <si>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</si>
  <si>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</si>
  <si>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</si>
  <si>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</si>
  <si>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</si>
  <si>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</si>
  <si>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</si>
  <si>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</si>
  <si>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</si>
  <si>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</si>
  <si>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</si>
  <si>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</si>
  <si>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</si>
  <si>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</si>
  <si>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</si>
  <si>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</si>
  <si>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</si>
  <si>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</si>
  <si>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</si>
  <si>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</si>
  <si>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</si>
  <si>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</si>
  <si>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</si>
  <si>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</si>
  <si>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</si>
  <si>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</si>
  <si>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</si>
  <si>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</si>
  <si>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</si>
  <si>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</si>
  <si>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</si>
  <si>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</si>
  <si>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</si>
  <si>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</si>
  <si>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</si>
  <si>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</si>
  <si>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</si>
  <si>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</si>
  <si>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</si>
  <si>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</si>
  <si>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</si>
  <si>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</si>
  <si>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</si>
  <si>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</si>
  <si>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</si>
  <si>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</si>
  <si>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</si>
  <si>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</si>
  <si>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</si>
  <si>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</si>
  <si>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</si>
  <si>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</si>
  <si>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</si>
  <si>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</si>
  <si>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</si>
  <si>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</si>
  <si>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</si>
  <si>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</si>
  <si>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</si>
  <si>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</si>
  <si>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</si>
  <si>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</si>
  <si>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</si>
  <si>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</si>
  <si>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</si>
  <si>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</si>
  <si>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</si>
  <si>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</si>
  <si>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</si>
  <si>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</si>
  <si>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</si>
  <si>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</si>
  <si>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</si>
  <si>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</si>
  <si>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</si>
  <si>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</si>
  <si>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</si>
  <si>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</si>
  <si>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</si>
  <si>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</si>
  <si>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</si>
  <si>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</si>
  <si>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</si>
  <si>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</si>
  <si>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</si>
  <si>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</si>
  <si>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</si>
  <si>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</si>
  <si>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</si>
  <si>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</si>
  <si>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</si>
  <si>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</si>
  <si>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</si>
  <si>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</si>
  <si>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</si>
  <si>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</si>
  <si>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</si>
  <si>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</si>
  <si>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</si>
  <si>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</si>
  <si>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</si>
  <si>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</si>
  <si>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</si>
  <si>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</si>
  <si>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</si>
  <si>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</si>
  <si>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</si>
  <si>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</si>
  <si>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</si>
  <si>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</si>
  <si>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</si>
  <si>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</si>
  <si>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</si>
  <si>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</si>
  <si>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</si>
  <si>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</si>
  <si>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</si>
  <si>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</si>
  <si>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</si>
  <si>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</si>
  <si>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</si>
  <si>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</si>
  <si>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</si>
  <si>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</si>
  <si>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</si>
  <si>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</si>
  <si>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</si>
  <si>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</si>
  <si>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</si>
  <si>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</si>
  <si>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</si>
  <si>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</si>
  <si>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</si>
  <si>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</si>
  <si>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</si>
  <si>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</si>
  <si>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</si>
  <si>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</si>
  <si>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</si>
  <si>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</si>
  <si>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</si>
  <si>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</si>
  <si>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</si>
  <si>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</si>
  <si>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</si>
  <si>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</si>
  <si>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</si>
  <si>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</si>
  <si>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</si>
  <si>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</si>
  <si>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</si>
  <si>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</si>
  <si>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</si>
  <si>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</si>
  <si>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</si>
  <si>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</si>
  <si>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</si>
  <si>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</si>
  <si>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</si>
  <si>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</si>
  <si>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</si>
  <si>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</si>
  <si>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</si>
  <si>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</si>
  <si>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</si>
  <si>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</si>
  <si>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</si>
  <si>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</si>
  <si>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</si>
  <si>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</si>
  <si>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</si>
  <si>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</si>
  <si>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</si>
  <si>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</si>
  <si>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</si>
  <si>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</si>
  <si>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</si>
  <si>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</si>
  <si>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</si>
  <si>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</si>
  <si>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</si>
  <si>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</si>
  <si>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</si>
  <si>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</si>
  <si>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</si>
  <si>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</si>
  <si>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</si>
  <si>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</si>
  <si>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</si>
  <si>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</si>
  <si>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</si>
  <si>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</si>
  <si>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</si>
  <si>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</si>
  <si>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</si>
  <si>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</si>
  <si>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</si>
  <si>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</si>
  <si>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</si>
  <si>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</si>
  <si>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</si>
  <si>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</si>
  <si>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</si>
  <si>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</si>
  <si>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</si>
  <si>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</si>
  <si>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</si>
  <si>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</si>
  <si>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</si>
  <si>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</si>
  <si>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</si>
  <si>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</si>
  <si>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</si>
  <si>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</si>
  <si>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</si>
  <si>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</si>
  <si>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</si>
  <si>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</si>
  <si>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</si>
  <si>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</si>
  <si>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</si>
  <si>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</si>
  <si>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</si>
  <si>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</si>
  <si>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</si>
  <si>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</si>
  <si>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</si>
  <si>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</si>
  <si>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</si>
  <si>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</si>
  <si>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</si>
  <si>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</si>
  <si>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</si>
  <si>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</si>
  <si>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</si>
  <si>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</si>
  <si>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</si>
  <si>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</si>
  <si>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</si>
  <si>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</si>
  <si>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</si>
  <si>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</si>
  <si>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</si>
  <si>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</si>
  <si>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</si>
  <si>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</si>
  <si>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</si>
  <si>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</si>
  <si>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</si>
  <si>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</si>
  <si>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</si>
  <si>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</si>
  <si>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</si>
  <si>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</si>
  <si>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</si>
  <si>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</si>
  <si>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</si>
  <si>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</si>
  <si>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</si>
  <si>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</si>
  <si>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</si>
  <si>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</si>
  <si>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</si>
  <si>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</si>
  <si>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</si>
  <si>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</si>
  <si>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</si>
  <si>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</si>
  <si>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</si>
  <si>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</si>
  <si>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</si>
  <si>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</si>
  <si>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</si>
  <si>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</si>
  <si>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</si>
  <si>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</si>
  <si>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</si>
  <si>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</si>
  <si>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</si>
  <si>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</si>
  <si>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</si>
  <si>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</si>
  <si>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</si>
  <si>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</si>
  <si>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</si>
  <si>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</si>
  <si>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</si>
  <si>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</si>
  <si>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</si>
  <si>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</si>
  <si>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</si>
  <si>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</si>
  <si>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</si>
  <si>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</si>
  <si>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</si>
  <si>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</si>
  <si>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</si>
  <si>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</si>
  <si>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</si>
  <si>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</si>
  <si>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</si>
  <si>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</si>
  <si>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</si>
  <si>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</si>
  <si>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</si>
  <si>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</si>
  <si>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</si>
  <si>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</si>
  <si>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</si>
  <si>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</si>
  <si>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</si>
  <si>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</si>
  <si>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</si>
  <si>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</si>
  <si>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</si>
  <si>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</si>
  <si>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</si>
  <si>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</si>
  <si>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</si>
  <si>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</si>
  <si>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</si>
  <si>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</si>
  <si>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</si>
  <si>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</si>
  <si>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</si>
  <si>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</si>
  <si>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</si>
  <si>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</si>
  <si>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</si>
  <si>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</si>
  <si>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</si>
  <si>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</si>
  <si>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</si>
  <si>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</si>
  <si>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</si>
  <si>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</si>
  <si>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</si>
  <si>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</si>
  <si>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</si>
  <si>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</si>
  <si>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</si>
  <si>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</si>
  <si>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</si>
  <si>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</si>
  <si>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</si>
  <si>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</si>
  <si>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</si>
  <si>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</si>
  <si>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</si>
  <si>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</si>
  <si>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</si>
  <si>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</si>
  <si>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</si>
  <si>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</si>
  <si>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</si>
  <si>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</si>
  <si>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</si>
  <si>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</si>
  <si>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</si>
  <si>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</si>
  <si>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</si>
  <si>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</si>
  <si>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</si>
  <si>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</si>
  <si>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</si>
  <si>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</si>
  <si>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</si>
  <si>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</si>
  <si>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</si>
  <si>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</si>
  <si>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</si>
  <si>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</si>
  <si>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</si>
  <si>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</si>
  <si>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</si>
  <si>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</si>
  <si>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</si>
  <si>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</si>
  <si>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</si>
  <si>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</si>
  <si>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</si>
  <si>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</si>
  <si>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</si>
  <si>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</si>
  <si>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</si>
  <si>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</si>
  <si>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</si>
  <si>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</si>
  <si>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</si>
  <si>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</si>
  <si>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</si>
  <si>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</si>
  <si>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</si>
  <si>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</si>
  <si>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</si>
  <si>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</si>
  <si>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</si>
  <si>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</si>
  <si>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</si>
  <si>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</si>
  <si>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</si>
  <si>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</si>
  <si>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</si>
  <si>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</si>
  <si>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</si>
  <si>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</si>
  <si>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</si>
  <si>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</si>
  <si>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</si>
  <si>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</si>
  <si>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</si>
  <si>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</si>
  <si>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</si>
  <si>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</si>
  <si>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</si>
  <si>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</si>
  <si>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</si>
  <si>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</si>
  <si>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</si>
  <si>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</si>
  <si>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</si>
  <si>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</si>
  <si>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</si>
  <si>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</si>
  <si>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</si>
  <si>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</si>
  <si>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</si>
  <si>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</si>
  <si>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</si>
  <si>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</si>
  <si>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</si>
  <si>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</si>
  <si>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</si>
  <si>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</si>
  <si>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</si>
  <si>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</si>
  <si>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</si>
  <si>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</si>
  <si>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</si>
  <si>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</si>
  <si>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</si>
  <si>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</si>
  <si>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</si>
  <si>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</si>
  <si>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</si>
  <si>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</si>
  <si>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</si>
  <si>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</si>
  <si>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</si>
  <si>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</si>
  <si>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</si>
  <si>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</si>
  <si>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</si>
  <si>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</si>
  <si>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</si>
  <si>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</si>
  <si>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</si>
  <si>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</si>
  <si>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</si>
  <si>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</si>
  <si>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</si>
  <si>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</si>
  <si>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</si>
  <si>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</si>
  <si>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</si>
  <si>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</si>
  <si>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</si>
  <si>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</si>
  <si>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</si>
  <si>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</si>
  <si>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</si>
  <si>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</si>
  <si>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</si>
  <si>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</si>
  <si>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</si>
  <si>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</si>
  <si>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</si>
  <si>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</si>
  <si>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</si>
  <si>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</si>
  <si>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</si>
  <si>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</si>
  <si>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</si>
  <si>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</si>
  <si>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</si>
  <si>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</si>
  <si>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</si>
  <si>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</si>
  <si>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</si>
  <si>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</si>
  <si>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</si>
  <si>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</si>
  <si>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</si>
  <si>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</si>
  <si>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</si>
  <si>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</si>
  <si>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</si>
  <si>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</si>
  <si>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</si>
  <si>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</si>
  <si>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</si>
  <si>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</si>
  <si>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</si>
  <si>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</si>
  <si>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</si>
  <si>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</si>
  <si>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</si>
  <si>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</si>
  <si>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</si>
  <si>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</si>
  <si>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</si>
  <si>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</si>
  <si>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</si>
  <si>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</si>
  <si>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</si>
  <si>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</si>
  <si>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</si>
  <si>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</si>
  <si>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</si>
  <si>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</si>
  <si>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</si>
  <si>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</si>
  <si>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</si>
  <si>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</si>
  <si>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</si>
  <si>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</si>
  <si>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</si>
  <si>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</si>
  <si>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</si>
  <si>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</si>
  <si>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</si>
  <si>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</si>
  <si>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</si>
  <si>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</si>
  <si>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</si>
  <si>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</si>
  <si>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</si>
  <si>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</si>
  <si>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</si>
  <si>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</si>
  <si>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</si>
  <si>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</si>
  <si>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</si>
  <si>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</si>
  <si>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</si>
  <si>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</si>
  <si>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</si>
  <si>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</si>
  <si>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</si>
  <si>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</si>
  <si>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</si>
  <si>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</si>
  <si>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</si>
  <si>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</si>
  <si>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</si>
  <si>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</si>
  <si>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</si>
  <si>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</si>
  <si>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</si>
  <si>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</si>
  <si>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</si>
  <si>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</si>
  <si>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</si>
  <si>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</si>
  <si>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</si>
  <si>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</si>
  <si>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</si>
  <si>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</si>
  <si>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</si>
  <si>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</si>
  <si>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</si>
  <si>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</si>
  <si>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</si>
  <si>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</si>
  <si>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</si>
  <si>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</si>
  <si>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</si>
  <si>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</si>
  <si>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</si>
  <si>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</si>
  <si>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</si>
  <si>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</si>
  <si>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</si>
  <si>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</si>
  <si>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</si>
  <si>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</si>
  <si>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</si>
  <si>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</si>
  <si>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</si>
  <si>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</si>
  <si>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</si>
  <si>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</si>
  <si>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</si>
  <si>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</si>
  <si>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</si>
  <si>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</si>
  <si>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</si>
  <si>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</si>
  <si>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</si>
  <si>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</si>
  <si>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</si>
  <si>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</si>
  <si>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</si>
  <si>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</si>
  <si>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</si>
  <si>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</si>
  <si>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</si>
  <si>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</si>
  <si>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</si>
  <si>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</si>
  <si>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</si>
  <si>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</si>
  <si>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</si>
  <si>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</si>
  <si>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</si>
  <si>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</si>
  <si>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</si>
  <si>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</si>
  <si>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</si>
  <si>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</si>
  <si>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</si>
  <si>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</si>
  <si>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</si>
  <si>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</si>
  <si>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</si>
  <si>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</si>
  <si>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</si>
  <si>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</si>
  <si>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</si>
  <si>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</si>
  <si>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</si>
  <si>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</si>
  <si>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</si>
  <si>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</si>
  <si>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</si>
  <si>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</si>
  <si>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</si>
  <si>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</si>
  <si>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</si>
  <si>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</si>
  <si>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</si>
  <si>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</si>
  <si>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</si>
  <si>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</si>
  <si>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</si>
  <si>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</si>
  <si>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</si>
  <si>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</si>
  <si>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</si>
  <si>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</si>
  <si>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</si>
  <si>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</si>
  <si>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</si>
  <si>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</si>
  <si>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</si>
  <si>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</si>
  <si>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</si>
  <si>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</si>
  <si>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</si>
  <si>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</si>
  <si>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</si>
  <si>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</si>
  <si>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</si>
  <si>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</si>
  <si>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</si>
  <si>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</si>
  <si>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</si>
  <si>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</si>
  <si>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</si>
  <si>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</si>
  <si>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</si>
  <si>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</si>
  <si>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</si>
  <si>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</si>
  <si>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</si>
  <si>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</si>
  <si>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</si>
  <si>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</si>
  <si>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</si>
  <si>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</si>
  <si>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</si>
  <si>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</si>
  <si>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</si>
  <si>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</si>
  <si>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</si>
  <si>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</si>
  <si>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</si>
  <si>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</si>
  <si>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</si>
  <si>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</si>
  <si>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</si>
  <si>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</si>
  <si>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</si>
  <si>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</si>
  <si>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</si>
  <si>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</si>
  <si>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</si>
  <si>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</si>
  <si>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</si>
  <si>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</si>
  <si>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</si>
  <si>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</si>
  <si>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</si>
  <si>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</si>
  <si>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</si>
  <si>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</si>
  <si>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</si>
  <si>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</si>
  <si>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</si>
  <si>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</si>
  <si>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</si>
  <si>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</si>
  <si>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</si>
  <si>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</si>
  <si>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</si>
  <si>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</si>
  <si>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</si>
  <si>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</si>
  <si>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</si>
  <si>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</si>
  <si>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</si>
  <si>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</si>
  <si>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</si>
  <si>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</si>
  <si>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</si>
  <si>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</si>
  <si>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</si>
  <si>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</si>
  <si>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</si>
  <si>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</si>
  <si>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</si>
  <si>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</si>
  <si>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</si>
  <si>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</si>
  <si>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</si>
  <si>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</si>
  <si>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</si>
  <si>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</si>
  <si>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</si>
  <si>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</si>
  <si>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</si>
  <si>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</si>
  <si>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</si>
  <si>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</si>
  <si>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</si>
  <si>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</si>
  <si>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</si>
  <si>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</si>
  <si>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</si>
  <si>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</si>
  <si>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</si>
  <si>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</si>
  <si>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</si>
  <si>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</si>
  <si>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</si>
  <si>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</si>
  <si>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</si>
  <si>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</si>
  <si>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</si>
  <si>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</si>
  <si>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</si>
  <si>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</si>
  <si>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</si>
  <si>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</si>
  <si>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</si>
  <si>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</si>
  <si>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</si>
  <si>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</si>
  <si>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</si>
  <si>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</si>
  <si>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</si>
  <si>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</si>
  <si>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</si>
  <si>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</si>
  <si>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</si>
  <si>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</si>
  <si>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</si>
  <si>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</si>
  <si>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</si>
  <si>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</si>
  <si>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</si>
  <si>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</si>
  <si>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</si>
  <si>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</si>
  <si>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</si>
  <si>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</si>
  <si>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</si>
  <si>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</si>
  <si>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</si>
  <si>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</si>
  <si>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</si>
  <si>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</si>
  <si>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</si>
  <si>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</si>
  <si>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</si>
  <si>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</si>
  <si>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</si>
  <si>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</si>
  <si>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</si>
  <si>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</si>
  <si>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</si>
  <si>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</si>
  <si>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</si>
  <si>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</si>
  <si>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</si>
  <si>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</si>
  <si>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</si>
  <si>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</si>
  <si>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</si>
  <si>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</si>
  <si>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</si>
  <si>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</si>
  <si>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</si>
  <si>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</si>
  <si>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</si>
  <si>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</si>
  <si>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</si>
  <si>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</si>
  <si>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</si>
  <si>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</si>
  <si>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</si>
  <si>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</si>
  <si>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</si>
  <si>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</si>
  <si>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</si>
  <si>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</si>
  <si>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</si>
  <si>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</si>
  <si>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</si>
  <si>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</si>
  <si>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</si>
  <si>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</si>
  <si>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</si>
  <si>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</si>
  <si>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</si>
  <si>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</si>
  <si>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</si>
  <si>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</si>
  <si>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</si>
  <si>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</si>
  <si>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</si>
  <si>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</si>
  <si>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</si>
  <si>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</si>
  <si>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</si>
  <si>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</si>
  <si>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</si>
  <si>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</si>
  <si>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</si>
  <si>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</si>
  <si>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</si>
  <si>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</si>
  <si>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</si>
  <si>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</si>
  <si>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</si>
  <si>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</si>
  <si>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</si>
  <si>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</si>
  <si>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</si>
  <si>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</si>
  <si>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</si>
  <si>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</si>
  <si>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</si>
  <si>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</si>
  <si>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</si>
  <si>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</si>
  <si>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</si>
  <si>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</si>
  <si>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</si>
  <si>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</si>
  <si>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</si>
  <si>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</si>
  <si>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</si>
  <si>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</si>
  <si>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</si>
  <si>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</si>
  <si>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</si>
  <si>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</si>
  <si>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</si>
  <si>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</si>
  <si>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</si>
  <si>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</si>
  <si>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</si>
  <si>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</si>
  <si>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</si>
  <si>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</si>
  <si>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</si>
  <si>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</si>
  <si>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</si>
  <si>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</si>
  <si>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</si>
  <si>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</si>
  <si>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</si>
  <si>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</si>
  <si>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</si>
  <si>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</si>
  <si>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</si>
  <si>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</si>
  <si>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</si>
  <si>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</si>
  <si>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</si>
  <si>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</si>
  <si>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</si>
  <si>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</si>
  <si>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</si>
  <si>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</si>
  <si>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</si>
  <si>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</si>
  <si>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</si>
  <si>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</si>
  <si>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</si>
  <si>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</si>
  <si>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</si>
  <si>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</si>
  <si>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</si>
  <si>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</si>
  <si>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</si>
  <si>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</si>
  <si>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</si>
  <si>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</si>
  <si>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</si>
  <si>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</si>
  <si>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</si>
  <si>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</si>
  <si>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</si>
  <si>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</si>
  <si>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</si>
  <si>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</si>
  <si>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</si>
  <si>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</si>
  <si>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</si>
  <si>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</si>
  <si>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</si>
  <si>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</si>
  <si>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</si>
  <si>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</si>
  <si>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</si>
  <si>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</si>
  <si>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</si>
  <si>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</si>
  <si>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</si>
  <si>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</si>
  <si>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</si>
  <si>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</si>
  <si>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</si>
  <si>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</si>
  <si>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</si>
  <si>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</si>
  <si>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</si>
  <si>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</si>
  <si>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</si>
  <si>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</si>
  <si>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</si>
  <si>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</si>
  <si>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</si>
  <si>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</si>
  <si>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</si>
  <si>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</si>
  <si>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</si>
  <si>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</si>
  <si>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</si>
  <si>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</si>
  <si>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</si>
  <si>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</si>
  <si>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</si>
  <si>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</si>
  <si>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</si>
  <si>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</si>
  <si>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</si>
  <si>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</si>
  <si>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</si>
  <si>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</si>
  <si>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</si>
  <si>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</si>
  <si>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</si>
  <si>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</si>
  <si>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</si>
  <si>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</si>
  <si>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</si>
  <si>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</si>
  <si>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</si>
  <si>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</si>
  <si>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</si>
  <si>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</si>
  <si>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</si>
  <si>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</si>
  <si>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</si>
  <si>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</si>
  <si>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</si>
  <si>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</si>
  <si>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</si>
  <si>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</si>
  <si>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</si>
  <si>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</si>
  <si>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</si>
  <si>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</si>
  <si>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</si>
  <si>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</si>
  <si>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</si>
  <si>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</si>
  <si>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</si>
  <si>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</si>
  <si>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</si>
  <si>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</si>
  <si>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</si>
  <si>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</si>
  <si>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</si>
  <si>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</si>
  <si>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</si>
  <si>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</si>
  <si>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</si>
  <si>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</si>
  <si>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</si>
  <si>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</si>
  <si>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</si>
  <si>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</si>
  <si>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</si>
  <si>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</si>
  <si>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</si>
  <si>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</si>
  <si>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</si>
  <si>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</si>
  <si>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</si>
  <si>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</si>
  <si>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</si>
  <si>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</si>
  <si>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</si>
  <si>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</si>
  <si>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</si>
  <si>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</si>
  <si>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</si>
  <si>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</si>
  <si>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</si>
  <si>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</si>
  <si>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</si>
  <si>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</si>
  <si>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</si>
  <si>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</si>
  <si>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</si>
  <si>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</si>
  <si>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</si>
  <si>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</si>
  <si>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</si>
  <si>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</si>
  <si>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</si>
  <si>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</si>
  <si>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</si>
  <si>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</si>
  <si>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</si>
  <si>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</si>
  <si>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</si>
  <si>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</si>
  <si>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</si>
  <si>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</si>
  <si>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</si>
  <si>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</si>
  <si>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</si>
  <si>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</si>
  <si>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</si>
  <si>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</si>
  <si>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</si>
  <si>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</si>
  <si>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</si>
  <si>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</si>
  <si>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</si>
  <si>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</si>
  <si>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</si>
  <si>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</si>
  <si>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</si>
  <si>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</si>
  <si>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</si>
  <si>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</si>
  <si>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</si>
  <si>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</si>
  <si>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</si>
  <si>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</si>
  <si>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</si>
  <si>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</si>
  <si>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</si>
  <si>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</si>
  <si>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</si>
  <si>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</si>
  <si>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</si>
  <si>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</si>
  <si>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</si>
  <si>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</si>
  <si>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</si>
  <si>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</si>
  <si>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</si>
  <si>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</si>
  <si>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</si>
  <si>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</si>
  <si>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</si>
  <si>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</si>
  <si>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</si>
  <si>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</si>
  <si>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</si>
  <si>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</si>
  <si>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</si>
  <si>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</si>
  <si>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</si>
  <si>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</si>
  <si>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</si>
  <si>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</si>
  <si>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</si>
  <si>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</si>
  <si>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</si>
  <si>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</si>
  <si>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</si>
  <si>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</si>
  <si>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</si>
  <si>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</si>
  <si>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</si>
  <si>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</si>
  <si>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</si>
  <si>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</si>
  <si>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</si>
  <si>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</si>
  <si>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</si>
  <si>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</si>
  <si>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</si>
  <si>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</si>
  <si>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</si>
  <si>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</si>
  <si>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</si>
  <si>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</si>
  <si>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</si>
  <si>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</si>
  <si>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</si>
  <si>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</si>
  <si>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</si>
  <si>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</si>
  <si>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</si>
  <si>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</si>
  <si>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</si>
  <si>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</si>
  <si>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</si>
  <si>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</si>
  <si>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</si>
  <si>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</si>
  <si>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</si>
  <si>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</si>
  <si>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</si>
  <si>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</si>
  <si>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</si>
  <si>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</si>
  <si>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</si>
  <si>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</si>
  <si>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</si>
  <si>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</si>
  <si>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</si>
  <si>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</si>
  <si>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</si>
  <si>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</si>
  <si>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</si>
  <si>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</si>
  <si>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</si>
  <si>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</si>
  <si>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</si>
  <si>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</si>
  <si>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</si>
  <si>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</si>
  <si>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</si>
  <si>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</si>
  <si>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</si>
  <si>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</si>
  <si>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</si>
  <si>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</si>
  <si>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</si>
  <si>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</si>
  <si>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</si>
  <si>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</si>
  <si>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</si>
  <si>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</si>
  <si>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</si>
  <si>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</si>
  <si>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</si>
  <si>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</si>
  <si>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</si>
  <si>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</si>
  <si>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</si>
  <si>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</si>
  <si>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</si>
  <si>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</si>
  <si>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</si>
  <si>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</si>
  <si>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</si>
  <si>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</si>
  <si>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</si>
  <si>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</si>
  <si>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</si>
  <si>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</si>
  <si>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</si>
  <si>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</si>
  <si>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</si>
  <si>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</si>
  <si>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</si>
  <si>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</si>
  <si>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</si>
  <si>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</si>
  <si>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</si>
  <si>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</si>
  <si>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</si>
  <si>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</si>
  <si>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</si>
  <si>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</si>
  <si>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</si>
  <si>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</si>
  <si>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</si>
  <si>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</si>
  <si>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</si>
  <si>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</si>
  <si>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</si>
  <si>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</si>
  <si>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</si>
  <si>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</si>
  <si>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</si>
  <si>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</si>
  <si>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</si>
  <si>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</si>
  <si>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</si>
  <si>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</si>
  <si>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</si>
  <si>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</si>
  <si>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</si>
  <si>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</si>
  <si>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</si>
  <si>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</si>
  <si>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</si>
  <si>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</si>
  <si>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</si>
  <si>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</si>
  <si>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</si>
  <si>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</si>
  <si>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</si>
  <si>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</si>
  <si>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</si>
  <si>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</si>
  <si>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</si>
  <si>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</si>
  <si>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</si>
  <si>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</si>
  <si>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</si>
  <si>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</si>
  <si>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</si>
  <si>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</si>
  <si>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</si>
  <si>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</si>
  <si>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</si>
  <si>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</si>
  <si>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</si>
  <si>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</si>
  <si>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</si>
  <si>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</si>
  <si>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</si>
  <si>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</si>
  <si>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</si>
  <si>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</si>
  <si>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</si>
  <si>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</si>
  <si>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</si>
  <si>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</si>
  <si>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</si>
  <si>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</si>
  <si>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</si>
  <si>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</si>
  <si>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</si>
  <si>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</si>
  <si>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</si>
  <si>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</si>
  <si>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</si>
  <si>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</si>
  <si>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</si>
  <si>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</si>
  <si>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</si>
  <si>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</si>
  <si>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</si>
  <si>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</si>
  <si>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</si>
  <si>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</si>
  <si>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</si>
  <si>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</si>
  <si>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</si>
  <si>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</si>
  <si>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</si>
  <si>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</si>
  <si>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</si>
  <si>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</si>
  <si>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</si>
  <si>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</si>
  <si>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</si>
  <si>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</si>
  <si>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</si>
  <si>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</si>
  <si>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</si>
  <si>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</si>
  <si>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</si>
  <si>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</si>
  <si>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</si>
  <si>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</si>
  <si>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</si>
  <si>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</si>
  <si>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</si>
  <si>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</si>
  <si>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</si>
  <si>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</si>
  <si>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</si>
  <si>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</si>
  <si>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</si>
  <si>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</si>
  <si>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</si>
  <si>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</si>
  <si>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</si>
  <si>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</si>
  <si>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</si>
  <si>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</si>
  <si>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</si>
  <si>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</si>
  <si>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</si>
  <si>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</si>
  <si>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</si>
  <si>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</si>
  <si>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</si>
  <si>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</si>
  <si>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</si>
  <si>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</si>
  <si>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</si>
  <si>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</si>
  <si>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</si>
  <si>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</si>
  <si>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</si>
  <si>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</si>
  <si>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</si>
  <si>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</si>
  <si>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</si>
  <si>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</si>
  <si>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</si>
  <si>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</si>
  <si>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</si>
  <si>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</si>
  <si>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</si>
  <si>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</si>
  <si>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</si>
  <si>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</si>
  <si>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</si>
  <si>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</si>
  <si>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</si>
  <si>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</si>
  <si>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</si>
  <si>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</si>
  <si>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</si>
  <si>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</si>
  <si>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</si>
  <si>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</si>
  <si>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</si>
  <si>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</si>
  <si>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</si>
  <si>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</si>
  <si>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</si>
  <si>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</si>
  <si>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</si>
  <si>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</si>
  <si>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</si>
  <si>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</si>
  <si>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</si>
  <si>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</si>
  <si>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</si>
  <si>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</si>
  <si>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</si>
  <si>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</si>
  <si>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</si>
  <si>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</si>
  <si>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</si>
  <si>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</si>
  <si>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</si>
  <si>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</si>
  <si>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</si>
  <si>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</si>
  <si>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</si>
  <si>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</si>
  <si>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</si>
  <si>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</si>
  <si>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</si>
  <si>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</si>
  <si>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</si>
  <si>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</si>
  <si>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</si>
  <si>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</si>
  <si>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</si>
  <si>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</si>
  <si>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</si>
  <si>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</si>
  <si>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</si>
  <si>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</si>
  <si>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</si>
  <si>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</si>
  <si>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</si>
  <si>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</si>
  <si>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</si>
  <si>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</si>
  <si>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</si>
  <si>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</si>
  <si>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</si>
  <si>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</si>
  <si>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</si>
  <si>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</si>
  <si>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</si>
  <si>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</si>
  <si>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</si>
  <si>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</si>
  <si>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</si>
  <si>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</si>
  <si>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</si>
  <si>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</si>
  <si>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</si>
  <si>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</si>
  <si>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</si>
  <si>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</si>
  <si>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</si>
  <si>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</si>
  <si>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</si>
  <si>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</si>
  <si>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</si>
  <si>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</si>
  <si>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</si>
  <si>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</si>
  <si>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</si>
  <si>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</si>
  <si>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</si>
  <si>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</si>
  <si>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</si>
  <si>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</si>
  <si>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</si>
  <si>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</si>
  <si>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</si>
  <si>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</si>
  <si>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</si>
  <si>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</si>
  <si>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</si>
  <si>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</si>
  <si>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</si>
  <si>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</si>
  <si>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</si>
  <si>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</si>
  <si>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</si>
  <si>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</si>
  <si>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</si>
  <si>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</si>
  <si>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</si>
  <si>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</si>
  <si>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</si>
  <si>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</si>
  <si>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</si>
  <si>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</si>
  <si>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</si>
  <si>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</si>
  <si>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</si>
  <si>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</si>
  <si>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</si>
  <si>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</si>
  <si>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</si>
  <si>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</si>
  <si>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</si>
  <si>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</si>
  <si>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</si>
  <si>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</si>
  <si>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</si>
  <si>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</si>
  <si>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</si>
  <si>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</si>
  <si>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</si>
  <si>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</si>
  <si>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</si>
  <si>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</si>
  <si>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</si>
  <si>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</si>
  <si>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</si>
  <si>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</si>
  <si>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</si>
  <si>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</si>
  <si>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</si>
  <si>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</si>
  <si>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</si>
  <si>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</si>
  <si>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</si>
  <si>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</si>
  <si>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</si>
  <si>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</si>
  <si>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</si>
  <si>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</si>
  <si>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</si>
  <si>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</si>
  <si>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</si>
  <si>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</si>
  <si>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</si>
  <si>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</si>
  <si>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</si>
  <si>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</si>
  <si>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</si>
  <si>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</si>
  <si>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</si>
  <si>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</si>
  <si>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</si>
  <si>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</si>
  <si>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</si>
  <si>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</si>
  <si>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</si>
  <si>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</si>
  <si>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</si>
  <si>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</si>
  <si>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</si>
  <si>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</si>
  <si>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</si>
  <si>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</si>
  <si>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</si>
  <si>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</si>
  <si>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</si>
  <si>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</si>
  <si>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</si>
  <si>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</si>
  <si>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</si>
  <si>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</si>
  <si>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</si>
  <si>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</si>
  <si>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</si>
  <si>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</si>
  <si>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</si>
  <si>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</si>
  <si>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</si>
  <si>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</si>
  <si>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</si>
  <si>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</si>
  <si>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</si>
  <si>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</si>
  <si>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</si>
  <si>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</si>
  <si>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</si>
  <si>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</si>
  <si>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</si>
  <si>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</si>
  <si>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</si>
  <si>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</si>
  <si>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</si>
  <si>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</si>
  <si>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</si>
  <si>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</si>
  <si>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</si>
  <si>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</si>
  <si>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</si>
  <si>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</si>
  <si>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</si>
  <si>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</si>
  <si>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</si>
  <si>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</si>
  <si>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</si>
  <si>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</si>
  <si>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</si>
  <si>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</si>
  <si>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</si>
  <si>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</si>
  <si>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</si>
  <si>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</si>
  <si>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</si>
  <si>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</si>
  <si>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</si>
  <si>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</si>
  <si>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</si>
  <si>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</si>
  <si>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</si>
  <si>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</si>
  <si>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</si>
  <si>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</si>
  <si>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</si>
  <si>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</si>
  <si>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</si>
  <si>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</si>
  <si>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</si>
  <si>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</si>
  <si>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</si>
  <si>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</si>
  <si>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</si>
  <si>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</si>
  <si>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</si>
  <si>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</si>
  <si>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</si>
  <si>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</si>
  <si>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</si>
  <si>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</si>
  <si>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</si>
  <si>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</si>
  <si>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</si>
  <si>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</si>
  <si>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</si>
  <si>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</si>
  <si>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</si>
  <si>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</si>
  <si>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</si>
  <si>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</si>
  <si>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</si>
  <si>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</si>
  <si>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</si>
  <si>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</si>
  <si>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</si>
  <si>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</si>
  <si>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</si>
  <si>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</si>
  <si>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</si>
  <si>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</si>
  <si>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</si>
  <si>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</si>
  <si>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</si>
  <si>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</si>
  <si>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</si>
  <si>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</si>
  <si>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</si>
  <si>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</si>
  <si>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</si>
  <si>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</si>
  <si>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</si>
  <si>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</si>
  <si>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</si>
  <si>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</si>
  <si>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</si>
  <si>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</si>
  <si>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</si>
  <si>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</si>
  <si>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</si>
  <si>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</si>
  <si>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</si>
  <si>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</si>
  <si>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</si>
  <si>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</si>
  <si>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</si>
  <si>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</si>
  <si>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</si>
  <si>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</si>
  <si>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</si>
  <si>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</si>
  <si>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</si>
  <si>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</si>
  <si>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</si>
  <si>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</si>
  <si>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</si>
  <si>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</si>
  <si>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</si>
  <si>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</si>
  <si>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</si>
  <si>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</si>
  <si>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</si>
  <si>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</si>
  <si>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</si>
  <si>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</si>
  <si>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</si>
  <si>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</si>
  <si>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</si>
  <si>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</si>
  <si>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</si>
  <si>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</si>
  <si>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</si>
  <si>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</si>
  <si>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</si>
  <si>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</si>
  <si>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</si>
  <si>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</si>
  <si>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</si>
  <si>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</si>
  <si>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</si>
  <si>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</si>
  <si>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</si>
  <si>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</si>
  <si>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</si>
  <si>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</si>
  <si>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</si>
  <si>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</si>
  <si>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</si>
  <si>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</si>
  <si>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</si>
  <si>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</si>
  <si>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</si>
  <si>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</si>
  <si>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</si>
  <si>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</si>
  <si>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</si>
  <si>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</si>
  <si>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</si>
  <si>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</si>
  <si>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</si>
  <si>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</si>
  <si>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</si>
  <si>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</si>
  <si>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</si>
  <si>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</si>
  <si>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</si>
  <si>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</si>
  <si>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</si>
  <si>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</si>
  <si>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</si>
  <si>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</si>
  <si>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</si>
  <si>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</si>
  <si>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</si>
  <si>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</si>
  <si>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</si>
  <si>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</si>
  <si>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</si>
  <si>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</si>
  <si>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</si>
  <si>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</si>
  <si>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</si>
  <si>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</si>
  <si>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</si>
  <si>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</si>
  <si>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</si>
  <si>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</si>
  <si>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</si>
  <si>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</si>
  <si>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</si>
  <si>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</si>
  <si>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</si>
  <si>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</si>
  <si>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</si>
  <si>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</si>
  <si>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</si>
  <si>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</si>
  <si>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</si>
  <si>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</si>
  <si>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</si>
  <si>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</si>
  <si>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</si>
  <si>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</si>
  <si>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</si>
  <si>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</si>
  <si>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</si>
  <si>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</si>
  <si>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</si>
  <si>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</si>
  <si>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</si>
  <si>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</si>
  <si>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</si>
  <si>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</si>
  <si>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</si>
  <si>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</si>
  <si>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</si>
  <si>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</si>
  <si>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</si>
  <si>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</si>
  <si>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</si>
  <si>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</si>
  <si>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</si>
  <si>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</si>
  <si>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</si>
  <si>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</si>
  <si>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</si>
  <si>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</si>
  <si>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</si>
  <si>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</si>
  <si>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</si>
  <si>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</si>
  <si>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</si>
  <si>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</si>
  <si>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</si>
  <si>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</si>
  <si>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</si>
  <si>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</si>
  <si>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</si>
  <si>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</si>
  <si>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</si>
  <si>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</si>
  <si>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</si>
  <si>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</si>
  <si>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</si>
  <si>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</si>
  <si>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</si>
  <si>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</si>
  <si>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</si>
  <si>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</si>
  <si>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</si>
  <si>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</si>
  <si>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</si>
  <si>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</si>
  <si>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</si>
  <si>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</si>
  <si>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</si>
  <si>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</si>
  <si>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</si>
  <si>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</si>
  <si>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</si>
  <si>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</si>
  <si>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</si>
  <si>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</si>
  <si>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</si>
  <si>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</si>
  <si>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</si>
  <si>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</si>
  <si>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</si>
  <si>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</si>
  <si>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</si>
  <si>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</si>
  <si>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</si>
  <si>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</si>
  <si>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</si>
  <si>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</si>
  <si>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</si>
  <si>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</si>
  <si>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</si>
  <si>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</si>
  <si>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</si>
  <si>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</si>
  <si>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</si>
  <si>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</si>
  <si>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</si>
  <si>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</si>
  <si>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</si>
  <si>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</si>
  <si>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</si>
  <si>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</si>
  <si>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</si>
  <si>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</si>
  <si>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</si>
  <si>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</si>
  <si>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</si>
  <si>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</si>
  <si>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</si>
  <si>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</si>
  <si>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</si>
  <si>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</si>
  <si>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</si>
  <si>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</si>
  <si>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</si>
  <si>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</si>
  <si>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</si>
  <si>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</si>
  <si>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</si>
  <si>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</si>
  <si>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</si>
  <si>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</si>
  <si>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</si>
  <si>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</si>
  <si>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</si>
  <si>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</si>
  <si>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</si>
  <si>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</si>
  <si>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</si>
  <si>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</si>
  <si>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</si>
  <si>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</si>
  <si>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</si>
  <si>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</si>
  <si>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</si>
  <si>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</si>
  <si>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</si>
  <si>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</si>
  <si>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</si>
  <si>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</si>
  <si>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</si>
  <si>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</si>
  <si>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</si>
  <si>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</si>
  <si>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</si>
  <si>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</si>
  <si>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</si>
  <si>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</si>
  <si>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</si>
  <si>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</si>
  <si>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</si>
  <si>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</si>
  <si>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</si>
  <si>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</si>
  <si>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</si>
  <si>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</si>
  <si>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</si>
  <si>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</si>
  <si>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</si>
  <si>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</si>
  <si>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</si>
  <si>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</si>
  <si>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</si>
  <si>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</si>
  <si>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</si>
  <si>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</si>
  <si>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</si>
  <si>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</si>
  <si>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</si>
  <si>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</si>
  <si>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</si>
  <si>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</si>
  <si>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</si>
  <si>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</si>
  <si>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</si>
  <si>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</si>
  <si>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</si>
  <si>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</si>
  <si>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</si>
  <si>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</si>
  <si>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</si>
  <si>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</si>
  <si>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</si>
  <si>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</si>
  <si>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</si>
  <si>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</si>
  <si>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</si>
  <si>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</si>
  <si>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</si>
  <si>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</si>
  <si>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</si>
  <si>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</si>
  <si>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</si>
  <si>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</si>
  <si>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</si>
  <si>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</si>
  <si>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</si>
  <si>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</si>
  <si>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</si>
  <si>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</si>
  <si>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</si>
  <si>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</si>
  <si>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</si>
  <si>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</si>
  <si>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</si>
  <si>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</si>
  <si>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</si>
  <si>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</si>
  <si>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</si>
  <si>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</si>
  <si>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</si>
  <si>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</si>
  <si>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</si>
  <si>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</si>
  <si>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</si>
  <si>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</si>
  <si>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</si>
  <si>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</si>
  <si>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</si>
  <si>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</si>
  <si>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</si>
  <si>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</si>
  <si>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</si>
  <si>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</si>
  <si>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</si>
  <si>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</si>
  <si>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</si>
  <si>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</si>
  <si>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</si>
  <si>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</si>
  <si>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</si>
  <si>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</si>
  <si>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</si>
  <si>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</si>
  <si>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</si>
  <si>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</si>
  <si>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</si>
  <si>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</si>
  <si>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</si>
  <si>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</si>
  <si>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</si>
  <si>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</si>
  <si>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</si>
  <si>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</si>
  <si>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</si>
  <si>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</si>
  <si>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</si>
  <si>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</si>
  <si>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</si>
  <si>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</si>
  <si>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</si>
  <si>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</si>
  <si>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</si>
  <si>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</si>
  <si>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</si>
  <si>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</si>
  <si>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</si>
  <si>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</si>
  <si>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</si>
  <si>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</si>
  <si>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</si>
  <si>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</si>
  <si>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</si>
  <si>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</si>
  <si>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</si>
  <si>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</si>
  <si>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</si>
  <si>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</si>
  <si>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</si>
  <si>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</si>
  <si>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</si>
  <si>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</si>
  <si>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</si>
  <si>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</si>
  <si>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</si>
  <si>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</si>
  <si>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</si>
  <si>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</si>
  <si>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</si>
  <si>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</si>
  <si>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</si>
  <si>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</si>
  <si>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</si>
  <si>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</si>
  <si>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</si>
  <si>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</si>
  <si>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</si>
  <si>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</si>
  <si>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</si>
  <si>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</si>
  <si>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</si>
  <si>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</si>
  <si>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</si>
  <si>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</si>
  <si>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</si>
  <si>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</si>
  <si>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</si>
  <si>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</si>
  <si>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</si>
  <si>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</si>
  <si>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</si>
  <si>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</si>
  <si>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</si>
  <si>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</si>
  <si>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</si>
  <si>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</si>
  <si>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</si>
  <si>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</si>
  <si>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</si>
  <si>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</si>
  <si>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</si>
  <si>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</si>
  <si>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</si>
  <si>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</si>
  <si>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</si>
  <si>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</si>
  <si>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</si>
  <si>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</si>
  <si>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</si>
  <si>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</si>
  <si>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</si>
  <si>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</si>
  <si>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</si>
  <si>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</si>
  <si>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</si>
  <si>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</si>
  <si>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</si>
  <si>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</si>
  <si>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</si>
  <si>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</si>
  <si>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</si>
  <si>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</si>
  <si>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</si>
  <si>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</si>
  <si>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</si>
  <si>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</si>
  <si>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</si>
  <si>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</si>
  <si>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</si>
  <si>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</si>
  <si>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</si>
  <si>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</si>
  <si>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</si>
  <si>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</si>
  <si>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</si>
  <si>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</si>
  <si>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</si>
  <si>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</si>
  <si>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</si>
  <si>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</si>
  <si>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</si>
  <si>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</si>
  <si>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</si>
  <si>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</si>
  <si>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</si>
  <si>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</si>
  <si>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</si>
  <si>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</si>
  <si>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</si>
  <si>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</si>
  <si>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</si>
  <si>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</si>
  <si>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</si>
  <si>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</si>
  <si>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</si>
  <si>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</si>
  <si>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</si>
  <si>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</si>
  <si>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</si>
  <si>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</si>
  <si>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</si>
  <si>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</si>
  <si>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</si>
  <si>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</si>
  <si>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</si>
  <si>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</si>
  <si>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</si>
  <si>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</si>
  <si>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</si>
  <si>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</si>
  <si>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</si>
  <si>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</si>
  <si>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</si>
  <si>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</si>
  <si>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</si>
  <si>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</si>
  <si>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</si>
  <si>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</si>
  <si>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</si>
  <si>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</si>
  <si>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</si>
  <si>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</si>
  <si>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</si>
  <si>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</si>
  <si>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</si>
  <si>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</si>
  <si>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</si>
  <si>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</si>
  <si>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</si>
  <si>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</si>
  <si>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</si>
  <si>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</si>
  <si>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</si>
  <si>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</si>
  <si>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</si>
  <si>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</si>
  <si>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</si>
  <si>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</si>
  <si>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</si>
  <si>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</si>
  <si>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</si>
  <si>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</si>
  <si>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</si>
  <si>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</si>
  <si>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</si>
  <si>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</si>
  <si>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</si>
  <si>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</si>
  <si>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</si>
  <si>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</si>
  <si>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</si>
  <si>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</si>
  <si>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</si>
  <si>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</si>
  <si>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</si>
  <si>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</si>
  <si>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</si>
  <si>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</si>
  <si>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</si>
  <si>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</si>
  <si>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</si>
  <si>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</si>
  <si>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</si>
  <si>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</si>
  <si>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</si>
  <si>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</si>
  <si>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</si>
  <si>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</si>
  <si>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</si>
  <si>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</si>
  <si>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</si>
  <si>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</si>
  <si>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</si>
  <si>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</si>
  <si>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</si>
  <si>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</si>
  <si>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</si>
  <si>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</si>
  <si>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</si>
  <si>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</si>
  <si>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</si>
  <si>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</si>
  <si>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</si>
  <si>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</si>
  <si>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</si>
  <si>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</si>
  <si>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</si>
  <si>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</si>
  <si>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</si>
  <si>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</si>
  <si>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</si>
  <si>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</si>
  <si>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</si>
  <si>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</si>
  <si>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</si>
  <si>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</si>
  <si>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</si>
  <si>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</si>
  <si>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</si>
  <si>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</si>
  <si>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</si>
  <si>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</si>
  <si>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</si>
  <si>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</si>
  <si>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</si>
  <si>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</si>
  <si>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</si>
  <si>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</si>
  <si>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</si>
  <si>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</si>
  <si>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</si>
  <si>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</si>
  <si>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</si>
  <si>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</si>
  <si>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</si>
  <si>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</si>
  <si>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</si>
  <si>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</si>
  <si>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</si>
  <si>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</si>
  <si>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</si>
  <si>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</si>
  <si>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</si>
  <si>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</si>
  <si>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</si>
  <si>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</si>
  <si>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</si>
  <si>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</si>
  <si>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</si>
  <si>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</si>
  <si>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</si>
  <si>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</si>
  <si>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</si>
  <si>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</si>
  <si>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</si>
  <si>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</si>
  <si>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</si>
  <si>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</si>
  <si>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</si>
  <si>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</si>
  <si>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</si>
  <si>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</si>
  <si>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</si>
  <si>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</si>
  <si>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</si>
  <si>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</si>
  <si>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</si>
  <si>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</si>
  <si>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</si>
  <si>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</si>
  <si>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</si>
  <si>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</si>
  <si>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</si>
  <si>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</si>
  <si>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</si>
  <si>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</si>
  <si>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</si>
  <si>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</si>
  <si>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</si>
  <si>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</si>
  <si>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</si>
  <si>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</si>
  <si>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</si>
  <si>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</si>
  <si>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</si>
  <si>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</si>
  <si>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</si>
  <si>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</si>
  <si>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</si>
  <si>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</si>
  <si>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</si>
  <si>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</si>
  <si>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</si>
  <si>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</si>
  <si>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</si>
  <si>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</si>
  <si>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</si>
  <si>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</si>
  <si>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</si>
  <si>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</si>
  <si>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</si>
  <si>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</si>
  <si>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</si>
  <si>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</si>
  <si>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</si>
  <si>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</si>
  <si>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</si>
  <si>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</si>
  <si>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</si>
  <si>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</si>
  <si>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</si>
  <si>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</si>
  <si>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</si>
  <si>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</si>
  <si>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</si>
  <si>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</si>
  <si>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</si>
  <si>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</si>
  <si>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</si>
  <si>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</si>
  <si>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</si>
  <si>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</si>
  <si>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</si>
  <si>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</si>
  <si>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</si>
  <si>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</si>
  <si>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</si>
  <si>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</si>
  <si>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</si>
  <si>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</si>
  <si>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</si>
  <si>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</si>
  <si>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</si>
  <si>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</si>
  <si>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</si>
  <si>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</si>
  <si>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</si>
  <si>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</si>
  <si>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</si>
  <si>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</si>
  <si>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</si>
  <si>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</si>
  <si>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</si>
  <si>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</si>
  <si>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</si>
  <si>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</si>
  <si>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</si>
  <si>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</si>
  <si>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</si>
  <si>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</si>
  <si>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</si>
  <si>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</si>
  <si>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</si>
  <si>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</si>
  <si>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</si>
  <si>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</si>
  <si>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</si>
  <si>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</si>
  <si>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</si>
  <si>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</si>
  <si>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</si>
  <si>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</si>
  <si>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</si>
  <si>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</si>
  <si>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</si>
  <si>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</si>
  <si>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</si>
  <si>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</si>
  <si>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</si>
  <si>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</si>
  <si>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</si>
  <si>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</si>
  <si>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</si>
  <si>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</si>
  <si>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</si>
  <si>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</si>
  <si>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</si>
  <si>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</si>
  <si>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</si>
  <si>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</si>
  <si>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</si>
  <si>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</si>
  <si>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</si>
  <si>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</si>
  <si>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</si>
  <si>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</si>
  <si>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</si>
  <si>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</si>
  <si>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</si>
  <si>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</si>
  <si>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</si>
  <si>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</si>
  <si>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</si>
  <si>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</si>
  <si>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</si>
  <si>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</si>
  <si>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</si>
  <si>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</si>
  <si>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</si>
  <si>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</si>
  <si>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</si>
  <si>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</si>
  <si>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</si>
  <si>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</si>
  <si>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</si>
  <si>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</si>
  <si>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</si>
  <si>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</si>
  <si>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</si>
  <si>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</si>
  <si>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</si>
  <si>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</si>
  <si>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</si>
  <si>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</si>
  <si>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</si>
  <si>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</si>
  <si>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</si>
  <si>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</si>
  <si>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</si>
  <si>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</si>
  <si>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</si>
  <si>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</si>
  <si>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</si>
  <si>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</si>
  <si>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</si>
  <si>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</si>
  <si>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</si>
  <si>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</si>
  <si>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</si>
  <si>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</si>
  <si>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</si>
  <si>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</si>
  <si>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</si>
  <si>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</si>
  <si>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</si>
  <si>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</si>
  <si>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</si>
  <si>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</si>
  <si>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</si>
  <si>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</si>
  <si>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</si>
  <si>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</si>
  <si>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</si>
  <si>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</si>
  <si>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</si>
  <si>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</si>
  <si>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</si>
  <si>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</si>
  <si>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</si>
  <si>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</si>
  <si>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</si>
  <si>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</si>
  <si>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</si>
  <si>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</si>
  <si>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</si>
  <si>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</si>
  <si>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</si>
  <si>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</si>
  <si>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</si>
  <si>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</si>
  <si>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</si>
  <si>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</si>
  <si>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</si>
  <si>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</si>
  <si>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</si>
  <si>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</si>
  <si>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</si>
  <si>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</si>
  <si>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</si>
  <si>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</si>
  <si>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</si>
  <si>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</si>
  <si>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</si>
  <si>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</si>
  <si>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</si>
  <si>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</si>
  <si>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</si>
  <si>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</si>
  <si>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</si>
  <si>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</si>
  <si>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</si>
  <si>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</si>
  <si>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</si>
  <si>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</si>
  <si>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</si>
  <si>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</si>
  <si>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北京市</t>
  </si>
  <si>
    <t>企业</t>
  </si>
  <si>
    <t>地上</t>
  </si>
  <si>
    <t>地下</t>
  </si>
  <si>
    <t>是</t>
  </si>
  <si>
    <t>成新度</t>
  </si>
  <si>
    <t>押一</t>
  </si>
  <si>
    <t>钢混</t>
  </si>
  <si>
    <t>非生产用房</t>
  </si>
  <si>
    <t>否</t>
  </si>
  <si>
    <t>1层</t>
  </si>
  <si>
    <t>成本法 (元)-1</t>
    <phoneticPr fontId="16" type="noConversion"/>
  </si>
  <si>
    <t>收益法 (元)-1</t>
    <phoneticPr fontId="16" type="noConversion"/>
  </si>
  <si>
    <t>成本法 (元)-2</t>
    <phoneticPr fontId="16" type="noConversion"/>
  </si>
  <si>
    <t>收益法 (元)-2</t>
    <phoneticPr fontId="16" type="noConversion"/>
  </si>
  <si>
    <t>成本法 (元)-3</t>
    <phoneticPr fontId="16" type="noConversion"/>
  </si>
  <si>
    <t>收益法 (元)-3</t>
    <phoneticPr fontId="16" type="noConversion"/>
  </si>
  <si>
    <t>不临65条商业街</t>
  </si>
  <si>
    <t>与级别开发程度一致</t>
  </si>
  <si>
    <t>中心城区以外</t>
  </si>
  <si>
    <t>一般</t>
  </si>
  <si>
    <t>较好</t>
  </si>
  <si>
    <t>好</t>
  </si>
  <si>
    <t>未包含在土地购买价格中</t>
  </si>
  <si>
    <t>已包含在土地取得成本中</t>
  </si>
  <si>
    <t>酒店</t>
  </si>
  <si>
    <t>酒店</t>
    <phoneticPr fontId="7" type="noConversion"/>
  </si>
  <si>
    <t>Ⅶ-房1</t>
  </si>
  <si>
    <t>估价对象容积率</t>
  </si>
  <si>
    <t>通路</t>
  </si>
  <si>
    <t>通电</t>
  </si>
  <si>
    <t>通讯</t>
  </si>
  <si>
    <t>通上水</t>
  </si>
  <si>
    <t>通热</t>
  </si>
  <si>
    <t>通下水</t>
  </si>
  <si>
    <t>燃气</t>
  </si>
  <si>
    <t>平整</t>
  </si>
  <si>
    <t>容积率修正</t>
  </si>
  <si>
    <t>收益法</t>
  </si>
  <si>
    <t>标间</t>
  </si>
  <si>
    <t>豪华大床间</t>
  </si>
  <si>
    <t>普通套房</t>
  </si>
  <si>
    <t>行政套房</t>
  </si>
  <si>
    <t>豪华套房</t>
  </si>
  <si>
    <t>按比例</t>
  </si>
  <si>
    <t>成本法</t>
  </si>
  <si>
    <t>收益法-酒店模型</t>
  </si>
  <si>
    <t>https://paimai.jd.com/307215718</t>
    <phoneticPr fontId="134" type="noConversion"/>
  </si>
  <si>
    <r>
      <t>通州区九棵树中路9</t>
    </r>
    <r>
      <rPr>
        <sz val="11"/>
        <color theme="1"/>
        <rFont val="宋体"/>
        <family val="3"/>
        <charset val="134"/>
        <scheme val="minor"/>
      </rPr>
      <t>98号4层998-商17、1至3层998商8</t>
    </r>
    <phoneticPr fontId="134" type="noConversion"/>
  </si>
  <si>
    <t>地址</t>
    <phoneticPr fontId="134" type="noConversion"/>
  </si>
  <si>
    <t>面积</t>
    <phoneticPr fontId="134" type="noConversion"/>
  </si>
  <si>
    <t>成交价</t>
    <phoneticPr fontId="134" type="noConversion"/>
  </si>
  <si>
    <t>评估价</t>
    <phoneticPr fontId="134" type="noConversion"/>
  </si>
  <si>
    <t>用途</t>
    <phoneticPr fontId="134" type="noConversion"/>
  </si>
  <si>
    <t>商业</t>
    <phoneticPr fontId="134" type="noConversion"/>
  </si>
  <si>
    <t>https://paimai.jd.com/301772934</t>
    <phoneticPr fontId="134" type="noConversion"/>
  </si>
  <si>
    <t>北京市朝阳区建外永安东里甲3号院2号楼全部</t>
    <phoneticPr fontId="134" type="noConversion"/>
  </si>
  <si>
    <t>办公用房</t>
    <phoneticPr fontId="134" type="noConversion"/>
  </si>
  <si>
    <t>https://paimai.jd.com/307157004</t>
    <phoneticPr fontId="134" type="noConversion"/>
  </si>
  <si>
    <t>北京市朝阳区东三环中路7号4号楼39层4502、4503室</t>
    <phoneticPr fontId="134" type="noConversion"/>
  </si>
  <si>
    <t>写字楼</t>
    <phoneticPr fontId="134" type="noConversion"/>
  </si>
  <si>
    <t>https://paimai.jd.com/307040025</t>
    <phoneticPr fontId="134" type="noConversion"/>
  </si>
  <si>
    <t>北京市海淀区首体南路甲20号103、105、106、202、302附属商业房产及其占用范围内的土地使用权</t>
    <phoneticPr fontId="134" type="noConversion"/>
  </si>
  <si>
    <t>商业裙房</t>
    <phoneticPr fontId="134" type="noConversion"/>
  </si>
  <si>
    <t>https://paimai.jd.com/306902436</t>
    <phoneticPr fontId="134" type="noConversion"/>
  </si>
  <si>
    <t>北京市房山区琉璃河镇汇元街31号楼1至2层04-14房屋</t>
    <phoneticPr fontId="134" type="noConversion"/>
  </si>
  <si>
    <t>商业</t>
    <phoneticPr fontId="134" type="noConversion"/>
  </si>
  <si>
    <t>https://paimai.jd.com/306870637</t>
    <phoneticPr fontId="134" type="noConversion"/>
  </si>
  <si>
    <t>北京市东城区贡院西街6号及甲6号E座6层602号</t>
    <phoneticPr fontId="134" type="noConversion"/>
  </si>
  <si>
    <t>公寓</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</si>
</sst>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pplyNumberFormat="0" applyFill="0" applyBorder="0" applyAlignment="0" applyProtection="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9" fontId="100" fillId="0" borderId="23" xfId="0" applyNumberFormat="1" applyFont="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0" xfId="0" applyFont="1">
      <alignment vertical="center"/>
    </xf>
    <xf numFmtId="178" fontId="53" fillId="0" borderId="1" xfId="4" applyNumberFormat="1" applyFont="1" applyFill="1" applyBorder="1" applyAlignment="1" applyProtection="1">
      <alignment horizontal="left" vertical="center"/>
      <protection locked="0"/>
    </xf>
    <xf numFmtId="2" fontId="0" fillId="0" borderId="0" xfId="0" applyNumberFormat="1">
      <alignment vertical="center"/>
    </xf>
    <xf numFmtId="0" fontId="95" fillId="0" borderId="0" xfId="0" applyFont="1">
      <alignment vertical="center"/>
    </xf>
    <xf numFmtId="0" fontId="270" fillId="0" borderId="0" xfId="19">
      <alignment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656457</xdr:colOff>
      <xdr:row>32</xdr:row>
      <xdr:rowOff>94552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6142857" cy="55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361951</xdr:colOff>
      <xdr:row>25</xdr:row>
      <xdr:rowOff>6825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848350" cy="4293075"/>
        </a:xfrm>
        <a:prstGeom prst="rect">
          <a:avLst/>
        </a:prstGeom>
      </xdr:spPr>
    </xdr:pic>
    <xdr:clientData/>
  </xdr:twoCellAnchor>
  <xdr:twoCellAnchor editAs="oneCell">
    <xdr:from>
      <xdr:col>0</xdr:col>
      <xdr:colOff>1</xdr:colOff>
      <xdr:row>26</xdr:row>
      <xdr:rowOff>0</xdr:rowOff>
    </xdr:from>
    <xdr:to>
      <xdr:col>8</xdr:col>
      <xdr:colOff>297365</xdr:colOff>
      <xdr:row>47</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4457700"/>
          <a:ext cx="5783764" cy="3667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17</xdr:col>
      <xdr:colOff>113600</xdr:colOff>
      <xdr:row>23</xdr:row>
      <xdr:rowOff>151888</xdr:rowOff>
    </xdr:to>
    <xdr:pic>
      <xdr:nvPicPr>
        <xdr:cNvPr id="2" name="图片 1"/>
        <xdr:cNvPicPr>
          <a:picLocks noChangeAspect="1"/>
        </xdr:cNvPicPr>
      </xdr:nvPicPr>
      <xdr:blipFill>
        <a:blip xmlns:r="http://schemas.openxmlformats.org/officeDocument/2006/relationships" r:embed="rId1"/>
        <a:stretch>
          <a:fillRect/>
        </a:stretch>
      </xdr:blipFill>
      <xdr:spPr>
        <a:xfrm>
          <a:off x="5486400" y="0"/>
          <a:ext cx="5600000" cy="4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3" Type="http://schemas.openxmlformats.org/officeDocument/2006/relationships/hyperlink" Target="https://paimai.jd.com/307157004" TargetMode="External"/><Relationship Id="rId7" Type="http://schemas.openxmlformats.org/officeDocument/2006/relationships/drawing" Target="../drawings/drawing3.xml"/><Relationship Id="rId2" Type="http://schemas.openxmlformats.org/officeDocument/2006/relationships/hyperlink" Target="https://paimai.jd.com/301772934" TargetMode="External"/><Relationship Id="rId1" Type="http://schemas.openxmlformats.org/officeDocument/2006/relationships/hyperlink" Target="https://paimai.jd.com/307215718" TargetMode="External"/><Relationship Id="rId6" Type="http://schemas.openxmlformats.org/officeDocument/2006/relationships/hyperlink" Target="https://paimai.jd.com/306870637" TargetMode="External"/><Relationship Id="rId5" Type="http://schemas.openxmlformats.org/officeDocument/2006/relationships/hyperlink" Target="https://paimai.jd.com/306902436" TargetMode="External"/><Relationship Id="rId4" Type="http://schemas.openxmlformats.org/officeDocument/2006/relationships/hyperlink" Target="https://paimai.jd.com/307040025"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受贵公司委托，我公司对北京市房地产抵押价值进行了预评估。</v>
      </c>
    </row>
    <row r="7" spans="1:2" s="1199" customFormat="1">
      <c r="A7" s="1197" t="s">
        <v>566</v>
      </c>
      <c r="B7" s="1198" t="str">
        <f>'预评函-1'!A7</f>
        <v>估价对象为北京市房地产，为所有。根据《国有土地使用证》[]，估价对象（分摊）出让国有建设用地使用权面积为7478.47平方米，建筑面积为24230.8平方米。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估价对象为北京市房地产,属开发建设的，该项目尚在开发建设中。根据《国有土地使用证》[]，估价对象（分摊）出让国有建设用地使用权面积为7478.47平方米，规划建筑面积为24230.8平方米。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2024年7月18日</v>
      </c>
    </row>
    <row r="13" spans="1:2" s="1199" customFormat="1">
      <c r="A13" s="1197" t="s">
        <v>529</v>
      </c>
      <c r="B13" s="1198" t="str">
        <f>'预评函-1'!A18</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t="e">
        <f ca="1">'预评函-2'!D5</f>
        <v>#REF!</v>
      </c>
    </row>
    <row r="21" spans="1:2" s="1199" customFormat="1">
      <c r="A21" s="1197" t="s">
        <v>537</v>
      </c>
      <c r="B21" s="1198" t="e">
        <f ca="1">'预评函-2'!D7</f>
        <v>#REF!</v>
      </c>
    </row>
    <row r="22" spans="1:2" s="1199" customFormat="1">
      <c r="A22" s="1197" t="s">
        <v>538</v>
      </c>
      <c r="B22" s="1198" t="e">
        <f ca="1">'预评函-2'!D6</f>
        <v>#REF!</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t="e">
        <f ca="1">'预评函-2'!D13</f>
        <v>#REF!</v>
      </c>
    </row>
    <row r="31" spans="1:2" s="1199" customFormat="1">
      <c r="A31" s="1197" t="s">
        <v>576</v>
      </c>
      <c r="B31" s="1198" t="e">
        <f ca="1">'预评函-2'!D15</f>
        <v>#REF!</v>
      </c>
    </row>
    <row r="32" spans="1:2" s="1199" customFormat="1">
      <c r="A32" s="1197" t="s">
        <v>543</v>
      </c>
      <c r="B32" s="1198" t="e">
        <f ca="1">'预评函-2'!D14</f>
        <v>#REF!</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24230.799999999999</v>
      </c>
    </row>
    <row r="44" spans="1:2" s="1199" customFormat="1">
      <c r="A44" s="1197" t="s">
        <v>575</v>
      </c>
      <c r="B44" s="1198" t="str">
        <f>'预评函-3'!C2</f>
        <v>(分摊)土地面积</v>
      </c>
    </row>
    <row r="45" spans="1:2" s="1199" customFormat="1">
      <c r="A45" s="1197" t="s">
        <v>547</v>
      </c>
      <c r="B45" s="1198">
        <f>'预评函-3'!C4</f>
        <v>7478.47</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8" sqref="H28"/>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3347</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3333</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3334</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3335</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3336</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3337</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3338</v>
      </c>
    </row>
    <row r="8" spans="1:23">
      <c r="A8" s="1542" t="s">
        <v>1026</v>
      </c>
      <c r="B8" s="1542" t="s">
        <v>1027</v>
      </c>
      <c r="C8" s="1543" t="s">
        <v>319</v>
      </c>
      <c r="F8" s="1544" t="s">
        <v>1028</v>
      </c>
      <c r="H8" s="1544" t="s">
        <v>2575</v>
      </c>
      <c r="I8" s="1544" t="s">
        <v>3339</v>
      </c>
    </row>
    <row r="9" spans="1:23">
      <c r="A9" s="1542" t="s">
        <v>1029</v>
      </c>
      <c r="B9" s="1542" t="s">
        <v>1030</v>
      </c>
      <c r="C9" s="1543" t="s">
        <v>320</v>
      </c>
      <c r="F9" s="1544" t="s">
        <v>1031</v>
      </c>
      <c r="H9" s="1544"/>
      <c r="I9" s="1547" t="s">
        <v>3340</v>
      </c>
    </row>
    <row r="10" spans="1:23">
      <c r="A10" s="1542" t="s">
        <v>1032</v>
      </c>
      <c r="B10" s="1542" t="s">
        <v>1033</v>
      </c>
      <c r="C10" s="1543" t="s">
        <v>321</v>
      </c>
      <c r="F10" s="1544" t="s">
        <v>2576</v>
      </c>
      <c r="I10" s="1547" t="s">
        <v>3341</v>
      </c>
    </row>
    <row r="11" spans="1:23">
      <c r="A11" s="1542" t="s">
        <v>1034</v>
      </c>
      <c r="B11" s="1542" t="s">
        <v>1035</v>
      </c>
      <c r="C11" s="1543" t="s">
        <v>322</v>
      </c>
      <c r="F11" s="1544" t="s">
        <v>13</v>
      </c>
      <c r="I11" s="1547" t="s">
        <v>3342</v>
      </c>
    </row>
    <row r="12" spans="1:23">
      <c r="A12" s="1542" t="s">
        <v>1036</v>
      </c>
      <c r="B12" s="1542" t="s">
        <v>1037</v>
      </c>
      <c r="C12" s="1543" t="s">
        <v>323</v>
      </c>
      <c r="I12" s="1547" t="s">
        <v>3343</v>
      </c>
    </row>
    <row r="13" spans="1:23">
      <c r="A13" s="1542" t="s">
        <v>1038</v>
      </c>
      <c r="B13" s="1542" t="s">
        <v>1039</v>
      </c>
      <c r="C13" s="1543" t="s">
        <v>324</v>
      </c>
      <c r="I13" s="1547" t="s">
        <v>3344</v>
      </c>
    </row>
    <row r="14" spans="1:23">
      <c r="A14" s="1542" t="s">
        <v>1040</v>
      </c>
      <c r="B14" s="1542" t="s">
        <v>1041</v>
      </c>
      <c r="C14" s="1544" t="s">
        <v>13</v>
      </c>
      <c r="I14" s="1547" t="s">
        <v>3345</v>
      </c>
    </row>
    <row r="15" spans="1:23">
      <c r="A15" s="1542" t="s">
        <v>1042</v>
      </c>
      <c r="B15" s="1542" t="s">
        <v>1043</v>
      </c>
      <c r="C15" s="1543"/>
      <c r="I15" s="1547" t="s">
        <v>3346</v>
      </c>
    </row>
    <row r="16" spans="1:23">
      <c r="A16" s="1542" t="s">
        <v>1044</v>
      </c>
      <c r="B16" s="1542" t="s">
        <v>312</v>
      </c>
      <c r="C16" s="1543"/>
    </row>
    <row r="17" spans="1:3">
      <c r="A17" s="1542" t="s">
        <v>1045</v>
      </c>
      <c r="B17" s="1542" t="s">
        <v>2293</v>
      </c>
      <c r="C17" s="1543"/>
    </row>
    <row r="18" spans="1:3">
      <c r="A18" s="1542" t="s">
        <v>1046</v>
      </c>
      <c r="B18" s="1542" t="s">
        <v>2432</v>
      </c>
      <c r="C18" s="1543"/>
    </row>
    <row r="19" spans="1:3">
      <c r="A19" s="1542" t="s">
        <v>1047</v>
      </c>
      <c r="B19" s="1545" t="s">
        <v>3389</v>
      </c>
      <c r="C19" s="1543"/>
    </row>
    <row r="20" spans="1:3">
      <c r="A20" s="1542" t="s">
        <v>1048</v>
      </c>
      <c r="B20" s="1545" t="s">
        <v>3390</v>
      </c>
      <c r="C20" s="1543"/>
    </row>
    <row r="21" spans="1:3">
      <c r="A21" s="1542" t="s">
        <v>1049</v>
      </c>
      <c r="B21" s="1545" t="s">
        <v>3391</v>
      </c>
      <c r="C21" s="1543"/>
    </row>
    <row r="22" spans="1:3">
      <c r="A22" s="1542" t="s">
        <v>1050</v>
      </c>
      <c r="B22" s="1545" t="s">
        <v>3392</v>
      </c>
      <c r="C22" s="1543"/>
    </row>
    <row r="23" spans="1:3">
      <c r="A23" s="1542" t="s">
        <v>1051</v>
      </c>
      <c r="B23" s="1545" t="s">
        <v>3393</v>
      </c>
      <c r="C23" s="1543"/>
    </row>
    <row r="24" spans="1:3">
      <c r="A24" s="1542" t="s">
        <v>1052</v>
      </c>
      <c r="B24" s="1545" t="s">
        <v>3394</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486"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6"/>
      <c r="B54" s="1550" t="s">
        <v>385</v>
      </c>
      <c r="C54" s="1547" t="s">
        <v>583</v>
      </c>
    </row>
    <row r="55" spans="1:4">
      <c r="A55" s="3486"/>
      <c r="B55" s="1550" t="s">
        <v>386</v>
      </c>
      <c r="C55" s="1547" t="s">
        <v>584</v>
      </c>
    </row>
    <row r="56" spans="1:4">
      <c r="A56" s="3486"/>
      <c r="B56" s="1550" t="s">
        <v>387</v>
      </c>
      <c r="C56" s="1547" t="s">
        <v>588</v>
      </c>
    </row>
    <row r="57" spans="1:4">
      <c r="A57" s="3486"/>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2498</v>
      </c>
      <c r="B1" s="3010"/>
      <c r="C1" s="3010"/>
      <c r="D1" s="3010"/>
      <c r="E1" s="3010"/>
      <c r="F1" s="3011"/>
      <c r="I1" s="3433" t="s">
        <v>2591</v>
      </c>
      <c r="J1" s="3222"/>
      <c r="K1" s="3222"/>
      <c r="L1" s="3222"/>
      <c r="M1" s="3222"/>
      <c r="N1" s="3434"/>
      <c r="O1" s="3434"/>
      <c r="P1" s="3434"/>
      <c r="Q1" s="3434"/>
      <c r="R1" s="3434"/>
    </row>
    <row r="2" spans="1:18">
      <c r="A2" s="3013"/>
      <c r="B2" s="3014"/>
      <c r="C2" s="3014"/>
      <c r="D2" s="3014"/>
      <c r="E2" s="3014"/>
      <c r="F2" s="3015"/>
      <c r="I2" s="3487" t="s">
        <v>2578</v>
      </c>
      <c r="J2" s="3487"/>
      <c r="K2" s="3487"/>
      <c r="L2" s="3487"/>
      <c r="M2" s="3487"/>
      <c r="N2" s="3487"/>
      <c r="O2" s="3487"/>
      <c r="P2" s="3487"/>
      <c r="Q2" s="3487"/>
      <c r="R2" s="3487"/>
    </row>
    <row r="3" spans="1:18">
      <c r="A3" s="3016" t="s">
        <v>2499</v>
      </c>
      <c r="B3" s="3017">
        <f>项目基本情况!D3</f>
        <v>45491</v>
      </c>
      <c r="C3" s="3019"/>
      <c r="D3" s="3019"/>
      <c r="E3" s="3019"/>
      <c r="F3" s="3015"/>
      <c r="I3" s="3435"/>
      <c r="J3" s="3435" t="s">
        <v>2582</v>
      </c>
      <c r="K3" s="3435" t="s">
        <v>2583</v>
      </c>
      <c r="L3" s="3435" t="s">
        <v>2584</v>
      </c>
      <c r="M3" s="3435" t="s">
        <v>2585</v>
      </c>
      <c r="N3" s="3436" t="s">
        <v>2586</v>
      </c>
      <c r="O3" s="3436" t="s">
        <v>2587</v>
      </c>
      <c r="P3" s="3436" t="s">
        <v>2588</v>
      </c>
      <c r="Q3" s="3436" t="s">
        <v>2589</v>
      </c>
      <c r="R3" s="3436" t="s">
        <v>2590</v>
      </c>
    </row>
    <row r="4" spans="1:18">
      <c r="A4" s="3016" t="s">
        <v>2500</v>
      </c>
      <c r="B4" s="3019" t="s">
        <v>2501</v>
      </c>
      <c r="C4" s="3019" t="s">
        <v>2502</v>
      </c>
      <c r="D4" s="3019" t="s">
        <v>2503</v>
      </c>
      <c r="E4" s="3019" t="s">
        <v>2504</v>
      </c>
      <c r="F4" s="3015"/>
      <c r="I4" s="3435" t="s">
        <v>2579</v>
      </c>
      <c r="J4" s="3435">
        <v>80</v>
      </c>
      <c r="K4" s="3435">
        <v>70</v>
      </c>
      <c r="L4" s="3435">
        <v>20</v>
      </c>
      <c r="M4" s="3435">
        <v>30</v>
      </c>
      <c r="N4" s="3019">
        <v>45</v>
      </c>
      <c r="O4" s="3019">
        <v>60</v>
      </c>
      <c r="P4" s="3019">
        <v>50</v>
      </c>
      <c r="Q4" s="3019">
        <v>20</v>
      </c>
      <c r="R4" s="3019">
        <v>375</v>
      </c>
    </row>
    <row r="5" spans="1:18">
      <c r="A5" s="3020">
        <v>40</v>
      </c>
      <c r="B5" s="3017">
        <v>46375</v>
      </c>
      <c r="C5" s="3019">
        <f>ROUNDDOWN(MIN((B5-B3)/365,A5),2)</f>
        <v>2.42</v>
      </c>
      <c r="D5" s="3021">
        <f>IF(ISERROR(ROUND(POWER(1+E5,A5-C5)*(POWER(1+E5,C5)-1)/(POWER(1+E5,A5)-1),3)),0,ROUND(POWER(1+E5,A5-C5)*(POWER(1+E5,C5)-1)/(POWER(1+E5,A5)-1),4))</f>
        <v>0.1144</v>
      </c>
      <c r="E5" s="3022">
        <v>0.04</v>
      </c>
      <c r="F5" s="3015"/>
      <c r="I5" s="3435" t="s">
        <v>2580</v>
      </c>
      <c r="J5" s="3435">
        <v>70</v>
      </c>
      <c r="K5" s="3435">
        <v>60</v>
      </c>
      <c r="L5" s="3435">
        <v>15</v>
      </c>
      <c r="M5" s="3435">
        <v>25</v>
      </c>
      <c r="N5" s="3019">
        <v>40</v>
      </c>
      <c r="O5" s="3019">
        <v>50</v>
      </c>
      <c r="P5" s="3019">
        <v>40</v>
      </c>
      <c r="Q5" s="3019">
        <v>15</v>
      </c>
      <c r="R5" s="3019">
        <v>315</v>
      </c>
    </row>
    <row r="6" spans="1:18">
      <c r="A6" s="3020">
        <v>50</v>
      </c>
      <c r="B6" s="3017">
        <v>50028</v>
      </c>
      <c r="C6" s="3019">
        <f>ROUNDDOWN(MIN((B6-B3)/365,A6),2)</f>
        <v>12.43</v>
      </c>
      <c r="D6" s="3021">
        <f>IF(ISERROR(ROUND(POWER(1+E6,A6-C6)*(POWER(1+E6,C6)-1)/(POWER(1+E6,A6)-1),3)),0,ROUND(POWER(1+E6,A6-C6)*(POWER(1+E6,C6)-1)/(POWER(1+E6,A6)-1),4))</f>
        <v>0.44900000000000001</v>
      </c>
      <c r="E6" s="3022">
        <v>0.04</v>
      </c>
      <c r="F6" s="3015"/>
      <c r="I6" s="3435" t="s">
        <v>2581</v>
      </c>
      <c r="J6" s="3435">
        <v>60</v>
      </c>
      <c r="K6" s="3435">
        <v>50</v>
      </c>
      <c r="L6" s="3435">
        <v>10</v>
      </c>
      <c r="M6" s="3435">
        <v>20</v>
      </c>
      <c r="N6" s="3019">
        <v>35</v>
      </c>
      <c r="O6" s="3019">
        <v>40</v>
      </c>
      <c r="P6" s="3019">
        <v>30</v>
      </c>
      <c r="Q6" s="3019">
        <v>10</v>
      </c>
      <c r="R6" s="3019">
        <v>255</v>
      </c>
    </row>
    <row r="7" spans="1:18">
      <c r="A7" s="3020">
        <v>70</v>
      </c>
      <c r="B7" s="3017">
        <v>57333</v>
      </c>
      <c r="C7" s="3019">
        <f>ROUNDDOWN(MIN((B7-B3)/365,A7),2)</f>
        <v>32.44</v>
      </c>
      <c r="D7" s="3021">
        <f>IF(ISERROR(ROUND(POWER(1+E7,A7-C7)*(POWER(1+E7,C7)-1)/(POWER(1+E7,A7)-1),3)),0,ROUND(POWER(1+E7,A7-C7)*(POWER(1+E7,C7)-1)/(POWER(1+E7,A7)-1),4))</f>
        <v>0.76919999999999999</v>
      </c>
      <c r="E7" s="3022">
        <v>0.04</v>
      </c>
      <c r="F7" s="3015"/>
    </row>
    <row r="8" spans="1:18">
      <c r="A8" s="3013"/>
      <c r="B8" s="3014"/>
      <c r="C8" s="3014"/>
      <c r="D8" s="3014"/>
      <c r="E8" s="3014"/>
      <c r="F8" s="3015"/>
    </row>
    <row r="9" spans="1:18">
      <c r="A9" s="3016" t="s">
        <v>2505</v>
      </c>
      <c r="B9" s="3019"/>
      <c r="C9" s="3019"/>
      <c r="D9" s="3019"/>
      <c r="E9" s="3019"/>
      <c r="F9" s="3023"/>
    </row>
    <row r="10" spans="1:18">
      <c r="A10" s="3016" t="s">
        <v>2506</v>
      </c>
      <c r="B10" s="3019"/>
      <c r="C10" s="3019"/>
      <c r="D10" s="3019" t="s">
        <v>2504</v>
      </c>
      <c r="E10" s="3019"/>
      <c r="F10" s="3023" t="s">
        <v>2503</v>
      </c>
    </row>
    <row r="11" spans="1:18">
      <c r="A11" s="3016" t="s">
        <v>2507</v>
      </c>
      <c r="B11" s="3024">
        <v>70</v>
      </c>
      <c r="C11" s="3019" t="s">
        <v>2508</v>
      </c>
      <c r="D11" s="3025">
        <v>4.4999999999999998E-2</v>
      </c>
      <c r="E11" s="3019" t="s">
        <v>2509</v>
      </c>
      <c r="F11" s="3026">
        <f>ROUND(1-(1/(POWER(1+D11,B11))),4)</f>
        <v>0.95409999999999995</v>
      </c>
    </row>
    <row r="12" spans="1:18">
      <c r="A12" s="3016" t="s">
        <v>2510</v>
      </c>
      <c r="B12" s="3024">
        <v>40</v>
      </c>
      <c r="C12" s="3019" t="s">
        <v>2511</v>
      </c>
      <c r="D12" s="3025">
        <v>4.4999999999999998E-2</v>
      </c>
      <c r="E12" s="3019" t="s">
        <v>2512</v>
      </c>
      <c r="F12" s="3026">
        <f>ROUND(1-(1/(POWER(1+D12,B12))),4)</f>
        <v>0.82809999999999995</v>
      </c>
    </row>
    <row r="13" spans="1:18">
      <c r="A13" s="3016" t="s">
        <v>2513</v>
      </c>
      <c r="B13" s="3019"/>
      <c r="C13" s="3019"/>
      <c r="D13" s="3014"/>
      <c r="E13" s="3014"/>
      <c r="F13" s="3015"/>
    </row>
    <row r="14" spans="1:18">
      <c r="A14" s="3016" t="s">
        <v>2514</v>
      </c>
      <c r="B14" s="3024">
        <v>5000</v>
      </c>
      <c r="C14" s="3018"/>
      <c r="D14" s="3014"/>
      <c r="E14" s="3014"/>
      <c r="F14" s="3015"/>
    </row>
    <row r="15" spans="1:18">
      <c r="A15" s="3016" t="s">
        <v>2515</v>
      </c>
      <c r="B15" s="3019">
        <f>ROUND(B14*F12/F11,2)</f>
        <v>4339.6899999999996</v>
      </c>
      <c r="C15" s="3019">
        <f>ROUND(F12/F11,4)</f>
        <v>0.8679</v>
      </c>
      <c r="D15" s="3014"/>
      <c r="E15" s="3014"/>
      <c r="F15" s="3015"/>
    </row>
    <row r="16" spans="1:18">
      <c r="A16" s="3016" t="s">
        <v>2516</v>
      </c>
      <c r="B16" s="3019"/>
      <c r="C16" s="3019"/>
      <c r="D16" s="3014"/>
      <c r="E16" s="3014"/>
      <c r="F16" s="3015"/>
    </row>
    <row r="17" spans="1:13">
      <c r="A17" s="3016" t="s">
        <v>2515</v>
      </c>
      <c r="B17" s="3025">
        <v>4810</v>
      </c>
      <c r="C17" s="3018"/>
      <c r="D17" s="3014"/>
      <c r="E17" s="3014"/>
      <c r="F17" s="3015"/>
    </row>
    <row r="18" spans="1:13" ht="14.25" thickBot="1">
      <c r="A18" s="3027" t="s">
        <v>2514</v>
      </c>
      <c r="B18" s="3028">
        <f>ROUND(B17*F11/F12,2)</f>
        <v>5541.87</v>
      </c>
      <c r="C18" s="3028">
        <f>ROUND(F11/F12,4)</f>
        <v>1.1521999999999999</v>
      </c>
      <c r="D18" s="3029"/>
      <c r="E18" s="3029"/>
      <c r="F18" s="3030"/>
    </row>
    <row r="19" spans="1:13" ht="14.25" thickBot="1"/>
    <row r="20" spans="1:13" s="3065" customFormat="1" ht="14.25" thickTop="1">
      <c r="A20" s="3062" t="s">
        <v>2517</v>
      </c>
      <c r="B20" s="3063"/>
      <c r="C20" s="3063"/>
      <c r="D20" s="3063"/>
      <c r="E20" s="3063"/>
      <c r="F20" s="3063"/>
      <c r="G20" s="3064"/>
      <c r="I20" s="3066" t="s">
        <v>2562</v>
      </c>
      <c r="J20" s="3066" t="s">
        <v>2567</v>
      </c>
      <c r="K20" s="3066"/>
      <c r="L20" s="3066"/>
      <c r="M20" s="3066"/>
    </row>
    <row r="21" spans="1:13">
      <c r="A21" s="3031"/>
      <c r="B21" s="3032" t="s">
        <v>2518</v>
      </c>
      <c r="C21" s="3032" t="s">
        <v>2519</v>
      </c>
      <c r="D21" s="3032" t="s">
        <v>2520</v>
      </c>
      <c r="E21" s="3032" t="s">
        <v>2521</v>
      </c>
      <c r="F21" s="3032" t="s">
        <v>2522</v>
      </c>
      <c r="G21" s="3033" t="s">
        <v>2523</v>
      </c>
      <c r="I21" s="3054">
        <v>5</v>
      </c>
      <c r="J21" s="3054">
        <v>54.2</v>
      </c>
    </row>
    <row r="22" spans="1:13">
      <c r="A22" s="3031" t="s">
        <v>2524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2565</v>
      </c>
      <c r="M23" s="3054" t="s">
        <v>2566</v>
      </c>
    </row>
    <row r="24" spans="1:13">
      <c r="A24" s="3031" t="s">
        <v>2526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2564</v>
      </c>
      <c r="M24" s="3054">
        <v>10</v>
      </c>
    </row>
    <row r="25" spans="1:13">
      <c r="A25" s="3031" t="s">
        <v>2527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2568</v>
      </c>
      <c r="M25" s="3054">
        <v>8</v>
      </c>
    </row>
    <row r="26" spans="1:13">
      <c r="A26" s="3036"/>
      <c r="B26" s="3037"/>
      <c r="C26" s="3037"/>
      <c r="D26" s="3037"/>
      <c r="E26" s="3037"/>
      <c r="F26" s="3037"/>
      <c r="G26" s="3038"/>
      <c r="I26" s="3054">
        <v>30</v>
      </c>
      <c r="J26" s="3054">
        <v>90.5</v>
      </c>
      <c r="K26" s="3054">
        <f t="shared" si="2"/>
        <v>4.2000000000000028</v>
      </c>
      <c r="L26" s="3054" t="s">
        <v>2569</v>
      </c>
      <c r="M26" s="3054">
        <v>5</v>
      </c>
    </row>
    <row r="27" spans="1:13">
      <c r="A27" s="3036" t="s">
        <v>2528</v>
      </c>
      <c r="B27" s="3037"/>
      <c r="C27" s="3037"/>
      <c r="D27" s="3037"/>
      <c r="E27" s="3037"/>
      <c r="F27" s="3037"/>
      <c r="G27" s="3038"/>
      <c r="I27" s="3054">
        <v>35</v>
      </c>
      <c r="J27" s="3054">
        <v>93.8</v>
      </c>
      <c r="K27" s="3054">
        <f t="shared" si="2"/>
        <v>3.2999999999999972</v>
      </c>
      <c r="L27" s="3054" t="s">
        <v>2570</v>
      </c>
      <c r="M27" s="3054">
        <v>3</v>
      </c>
    </row>
    <row r="28" spans="1:13">
      <c r="A28" s="3036" t="s">
        <v>2529</v>
      </c>
      <c r="B28" s="3037"/>
      <c r="C28" s="3037"/>
      <c r="D28" s="3037"/>
      <c r="E28" s="3037"/>
      <c r="F28" s="3037"/>
      <c r="G28" s="3038"/>
      <c r="I28" s="3054">
        <v>40</v>
      </c>
      <c r="J28" s="3054">
        <v>96.4</v>
      </c>
      <c r="K28" s="3054">
        <f t="shared" si="2"/>
        <v>2.6000000000000085</v>
      </c>
      <c r="L28" s="3054" t="s">
        <v>2571</v>
      </c>
      <c r="M28" s="3054">
        <v>2</v>
      </c>
    </row>
    <row r="29" spans="1:13">
      <c r="A29" s="3036" t="s">
        <v>2530</v>
      </c>
      <c r="B29" s="3037"/>
      <c r="C29" s="3037"/>
      <c r="D29" s="3037"/>
      <c r="E29" s="3037"/>
      <c r="F29" s="3037"/>
      <c r="G29" s="3038"/>
      <c r="I29" s="3054">
        <v>45</v>
      </c>
      <c r="J29" s="3054">
        <v>98.4</v>
      </c>
      <c r="K29" s="3054">
        <f t="shared" si="2"/>
        <v>2</v>
      </c>
    </row>
    <row r="30" spans="1:13">
      <c r="A30" s="3036" t="s">
        <v>2531</v>
      </c>
      <c r="B30" s="3037"/>
      <c r="C30" s="3037"/>
      <c r="D30" s="3037"/>
      <c r="E30" s="3037"/>
      <c r="F30" s="3037"/>
      <c r="G30" s="3038"/>
      <c r="I30" s="3054">
        <v>50</v>
      </c>
      <c r="J30" s="3054">
        <v>100</v>
      </c>
      <c r="K30" s="3054">
        <f t="shared" si="2"/>
        <v>1.5999999999999943</v>
      </c>
    </row>
    <row r="31" spans="1:13">
      <c r="A31" s="3036" t="s">
        <v>2532</v>
      </c>
      <c r="B31" s="3037"/>
      <c r="C31" s="3037"/>
      <c r="D31" s="3037"/>
      <c r="E31" s="3037"/>
      <c r="F31" s="3037"/>
      <c r="G31" s="3038"/>
      <c r="I31" s="3054" t="s">
        <v>2563</v>
      </c>
    </row>
    <row r="32" spans="1:13">
      <c r="A32" s="3036" t="s">
        <v>2533</v>
      </c>
      <c r="B32" s="3037"/>
      <c r="C32" s="3037"/>
      <c r="D32" s="3037"/>
      <c r="E32" s="3037"/>
      <c r="F32" s="3037"/>
      <c r="G32" s="3038"/>
    </row>
    <row r="33" spans="1:13">
      <c r="A33" s="3036" t="s">
        <v>2534</v>
      </c>
      <c r="B33" s="3037"/>
      <c r="C33" s="3037"/>
      <c r="D33" s="3037"/>
      <c r="E33" s="3037"/>
      <c r="F33" s="3037"/>
      <c r="G33" s="3038"/>
      <c r="I33" s="3054" t="s">
        <v>2562</v>
      </c>
      <c r="J33" s="3054" t="s">
        <v>2572</v>
      </c>
    </row>
    <row r="34" spans="1:13">
      <c r="A34" s="3036" t="s">
        <v>2535</v>
      </c>
      <c r="B34" s="3037"/>
      <c r="C34" s="3037"/>
      <c r="D34" s="3037"/>
      <c r="E34" s="3037"/>
      <c r="F34" s="3037"/>
      <c r="G34" s="3038"/>
      <c r="I34" s="3054">
        <v>5</v>
      </c>
      <c r="J34" s="3054">
        <v>55.1</v>
      </c>
    </row>
    <row r="35" spans="1:13">
      <c r="A35" s="3036" t="s">
        <v>2536</v>
      </c>
      <c r="B35" s="3037"/>
      <c r="C35" s="3037"/>
      <c r="D35" s="3037"/>
      <c r="E35" s="3037"/>
      <c r="F35" s="3037"/>
      <c r="G35" s="3038"/>
      <c r="I35" s="3054">
        <v>10</v>
      </c>
      <c r="J35" s="3054">
        <v>67</v>
      </c>
      <c r="K35" s="3054">
        <f>J35-J34</f>
        <v>11.899999999999999</v>
      </c>
    </row>
    <row r="36" spans="1:13">
      <c r="A36" s="3036" t="s">
        <v>2537</v>
      </c>
      <c r="B36" s="3037"/>
      <c r="C36" s="3037"/>
      <c r="D36" s="3037"/>
      <c r="E36" s="3037"/>
      <c r="F36" s="3037"/>
      <c r="G36" s="3038"/>
      <c r="I36" s="3054">
        <v>15</v>
      </c>
      <c r="J36" s="3054">
        <v>76.3</v>
      </c>
      <c r="K36" s="3054">
        <f t="shared" ref="K36:K41" si="3">J36-J35</f>
        <v>9.2999999999999972</v>
      </c>
      <c r="L36" s="3054" t="s">
        <v>2565</v>
      </c>
      <c r="M36" s="3054" t="s">
        <v>2566</v>
      </c>
    </row>
    <row r="37" spans="1:13">
      <c r="A37" s="3036" t="s">
        <v>2538</v>
      </c>
      <c r="B37" s="3037"/>
      <c r="C37" s="3037"/>
      <c r="D37" s="3037"/>
      <c r="E37" s="3037"/>
      <c r="F37" s="3037"/>
      <c r="G37" s="3038"/>
      <c r="I37" s="3054">
        <v>20</v>
      </c>
      <c r="J37" s="3054">
        <v>83.6</v>
      </c>
      <c r="K37" s="3054">
        <f t="shared" si="3"/>
        <v>7.2999999999999972</v>
      </c>
      <c r="L37" s="3054" t="s">
        <v>2564</v>
      </c>
      <c r="M37" s="3054">
        <v>10</v>
      </c>
    </row>
    <row r="38" spans="1:13">
      <c r="A38" s="3036" t="s">
        <v>2539</v>
      </c>
      <c r="B38" s="3037"/>
      <c r="C38" s="3037"/>
      <c r="D38" s="3037"/>
      <c r="E38" s="3037"/>
      <c r="F38" s="3037"/>
      <c r="G38" s="3038"/>
      <c r="I38" s="3054">
        <v>25</v>
      </c>
      <c r="J38" s="3054">
        <v>89.3</v>
      </c>
      <c r="K38" s="3054">
        <f t="shared" si="3"/>
        <v>5.7000000000000028</v>
      </c>
      <c r="L38" s="3054" t="s">
        <v>2568</v>
      </c>
      <c r="M38" s="3054">
        <v>8</v>
      </c>
    </row>
    <row r="39" spans="1:13">
      <c r="A39" s="3036"/>
      <c r="B39" s="3037"/>
      <c r="C39" s="3037"/>
      <c r="D39" s="3037"/>
      <c r="E39" s="3037"/>
      <c r="F39" s="3037"/>
      <c r="G39" s="3038"/>
      <c r="I39" s="3054">
        <v>30</v>
      </c>
      <c r="J39" s="3054">
        <v>93.8</v>
      </c>
      <c r="K39" s="3054">
        <f t="shared" si="3"/>
        <v>4.5</v>
      </c>
      <c r="L39" s="3054" t="s">
        <v>2569</v>
      </c>
      <c r="M39" s="3054">
        <v>6</v>
      </c>
    </row>
    <row r="40" spans="1:13">
      <c r="A40" s="3039" t="s">
        <v>2540</v>
      </c>
      <c r="B40" s="3040"/>
      <c r="C40" s="3040"/>
      <c r="D40" s="3040"/>
      <c r="E40" s="3040"/>
      <c r="F40" s="3040"/>
      <c r="G40" s="3041"/>
      <c r="I40" s="3054">
        <v>35</v>
      </c>
      <c r="J40" s="3054">
        <v>97.2</v>
      </c>
      <c r="K40" s="3054">
        <f t="shared" si="3"/>
        <v>3.4000000000000057</v>
      </c>
      <c r="L40" s="3054" t="s">
        <v>2570</v>
      </c>
      <c r="M40" s="3054">
        <v>3</v>
      </c>
    </row>
    <row r="41" spans="1:13">
      <c r="A41" s="3042" t="s">
        <v>2541</v>
      </c>
      <c r="B41" s="3043" t="s">
        <v>2542</v>
      </c>
      <c r="C41" s="3044" t="s">
        <v>2543</v>
      </c>
      <c r="D41" s="3044" t="s">
        <v>2544</v>
      </c>
      <c r="E41" s="3045"/>
      <c r="F41" s="3046"/>
      <c r="G41" s="3047"/>
      <c r="I41" s="3054">
        <v>40</v>
      </c>
      <c r="J41" s="3054">
        <v>100</v>
      </c>
      <c r="K41" s="3054">
        <f t="shared" si="3"/>
        <v>2.7999999999999972</v>
      </c>
    </row>
    <row r="42" spans="1:13">
      <c r="A42" s="3042" t="s">
        <v>2545</v>
      </c>
      <c r="B42" s="3043" t="s">
        <v>2546</v>
      </c>
      <c r="C42" s="3044" t="s">
        <v>2547</v>
      </c>
      <c r="D42" s="3048" t="s">
        <v>2548</v>
      </c>
      <c r="E42" s="3040" t="s">
        <v>2549</v>
      </c>
      <c r="F42" s="3040"/>
      <c r="G42" s="3041"/>
    </row>
    <row r="43" spans="1:13">
      <c r="A43" s="3042" t="s">
        <v>2550</v>
      </c>
      <c r="B43" s="3043" t="s">
        <v>2551</v>
      </c>
      <c r="C43" s="3044" t="s">
        <v>2552</v>
      </c>
      <c r="D43" s="3044" t="s">
        <v>2553</v>
      </c>
      <c r="E43" s="3045" t="s">
        <v>2554</v>
      </c>
      <c r="F43" s="3046"/>
      <c r="G43" s="3047"/>
      <c r="I43" s="3054" t="s">
        <v>2562</v>
      </c>
      <c r="J43" s="3054" t="s">
        <v>2573</v>
      </c>
    </row>
    <row r="44" spans="1:13">
      <c r="A44" s="3042" t="s">
        <v>2555</v>
      </c>
      <c r="B44" s="3043" t="s">
        <v>2556</v>
      </c>
      <c r="C44" s="3044" t="s">
        <v>2557</v>
      </c>
      <c r="D44" s="3048">
        <v>0.5</v>
      </c>
      <c r="E44" s="3045" t="s">
        <v>2558</v>
      </c>
      <c r="F44" s="3046"/>
      <c r="G44" s="3047"/>
      <c r="I44" s="3054">
        <v>30</v>
      </c>
      <c r="J44" s="3054">
        <v>81.7</v>
      </c>
    </row>
    <row r="45" spans="1:13" ht="14.25" thickBot="1">
      <c r="A45" s="3049" t="s">
        <v>2559</v>
      </c>
      <c r="B45" s="3050" t="s">
        <v>2546</v>
      </c>
      <c r="C45" s="3051" t="s">
        <v>2546</v>
      </c>
      <c r="D45" s="3051" t="s">
        <v>2560</v>
      </c>
      <c r="E45" s="3052" t="s">
        <v>2561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43" sqref="I43"/>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2168</v>
      </c>
      <c r="B1" s="3496" t="str">
        <f>IF(B10="北京市","北京市",C10)&amp;F10&amp;IF(结果表!G1="在建","出让国有建设用地使用权及在建建筑物",IF(结果表!G1="土地","出让国有建设用地使用权",))&amp;B9&amp;"预评估"</f>
        <v>北京市房地产抵押价值预评估</v>
      </c>
      <c r="C1" s="3497"/>
      <c r="D1" s="3497"/>
      <c r="E1" s="3497"/>
      <c r="F1" s="3497"/>
      <c r="G1" s="3497"/>
      <c r="H1" s="3497"/>
      <c r="I1" s="3498"/>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2169</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2170</v>
      </c>
      <c r="B3" s="2369"/>
      <c r="C3" s="2370" t="s">
        <v>2171</v>
      </c>
      <c r="D3" s="2369">
        <v>45491</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3376</v>
      </c>
      <c r="C8" s="2386"/>
      <c r="D8" s="3499" t="s">
        <v>2177</v>
      </c>
      <c r="E8" s="2387" t="s">
        <v>3377</v>
      </c>
      <c r="F8" s="2388"/>
      <c r="G8" s="2659"/>
      <c r="H8" s="2659"/>
      <c r="I8" s="2659"/>
      <c r="J8" s="2435"/>
      <c r="K8" s="2610"/>
      <c r="L8" s="2609"/>
      <c r="M8" s="2609"/>
      <c r="N8" s="2435"/>
      <c r="O8" s="2446"/>
      <c r="P8" s="2435"/>
      <c r="Q8" s="2435"/>
      <c r="R8" s="2435"/>
    </row>
    <row r="9" spans="1:30" ht="13.5" thickBot="1">
      <c r="A9" s="2389" t="s">
        <v>2178</v>
      </c>
      <c r="B9" s="2390" t="s">
        <v>3377</v>
      </c>
      <c r="C9" s="2391"/>
      <c r="D9" s="3500"/>
      <c r="E9" s="2390"/>
      <c r="F9" s="2392"/>
      <c r="G9" s="2661"/>
      <c r="H9" s="2661"/>
      <c r="I9" s="2661"/>
      <c r="J9" s="2435"/>
      <c r="K9" s="2612"/>
      <c r="L9" s="2609"/>
      <c r="M9" s="2609"/>
      <c r="N9" s="2435"/>
      <c r="O9" s="2446"/>
      <c r="P9" s="2435"/>
      <c r="Q9" s="2435"/>
      <c r="R9" s="2435"/>
    </row>
    <row r="10" spans="1:30" ht="13.5" thickTop="1">
      <c r="A10" s="2393" t="s">
        <v>2179</v>
      </c>
      <c r="B10" s="2394" t="s">
        <v>3378</v>
      </c>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t="s">
        <v>3379</v>
      </c>
      <c r="C11" s="2399"/>
      <c r="D11" s="2400"/>
      <c r="E11" s="2366"/>
      <c r="F11" s="2366"/>
      <c r="G11" s="2366"/>
      <c r="H11" s="2366"/>
      <c r="I11" s="2366"/>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2574</v>
      </c>
      <c r="J12" s="3058"/>
      <c r="K12" s="2609"/>
      <c r="L12" s="2609"/>
      <c r="M12" s="2435"/>
      <c r="N12" s="2446"/>
      <c r="O12" s="2435"/>
      <c r="P12" s="2435"/>
      <c r="Q12" s="2435"/>
      <c r="AD12" s="1741"/>
    </row>
    <row r="13" spans="1:30">
      <c r="A13" s="3419" t="s">
        <v>3329</v>
      </c>
      <c r="B13" s="2403" t="s">
        <v>2190</v>
      </c>
      <c r="C13" s="852"/>
      <c r="D13" s="852">
        <v>52471</v>
      </c>
      <c r="E13" s="852"/>
      <c r="F13" s="852"/>
      <c r="G13" s="852"/>
      <c r="H13" s="852"/>
      <c r="I13" s="852"/>
      <c r="J13" s="3058"/>
      <c r="K13" s="2609"/>
      <c r="L13" s="2609"/>
      <c r="M13" s="2435"/>
      <c r="N13" s="2446"/>
      <c r="O13" s="2435"/>
      <c r="P13" s="2435"/>
      <c r="Q13" s="2435"/>
      <c r="AD13" s="1741"/>
    </row>
    <row r="14" spans="1:30">
      <c r="A14" s="1077"/>
      <c r="B14" s="2403" t="s">
        <v>2191</v>
      </c>
      <c r="C14" s="2404"/>
      <c r="D14" s="2404">
        <v>40</v>
      </c>
      <c r="E14" s="2404"/>
      <c r="F14" s="2404"/>
      <c r="G14" s="2404"/>
      <c r="H14" s="2404"/>
      <c r="I14" s="2404"/>
      <c r="J14" s="3059"/>
      <c r="K14" s="2609"/>
      <c r="L14" s="2609"/>
      <c r="M14" s="2435"/>
      <c r="N14" s="2446"/>
      <c r="O14" s="2435"/>
      <c r="P14" s="2435"/>
      <c r="Q14" s="2435"/>
      <c r="AD14" s="1741"/>
    </row>
    <row r="15" spans="1:30">
      <c r="A15" s="320"/>
      <c r="B15" s="2405" t="s">
        <v>2192</v>
      </c>
      <c r="C15" s="2406" t="str">
        <f>IF(A13="出让",IF(C13="","",ROUNDDOWN(MIN((C13-$D$3)/365,C14),2)),C14)</f>
        <v/>
      </c>
      <c r="D15" s="2406">
        <f>IF(A13="出让",IF(D13="","",ROUNDDOWN(MIN((D13-$D$3)/365,D14),2)),D14)</f>
        <v>19.12</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2193</v>
      </c>
      <c r="B16" s="3506"/>
      <c r="C16" s="3507"/>
      <c r="D16" s="3508"/>
      <c r="E16" s="2409" t="s">
        <v>2194</v>
      </c>
      <c r="F16" s="3509"/>
      <c r="G16" s="3510"/>
      <c r="H16" s="3510"/>
      <c r="I16" s="3511"/>
      <c r="J16" s="2435"/>
      <c r="K16" s="2613"/>
      <c r="L16" s="2447"/>
      <c r="M16" s="2447"/>
      <c r="N16" s="2505"/>
      <c r="O16" s="2447"/>
      <c r="P16" s="2505"/>
      <c r="Q16" s="2435"/>
      <c r="R16" s="2435"/>
    </row>
    <row r="17" spans="1:28">
      <c r="A17" s="313" t="s">
        <v>2195</v>
      </c>
      <c r="B17" s="302" t="s">
        <v>2196</v>
      </c>
      <c r="C17" s="8">
        <f>'数据-汇总表'!E3</f>
        <v>24230.799999999999</v>
      </c>
      <c r="D17" s="2318" t="s">
        <v>2197</v>
      </c>
      <c r="E17" s="3512" t="s">
        <v>2198</v>
      </c>
      <c r="F17" s="3513"/>
      <c r="G17" s="3513"/>
      <c r="H17" s="3513"/>
      <c r="I17" s="3514"/>
      <c r="J17" s="2435"/>
      <c r="K17" s="2614"/>
      <c r="L17" s="2447"/>
      <c r="M17" s="2447"/>
      <c r="N17" s="2505"/>
      <c r="O17" s="2447"/>
      <c r="P17" s="2505"/>
      <c r="Q17" s="2435"/>
      <c r="R17" s="2435"/>
      <c r="S17" s="2435"/>
      <c r="T17" s="2435"/>
      <c r="U17" s="2435"/>
      <c r="V17" s="2435"/>
    </row>
    <row r="18" spans="1:28" ht="24.75" thickBot="1">
      <c r="A18" s="2410" t="s">
        <v>2199</v>
      </c>
      <c r="B18" s="1086" t="s">
        <v>2200</v>
      </c>
      <c r="C18" s="2411">
        <f>'数据-汇总表'!D3</f>
        <v>7478.47</v>
      </c>
      <c r="D18" s="1088" t="s">
        <v>2201</v>
      </c>
      <c r="E18" s="3515" t="s">
        <v>2202</v>
      </c>
      <c r="F18" s="3516"/>
      <c r="G18" s="3516"/>
      <c r="H18" s="3516"/>
      <c r="I18" s="3517"/>
      <c r="J18" s="2435"/>
      <c r="K18" s="2614"/>
      <c r="L18" s="2447"/>
      <c r="M18" s="2447"/>
      <c r="N18" s="2505"/>
      <c r="O18" s="2447"/>
      <c r="P18" s="2505"/>
      <c r="Q18" s="2435"/>
      <c r="R18" s="2435"/>
      <c r="S18" s="2435"/>
      <c r="T18" s="2435"/>
      <c r="U18" s="2435"/>
      <c r="V18" s="2435"/>
    </row>
    <row r="19" spans="1:28" ht="37.5" thickTop="1" thickBot="1">
      <c r="A19" s="327" t="s">
        <v>1055</v>
      </c>
      <c r="B19" s="307" t="s">
        <v>2203</v>
      </c>
      <c r="C19" s="1559"/>
      <c r="D19" s="1560" t="s">
        <v>2204</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2205</v>
      </c>
      <c r="B20" s="3502" t="s">
        <v>2206</v>
      </c>
      <c r="C20" s="3503"/>
      <c r="D20" s="3504" t="s">
        <v>2207</v>
      </c>
      <c r="E20" s="3505"/>
      <c r="F20" s="2643" t="s">
        <v>1056</v>
      </c>
      <c r="G20" s="2660"/>
      <c r="H20" s="2660"/>
      <c r="I20" s="2660"/>
      <c r="J20" s="2435"/>
      <c r="K20" s="350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2209</v>
      </c>
      <c r="C21" s="2630" t="s">
        <v>1057</v>
      </c>
      <c r="D21" s="1564" t="s">
        <v>2210</v>
      </c>
      <c r="E21" s="2631" t="s">
        <v>1057</v>
      </c>
      <c r="F21" s="2644"/>
      <c r="G21" s="2660"/>
      <c r="H21" s="2660"/>
      <c r="I21" s="2660"/>
      <c r="J21" s="2435"/>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2211</v>
      </c>
      <c r="C22" s="2630" t="s">
        <v>1058</v>
      </c>
      <c r="D22" s="2659"/>
      <c r="E22" s="2659"/>
      <c r="F22" s="2659"/>
      <c r="G22" s="2660"/>
      <c r="H22" s="2660"/>
      <c r="I22" s="2660"/>
      <c r="J22" s="2435"/>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489"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489"/>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489"/>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490"/>
      <c r="B30" s="302" t="s">
        <v>2218</v>
      </c>
      <c r="C30" s="3491"/>
      <c r="D30" s="3492"/>
      <c r="E30" s="2660"/>
      <c r="F30" s="2660"/>
      <c r="G30" s="2660"/>
      <c r="H30" s="2660"/>
      <c r="I30" s="2660"/>
      <c r="J30" s="2435"/>
      <c r="K30" s="2612"/>
      <c r="L30" s="2609"/>
      <c r="M30" s="2609"/>
      <c r="N30" s="2435"/>
      <c r="O30" s="2446"/>
      <c r="P30" s="2435"/>
      <c r="Q30" s="2435"/>
      <c r="R30" s="2435"/>
      <c r="S30" s="2435"/>
      <c r="T30" s="2435"/>
      <c r="U30" s="2435"/>
      <c r="V30" s="2435"/>
    </row>
    <row r="31" spans="1:28">
      <c r="A31" s="3493" t="s">
        <v>2219</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494"/>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494"/>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488" t="s">
        <v>2228</v>
      </c>
      <c r="T34" s="2424" t="str">
        <f>NUMBERSTRING(7-K34,1)&amp;"通"</f>
        <v>七通</v>
      </c>
      <c r="U34" s="2435"/>
      <c r="V34" s="2435"/>
    </row>
    <row r="35" spans="1:30">
      <c r="A35" s="2425"/>
      <c r="B35" s="3495" t="s">
        <v>2229</v>
      </c>
      <c r="C35" s="3495"/>
      <c r="D35" s="3495"/>
      <c r="E35" s="3495"/>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88"/>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2577</v>
      </c>
      <c r="G36" s="2660"/>
      <c r="H36" s="2660"/>
      <c r="I36" s="2660"/>
      <c r="J36" s="2435"/>
      <c r="K36" s="2612"/>
      <c r="L36" s="2609"/>
      <c r="M36" s="2609"/>
      <c r="N36" s="2435"/>
      <c r="O36" s="2446"/>
      <c r="P36" s="2435"/>
      <c r="Q36" s="2435"/>
      <c r="R36" s="2435"/>
      <c r="S36" s="2435"/>
      <c r="T36" s="2435"/>
      <c r="U36" s="2435"/>
      <c r="V36" s="2435"/>
    </row>
    <row r="37" spans="1:30">
      <c r="A37" s="2626" t="s">
        <v>2230</v>
      </c>
      <c r="B37" s="2427" t="s">
        <v>304</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t="s">
        <v>3405</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2233</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9" sqref="L29"/>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7478.47</v>
      </c>
      <c r="B3" s="11">
        <f>IF(C3="否",G5-AT5,G5)</f>
        <v>24230.799999999999</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24230.799999999999</v>
      </c>
      <c r="H5" s="13">
        <f t="shared" ref="H5:AT5" si="0">SUM(H13:H656)</f>
        <v>24230.799999999999</v>
      </c>
      <c r="I5" s="13">
        <f t="shared" si="0"/>
        <v>22413.3</v>
      </c>
      <c r="J5" s="13">
        <f t="shared" si="0"/>
        <v>0</v>
      </c>
      <c r="K5" s="13">
        <f t="shared" si="0"/>
        <v>1817.5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24230.799999999999</v>
      </c>
      <c r="BA5" s="15">
        <f t="shared" si="1"/>
        <v>24230.799999999999</v>
      </c>
      <c r="BB5" s="15">
        <f t="shared" si="1"/>
        <v>22413.3</v>
      </c>
      <c r="BC5" s="15">
        <f t="shared" si="1"/>
        <v>1817.5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7478.4699999999993</v>
      </c>
      <c r="F6" s="13" t="s">
        <v>0</v>
      </c>
      <c r="G6" s="13" t="s">
        <v>1</v>
      </c>
      <c r="H6" s="17">
        <f>SUMIF(I$12:AB$12,"总值",I6:AB6)</f>
        <v>7478.4699999999993</v>
      </c>
      <c r="I6" s="13">
        <f t="shared" ref="I6:AB6" si="2">ROUND($A$3*I5/$B$3,2)</f>
        <v>6917.53</v>
      </c>
      <c r="J6" s="13">
        <f t="shared" si="2"/>
        <v>0</v>
      </c>
      <c r="K6" s="13">
        <f t="shared" si="2"/>
        <v>560.94000000000005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7478.47</v>
      </c>
      <c r="AZ6" s="13" t="s">
        <v>2</v>
      </c>
      <c r="BA6" s="13">
        <f>ROUND($AY$6*BA5/$AZ$5,2)</f>
        <v>7478.47</v>
      </c>
      <c r="BB6" s="13">
        <f>ROUND($AY$6*BB5/$AZ$5,2)</f>
        <v>6917.53</v>
      </c>
      <c r="BC6" s="13">
        <f t="shared" ref="BC6:BH6" si="4">ROUND($AY$6*BC5/$AZ$5,2)</f>
        <v>560.94000000000005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3380</v>
      </c>
      <c r="J9" s="805"/>
      <c r="K9" s="1599" t="s">
        <v>3381</v>
      </c>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673</v>
      </c>
      <c r="J10" s="805"/>
      <c r="K10" s="1605" t="s">
        <v>673</v>
      </c>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t="str">
        <f>K9</f>
        <v>地下</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商业</v>
      </c>
      <c r="BC11" s="1595" t="str">
        <f>K10</f>
        <v>商业</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3382</v>
      </c>
      <c r="E13" s="13">
        <f>IF($C$3="是",ROUND($A$3*G13/$B$3,2),ROUND($A$3*(G13-AT13)/$B$3,2))</f>
        <v>7478.47</v>
      </c>
      <c r="F13" s="29"/>
      <c r="G13" s="30">
        <f>H13+AC13+AT13</f>
        <v>24230.799999999999</v>
      </c>
      <c r="H13" s="17">
        <f>SUMIF(I$12:AB$12,"总值",I13:AB13)</f>
        <v>24230.799999999999</v>
      </c>
      <c r="I13" s="1622">
        <v>22413.3</v>
      </c>
      <c r="J13" s="1622"/>
      <c r="K13" s="1622">
        <v>1817.5</v>
      </c>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7478.47</v>
      </c>
      <c r="AZ13" s="13">
        <f>BA13+BL13</f>
        <v>24230.799999999999</v>
      </c>
      <c r="BA13" s="13">
        <f>SUM(BB13:BK13)</f>
        <v>24230.799999999999</v>
      </c>
      <c r="BB13" s="13">
        <f>IF($D13="是",I13-J13,0)</f>
        <v>22413.3</v>
      </c>
      <c r="BC13" s="13">
        <f>IF($D13="是",K13-L13,0)</f>
        <v>1817.5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27" t="s">
        <v>1131</v>
      </c>
      <c r="B2" s="3527"/>
      <c r="C2" s="3527"/>
      <c r="D2" s="792" t="s">
        <v>1107</v>
      </c>
      <c r="E2" s="1635" t="s">
        <v>1108</v>
      </c>
      <c r="F2" s="2655"/>
      <c r="G2" s="2646"/>
      <c r="H2" s="2647"/>
      <c r="I2" s="2321" t="s">
        <v>1132</v>
      </c>
      <c r="J2" s="2655"/>
      <c r="K2" s="2655"/>
      <c r="L2" s="2655"/>
      <c r="M2" s="2655"/>
      <c r="N2" s="2657"/>
      <c r="O2" s="2655"/>
      <c r="P2" s="2655"/>
    </row>
    <row r="3" spans="1:16" ht="15.75" thickBot="1">
      <c r="A3" s="3528" t="s">
        <v>1105</v>
      </c>
      <c r="B3" s="3528"/>
      <c r="C3" s="3528"/>
      <c r="D3" s="43">
        <f>'数据-基础表'!AY6</f>
        <v>7478.47</v>
      </c>
      <c r="E3" s="43">
        <f>'数据-基础表'!AZ5</f>
        <v>24230.799999999999</v>
      </c>
      <c r="F3" s="2655"/>
      <c r="G3" s="1141"/>
      <c r="H3" s="1022" t="s">
        <v>1106</v>
      </c>
      <c r="I3" s="851">
        <f>ROUND('数据-基础表'!B3/'数据-基础表'!A3,2)</f>
        <v>3.24</v>
      </c>
      <c r="J3" s="2655"/>
      <c r="K3" s="2655"/>
      <c r="L3" s="2655"/>
      <c r="M3" s="2655"/>
      <c r="N3" s="2657"/>
      <c r="O3" s="2655"/>
      <c r="P3" s="2655"/>
    </row>
    <row r="4" spans="1:16" ht="15">
      <c r="A4" s="3529"/>
      <c r="B4" s="3530"/>
      <c r="C4" s="3531"/>
      <c r="D4" s="1637" t="s">
        <v>1107</v>
      </c>
      <c r="E4" s="1638" t="s">
        <v>1108</v>
      </c>
      <c r="F4" s="2655"/>
      <c r="G4" s="2648" t="s">
        <v>1133</v>
      </c>
      <c r="H4" s="1022" t="s">
        <v>1113</v>
      </c>
      <c r="I4" s="851">
        <f>ROUND(SUMIF('数据-基础表'!I9:AS9,"地上",'数据-基础表'!I5:AS5)/'数据-基础表'!A3,2)</f>
        <v>3</v>
      </c>
      <c r="J4" s="2655"/>
      <c r="K4" s="2655"/>
      <c r="L4" s="2655"/>
      <c r="M4" s="2655"/>
      <c r="N4" s="2657"/>
      <c r="O4" s="2655"/>
      <c r="P4" s="2655"/>
    </row>
    <row r="5" spans="1:16">
      <c r="A5" s="44" t="s">
        <v>1109</v>
      </c>
      <c r="B5" s="3532" t="s">
        <v>1110</v>
      </c>
      <c r="C5" s="3532"/>
      <c r="D5" s="45">
        <f>ROUND($D$3*E5/$E$3,2)</f>
        <v>0</v>
      </c>
      <c r="E5" s="46">
        <f>SUMIF('数据-基础表'!$11:$11,"住宅",'数据-基础表'!$5:$5)</f>
        <v>0</v>
      </c>
      <c r="F5" s="2655"/>
      <c r="G5" s="1141"/>
      <c r="H5" s="1022" t="s">
        <v>1106</v>
      </c>
      <c r="I5" s="851">
        <f>ROUND(E31/D31,2)</f>
        <v>3.24</v>
      </c>
      <c r="J5" s="2655"/>
      <c r="K5" s="2655"/>
      <c r="L5" s="2655"/>
      <c r="M5" s="2655"/>
      <c r="N5" s="2655"/>
      <c r="O5" s="2655"/>
      <c r="P5" s="2655"/>
    </row>
    <row r="6" spans="1:16" ht="15" thickBot="1">
      <c r="A6" s="1640"/>
      <c r="B6" s="3532" t="s">
        <v>1111</v>
      </c>
      <c r="C6" s="3532"/>
      <c r="D6" s="45">
        <f>ROUND($D$3*E6/$E$3,2)</f>
        <v>7478.47</v>
      </c>
      <c r="E6" s="46">
        <f>E3-E5</f>
        <v>24230.799999999999</v>
      </c>
      <c r="F6" s="2655"/>
      <c r="G6" s="2649" t="s">
        <v>1112</v>
      </c>
      <c r="H6" s="1142" t="s">
        <v>1113</v>
      </c>
      <c r="I6" s="2650">
        <f>ROUND(F31/D31,2)</f>
        <v>3</v>
      </c>
      <c r="J6" s="2655"/>
      <c r="K6" s="2655"/>
      <c r="L6" s="2655"/>
      <c r="M6" s="2655"/>
      <c r="N6" s="2655"/>
      <c r="O6" s="2655"/>
      <c r="P6" s="2655"/>
    </row>
    <row r="7" spans="1:16" ht="15.75" thickBot="1">
      <c r="A7" s="3524"/>
      <c r="B7" s="3525"/>
      <c r="C7" s="3526"/>
      <c r="D7" s="1637" t="s">
        <v>1107</v>
      </c>
      <c r="E7" s="1641"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6917.53</v>
      </c>
      <c r="E8" s="48">
        <f>SUMIF('数据-基础表'!BB10:BK10,"地上",'数据-基础表'!BB5:BK5)</f>
        <v>22413.3</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560.94000000000005</v>
      </c>
      <c r="E10" s="48">
        <f>SUMPRODUCT(('数据-基础表'!BB10:BK10="地下")*('数据-基础表'!BB11:BK11="商业")*('数据-基础表'!BB5:BK5))</f>
        <v>1817.5</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7478.4699999999993</v>
      </c>
      <c r="E16" s="50">
        <f>SUM(E8:E15)</f>
        <v>24230.799999999999</v>
      </c>
      <c r="F16" s="2655"/>
      <c r="G16" s="2656"/>
      <c r="H16" s="1644" t="s">
        <v>1135</v>
      </c>
      <c r="I16" s="1645"/>
      <c r="J16" s="1135"/>
      <c r="K16" s="3521" t="s">
        <v>1135</v>
      </c>
      <c r="L16" s="3522"/>
      <c r="M16" s="3522"/>
      <c r="N16" s="3522"/>
      <c r="O16" s="3522"/>
      <c r="P16" s="3523"/>
    </row>
    <row r="17" spans="1:19" ht="15">
      <c r="A17" s="1646" t="s">
        <v>1136</v>
      </c>
      <c r="B17" s="1647" t="s">
        <v>1137</v>
      </c>
      <c r="C17" s="1648" t="s">
        <v>1138</v>
      </c>
      <c r="D17" s="1649" t="s">
        <v>1126</v>
      </c>
      <c r="E17" s="1650" t="s">
        <v>1127</v>
      </c>
      <c r="F17" s="1651"/>
      <c r="G17" s="1652"/>
      <c r="H17" s="1653" t="s">
        <v>1139</v>
      </c>
      <c r="I17" s="1654" t="s">
        <v>1124</v>
      </c>
      <c r="J17" s="1135"/>
      <c r="K17" s="3518" t="s">
        <v>1140</v>
      </c>
      <c r="L17" s="3519"/>
      <c r="M17" s="3520"/>
      <c r="N17" s="3518" t="s">
        <v>1141</v>
      </c>
      <c r="O17" s="3519"/>
      <c r="P17" s="3520"/>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13" t="s">
        <v>3404</v>
      </c>
      <c r="D19" s="45">
        <f>ROUND($D$3*E19/$E$3,2)</f>
        <v>7478.47</v>
      </c>
      <c r="E19" s="53">
        <f t="shared" ref="E19:E26" si="1">SUM(F19:G19)</f>
        <v>24230.799999999999</v>
      </c>
      <c r="F19" s="2791">
        <f>'数据-基础表'!I13</f>
        <v>22413.3</v>
      </c>
      <c r="G19" s="2792">
        <f>'数据-基础表'!K13</f>
        <v>1817.5</v>
      </c>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7478.47</v>
      </c>
      <c r="S19" s="1023">
        <f t="shared" si="5"/>
        <v>24230.799999999999</v>
      </c>
    </row>
    <row r="20" spans="1:19">
      <c r="A20" s="1666"/>
      <c r="B20" s="47" t="s">
        <v>1153</v>
      </c>
      <c r="C20" s="3413"/>
      <c r="D20" s="45">
        <f t="shared" ref="D20:D26" si="6">ROUND($D$3*E20/$E$3,2)</f>
        <v>0</v>
      </c>
      <c r="E20" s="53">
        <f t="shared" si="1"/>
        <v>0</v>
      </c>
      <c r="F20" s="2791"/>
      <c r="G20" s="2792"/>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13"/>
      <c r="D21" s="45">
        <f t="shared" si="6"/>
        <v>0</v>
      </c>
      <c r="E21" s="53">
        <f t="shared" si="1"/>
        <v>0</v>
      </c>
      <c r="F21" s="2791"/>
      <c r="G21" s="2792"/>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4"/>
      <c r="D22" s="45">
        <f t="shared" si="6"/>
        <v>0</v>
      </c>
      <c r="E22" s="53">
        <f t="shared" si="1"/>
        <v>0</v>
      </c>
      <c r="F22" s="2793"/>
      <c r="G22" s="2794"/>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4"/>
      <c r="D23" s="45">
        <f>ROUND($D$3*E23/$E$3,2)</f>
        <v>0</v>
      </c>
      <c r="E23" s="53">
        <f>SUM(F23:G23)</f>
        <v>0</v>
      </c>
      <c r="F23" s="2793"/>
      <c r="G23" s="2794"/>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4"/>
      <c r="D24" s="45">
        <f>ROUND($D$3*E24/$E$3,2)</f>
        <v>0</v>
      </c>
      <c r="E24" s="53">
        <f>SUM(F24:G24)</f>
        <v>0</v>
      </c>
      <c r="F24" s="2793"/>
      <c r="G24" s="2794"/>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7478.47</v>
      </c>
      <c r="E27" s="1137">
        <f>IF(SUM(E19:E26)='数据-基础表'!BA5,SUM(E19:E26),IF(F27="地上面积有误","面积有误","地下面积有误"))</f>
        <v>24230.799999999999</v>
      </c>
      <c r="F27" s="1136">
        <f>IF(SUM(F19:F26)=E8,SUM(F19:F26),"地上面积有误")</f>
        <v>22413.3</v>
      </c>
      <c r="G27" s="1138">
        <f>SUM(G19:G26)</f>
        <v>1817.5</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7478.47</v>
      </c>
      <c r="S27" s="1022">
        <f>IF(SUM(S19:S26)=$E$3,SUM(S19:S26),SUM(S19:S26)&amp;"误差"&amp;ROUND(SUM(S19:S26)-E3,2))</f>
        <v>24230.799999999999</v>
      </c>
    </row>
    <row r="28" spans="1:19">
      <c r="A28" s="1666"/>
      <c r="B28" s="47" t="s">
        <v>1155</v>
      </c>
      <c r="C28" s="1034"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1158</v>
      </c>
      <c r="D31" s="676">
        <f>D27+D30</f>
        <v>7478.47</v>
      </c>
      <c r="E31" s="676">
        <f>E27+E30</f>
        <v>24230.799999999999</v>
      </c>
      <c r="F31" s="677">
        <f>F27+F30</f>
        <v>22413.3</v>
      </c>
      <c r="G31" s="678">
        <f>G27+G30</f>
        <v>1817.5</v>
      </c>
      <c r="H31" s="2655"/>
      <c r="I31" s="2655"/>
      <c r="J31" s="2655"/>
      <c r="K31" s="2655"/>
      <c r="L31" s="2655"/>
      <c r="M31" s="2655"/>
      <c r="N31" s="2655"/>
      <c r="O31" s="2655"/>
      <c r="P31" s="2655"/>
    </row>
    <row r="32" spans="1:19">
      <c r="A32" s="1639"/>
      <c r="B32" s="1639" t="s">
        <v>1159</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H26" sqref="H2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1">
        <f>项目基本情况!D3</f>
        <v>45491</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3383</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酒店</v>
      </c>
      <c r="B6" s="1709" t="str">
        <f>IF(A6=0,"","经营性")</f>
        <v>经营性</v>
      </c>
      <c r="C6" s="1710" t="s">
        <v>673</v>
      </c>
      <c r="D6" s="854">
        <f>SUMIF(项目基本情况!C$12:I$12,C6,项目基本情况!C$14:I$14)</f>
        <v>40</v>
      </c>
      <c r="E6" s="853">
        <f>IF(B6="","",SUMIF(项目基本情况!C$12:I$12,C6,项目基本情况!C$13:I$13))</f>
        <v>52471</v>
      </c>
      <c r="F6" s="64">
        <f>SUMIF(项目基本情况!C$12:I$12,C6,项目基本情况!C$15:I$15)</f>
        <v>19.12</v>
      </c>
      <c r="G6" s="65">
        <f>IF(ISERROR(ROUND(POWER(1+H6,D6-F6)*(POWER(1+H6,F6)-1)/(POWER(1+H6,D6)-1),3)),0,ROUND(POWER(1+H6,D6-F6)*(POWER(1+H6,F6)-1)/(POWER(1+H6,D6)-1),3))</f>
        <v>0.70699999999999996</v>
      </c>
      <c r="H6" s="732">
        <v>0.05</v>
      </c>
      <c r="I6" s="732">
        <v>5.5E-2</v>
      </c>
      <c r="J6" s="66">
        <v>7.0000000000000007E-2</v>
      </c>
      <c r="K6" s="1026">
        <f>SUMIF('数据-汇总表'!C$19:C$33,A6,'数据-汇总表'!E$19:E$33)</f>
        <v>24230.799999999999</v>
      </c>
      <c r="L6" s="733">
        <v>7000</v>
      </c>
      <c r="M6" s="67">
        <f t="shared" ref="M6:M14" si="0">ROUND(K6*L6/10000,0)</f>
        <v>16962</v>
      </c>
      <c r="N6" s="731">
        <f>ROUND((N19+N20)/2,2)</f>
        <v>0.69</v>
      </c>
      <c r="O6" s="67" t="str">
        <f>IF($N$5="成新度","——",ROUND(M6*N6,0))</f>
        <v>——</v>
      </c>
      <c r="P6" s="68" t="str">
        <f>IF($N$5="成新度","——",M6-O6)</f>
        <v>——</v>
      </c>
      <c r="Q6" s="734">
        <v>0.2</v>
      </c>
      <c r="R6" s="69">
        <f ca="1">SUMIF('数据-汇总表'!C$19:C$33,A6,'数据-汇总表'!R$19:R$27)</f>
        <v>7478.47</v>
      </c>
      <c r="S6" s="51">
        <f>IF('数据-汇总表'!$I$17="按面积比例",SUMIF('数据-汇总表'!C$19:C$33,A6,'数据-汇总表'!K$19:K$33),SUMIF('数据-汇总表'!C$19:C$33,A6,'数据-汇总表'!N$19:N$33))</f>
        <v>0</v>
      </c>
      <c r="T6" s="1168">
        <f>ROUND($L$14*S6/10000,0)</f>
        <v>0</v>
      </c>
      <c r="U6" s="3445">
        <v>2</v>
      </c>
      <c r="V6" s="70">
        <v>0.02</v>
      </c>
      <c r="W6" s="70">
        <v>0.1</v>
      </c>
      <c r="X6" s="1036"/>
      <c r="Y6" s="71">
        <f>N6</f>
        <v>0.69</v>
      </c>
      <c r="Z6" s="72"/>
      <c r="AA6" s="66"/>
      <c r="AB6" s="66"/>
      <c r="AC6" s="1036"/>
      <c r="AD6" s="73"/>
      <c r="AE6" s="1037">
        <f ca="1">IF(AN6="",0,SUMIF(INDIRECT("'"&amp;AN6&amp;"'"&amp;"!E:E"),$AE$5,INDIRECT("'"&amp;AN6&amp;"'"&amp;"!F:F")))</f>
        <v>19.12</v>
      </c>
      <c r="AF6" s="1344"/>
      <c r="AG6" s="138">
        <f>IF(AF6="",0,AE6-AF6)</f>
        <v>0</v>
      </c>
      <c r="AH6" s="74"/>
      <c r="AI6" s="76">
        <v>365</v>
      </c>
      <c r="AJ6" s="77"/>
      <c r="AK6" s="78">
        <v>5.0000000000000001E-3</v>
      </c>
      <c r="AL6" s="79">
        <v>1E-3</v>
      </c>
      <c r="AM6" s="80">
        <v>0.01</v>
      </c>
      <c r="AN6" s="1711" t="s">
        <v>3416</v>
      </c>
      <c r="AO6" s="52">
        <f ca="1">SUMIF(INDIRECT("'"&amp;AN6&amp;"'"&amp;"!A:A"),"总价",INDIRECT("'"&amp;AN6&amp;"'"&amp;"!B:B"))</f>
        <v>18374</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6">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4"/>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32"/>
      <c r="I8" s="732"/>
      <c r="J8" s="66"/>
      <c r="K8" s="1026">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8">
        <f t="shared" si="5"/>
        <v>0</v>
      </c>
      <c r="U8" s="3425"/>
      <c r="V8" s="70"/>
      <c r="W8" s="70"/>
      <c r="X8" s="1036"/>
      <c r="Y8" s="71"/>
      <c r="Z8" s="72"/>
      <c r="AA8" s="66"/>
      <c r="AB8" s="66"/>
      <c r="AC8" s="1036"/>
      <c r="AD8" s="73"/>
      <c r="AE8" s="1037">
        <f t="shared" ca="1" si="6"/>
        <v>0</v>
      </c>
      <c r="AF8" s="1344"/>
      <c r="AG8" s="138">
        <f t="shared" si="7"/>
        <v>0</v>
      </c>
      <c r="AH8" s="735"/>
      <c r="AI8" s="76"/>
      <c r="AJ8" s="77"/>
      <c r="AK8" s="78"/>
      <c r="AL8" s="79"/>
      <c r="AM8" s="80"/>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4"/>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0.70699999999999996</v>
      </c>
      <c r="H16" s="90">
        <f>ROUND(SUMPRODUCT(H6:H13,K6:K13)/SUMPRODUCT((H6:H13&gt;0)*(K6:K13)),3)</f>
        <v>0.05</v>
      </c>
      <c r="I16" s="91"/>
      <c r="J16" s="91"/>
      <c r="K16" s="92">
        <f>SUM(K6:K15)</f>
        <v>24230.799999999999</v>
      </c>
      <c r="L16" s="93">
        <f>ROUND(M16*10000/SUM(K6:K14),0)</f>
        <v>7000</v>
      </c>
      <c r="M16" s="93">
        <f>SUM(M6:M14)</f>
        <v>16962</v>
      </c>
      <c r="N16" s="94">
        <f>ROUND(SUMPRODUCT(M6:M14,N6:N14)/M16,3)</f>
        <v>0.69</v>
      </c>
      <c r="O16" s="93">
        <f>SUM(O6:O14)</f>
        <v>0</v>
      </c>
      <c r="P16" s="93">
        <f>SUM(P6:P14)</f>
        <v>0</v>
      </c>
      <c r="Q16" s="95">
        <f>ROUND(SUMPRODUCT(Q6:Q13,K6:K13)/SUMPRODUCT((Q6:Q13&gt;0)*(K6:K13)),2)</f>
        <v>0.2</v>
      </c>
      <c r="R16" s="1030">
        <f ca="1">SUM(R6:R13)</f>
        <v>7478.47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v>1998</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5" t="s">
        <v>2305</v>
      </c>
      <c r="D19" s="2672"/>
      <c r="E19" s="2669"/>
      <c r="F19" s="2669"/>
      <c r="G19" s="2669"/>
      <c r="H19" s="2669"/>
      <c r="I19" s="2669"/>
      <c r="J19" s="2669"/>
      <c r="K19" s="2668"/>
      <c r="L19" s="2668"/>
      <c r="M19" s="2667"/>
      <c r="N19" s="2667">
        <f>ROUND(1-(2024-N18)/60,2)</f>
        <v>0.56999999999999995</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2</v>
      </c>
      <c r="C20" s="2796" t="s">
        <v>2303</v>
      </c>
      <c r="D20" s="2672"/>
      <c r="E20" s="2669"/>
      <c r="F20" s="2669"/>
      <c r="G20" s="2669"/>
      <c r="H20" s="2669"/>
      <c r="I20" s="2669"/>
      <c r="J20" s="2669"/>
      <c r="K20" s="2668"/>
      <c r="L20" s="2668"/>
      <c r="M20" s="2667"/>
      <c r="N20" s="2667">
        <v>0.8</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150</v>
      </c>
      <c r="C27" s="2797" t="s">
        <v>2307</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v>190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f ca="1">成本法!C10</f>
        <v>460</v>
      </c>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673">
        <v>0.05</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113">
        <v>0</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110">
        <v>200</v>
      </c>
      <c r="C35" s="2799"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4">
        <v>0.02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2314</v>
      </c>
      <c r="B40" s="1074">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0.05</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29</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533" t="s">
        <v>2286</v>
      </c>
      <c r="B1" s="3534"/>
      <c r="C1" s="3534"/>
      <c r="D1" s="3534"/>
      <c r="E1" s="3534"/>
      <c r="F1" s="3534"/>
      <c r="G1" s="353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5"/>
      <c r="I2" s="795"/>
      <c r="J2" s="795"/>
      <c r="K2" s="795"/>
      <c r="L2" s="795"/>
      <c r="M2" s="795"/>
      <c r="N2" s="795"/>
      <c r="O2" s="795"/>
      <c r="P2" s="795"/>
      <c r="Q2" s="795"/>
      <c r="R2" s="795"/>
    </row>
    <row r="3" spans="1:29" ht="48">
      <c r="A3" s="2437" t="s">
        <v>2283</v>
      </c>
      <c r="B3" s="2459" t="s">
        <v>2252</v>
      </c>
      <c r="C3" s="2460" t="s">
        <v>2284</v>
      </c>
      <c r="D3" s="2461"/>
      <c r="E3" s="2438" t="s">
        <v>2283</v>
      </c>
      <c r="F3" s="2462" t="s">
        <v>2253</v>
      </c>
      <c r="G3" s="2463" t="s">
        <v>2285</v>
      </c>
      <c r="H3" s="795"/>
      <c r="I3" s="795"/>
      <c r="J3" s="795"/>
      <c r="K3" s="795"/>
      <c r="L3" s="795"/>
      <c r="M3" s="795"/>
      <c r="N3" s="795"/>
      <c r="O3" s="795"/>
      <c r="P3" s="795"/>
      <c r="Q3" s="795"/>
      <c r="R3" s="795"/>
    </row>
    <row r="4" spans="1:29" ht="36.75">
      <c r="A4" s="2438"/>
      <c r="B4" s="323" t="s">
        <v>2254</v>
      </c>
      <c r="C4" s="2464" t="s">
        <v>2255</v>
      </c>
      <c r="D4" s="2461"/>
      <c r="E4" s="2465"/>
      <c r="F4" s="1369" t="s">
        <v>2256</v>
      </c>
      <c r="G4" s="2466" t="s">
        <v>2257</v>
      </c>
      <c r="H4" s="795"/>
      <c r="I4" s="795"/>
      <c r="J4" s="795"/>
      <c r="K4" s="795"/>
      <c r="L4" s="795"/>
      <c r="M4" s="795"/>
      <c r="N4" s="795"/>
      <c r="O4" s="795"/>
      <c r="P4" s="795"/>
      <c r="Q4" s="795"/>
      <c r="R4" s="795"/>
    </row>
    <row r="5" spans="1:29" ht="36.75">
      <c r="A5" s="2438"/>
      <c r="B5" s="323" t="s">
        <v>2258</v>
      </c>
      <c r="C5" s="2464" t="s">
        <v>2259</v>
      </c>
      <c r="D5" s="2461"/>
      <c r="E5" s="2465"/>
      <c r="F5" s="323" t="s">
        <v>2260</v>
      </c>
      <c r="G5" s="2466" t="s">
        <v>2261</v>
      </c>
      <c r="H5" s="795"/>
      <c r="I5" s="795"/>
      <c r="J5" s="795"/>
      <c r="K5" s="795"/>
      <c r="L5" s="795"/>
      <c r="M5" s="795"/>
      <c r="N5" s="795"/>
      <c r="O5" s="795"/>
      <c r="P5" s="795"/>
      <c r="Q5" s="795"/>
      <c r="R5" s="795"/>
    </row>
    <row r="6" spans="1:29" ht="36">
      <c r="A6" s="2438"/>
      <c r="B6" s="323" t="s">
        <v>2262</v>
      </c>
      <c r="C6" s="2466" t="s">
        <v>2257</v>
      </c>
      <c r="D6" s="2461"/>
      <c r="E6" s="2465"/>
      <c r="F6" s="323" t="s">
        <v>2263</v>
      </c>
      <c r="G6" s="2466" t="s">
        <v>2264</v>
      </c>
      <c r="H6" s="795"/>
      <c r="I6" s="795"/>
      <c r="J6" s="795"/>
      <c r="K6" s="795"/>
      <c r="L6" s="795"/>
      <c r="M6" s="795"/>
      <c r="N6" s="795"/>
      <c r="O6" s="795"/>
      <c r="P6" s="795"/>
      <c r="Q6" s="795"/>
      <c r="R6" s="795"/>
    </row>
    <row r="7" spans="1:29" ht="24.75" thickBot="1">
      <c r="A7" s="2438"/>
      <c r="B7" s="323" t="s">
        <v>2260</v>
      </c>
      <c r="C7" s="2466" t="s">
        <v>2261</v>
      </c>
      <c r="D7" s="2467"/>
      <c r="E7" s="2468"/>
      <c r="F7" s="2469" t="s">
        <v>2265</v>
      </c>
      <c r="G7" s="2470" t="s">
        <v>2266</v>
      </c>
      <c r="H7" s="795"/>
      <c r="I7" s="795"/>
      <c r="J7" s="795"/>
      <c r="K7" s="795"/>
      <c r="L7" s="795"/>
      <c r="M7" s="795"/>
      <c r="N7" s="795"/>
      <c r="O7" s="795"/>
      <c r="P7" s="795"/>
      <c r="Q7" s="795"/>
      <c r="R7" s="795"/>
    </row>
    <row r="8" spans="1:29">
      <c r="A8" s="2438"/>
      <c r="B8" s="323" t="s">
        <v>2263</v>
      </c>
      <c r="C8" s="2466" t="s">
        <v>2264</v>
      </c>
      <c r="D8" s="2467"/>
      <c r="E8" s="2467"/>
      <c r="F8" s="2471"/>
      <c r="G8" s="2471"/>
      <c r="H8" s="795"/>
      <c r="I8" s="795"/>
      <c r="J8" s="795"/>
      <c r="K8" s="795"/>
      <c r="L8" s="795"/>
      <c r="M8" s="795"/>
      <c r="N8" s="795"/>
      <c r="O8" s="795"/>
      <c r="P8" s="795"/>
      <c r="Q8" s="795"/>
      <c r="R8" s="795"/>
    </row>
    <row r="9" spans="1:29" ht="24">
      <c r="A9" s="2438"/>
      <c r="B9" s="323" t="s">
        <v>2267</v>
      </c>
      <c r="C9" s="2464" t="s">
        <v>2268</v>
      </c>
      <c r="D9" s="2461"/>
      <c r="E9" s="2467"/>
      <c r="F9" s="2471"/>
      <c r="G9" s="2471"/>
      <c r="H9" s="795"/>
      <c r="I9" s="795"/>
      <c r="J9" s="795"/>
      <c r="K9" s="795"/>
      <c r="L9" s="795"/>
      <c r="M9" s="795"/>
      <c r="N9" s="795"/>
      <c r="O9" s="795"/>
      <c r="P9" s="795"/>
      <c r="Q9" s="795"/>
      <c r="R9" s="795"/>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3"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3" t="s">
        <v>2263</v>
      </c>
      <c r="G20" s="2499" t="str">
        <f>G6</f>
        <v>估价对象所在区域基础设施水平</v>
      </c>
    </row>
    <row r="21" spans="1:18" ht="25.5">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5" customFormat="1" ht="15" thickBot="1">
      <c r="A23" s="2442"/>
      <c r="B23" s="2498" t="s">
        <v>2278</v>
      </c>
      <c r="C23" s="2501"/>
      <c r="D23" s="1737"/>
      <c r="E23" s="2444"/>
      <c r="F23" s="2502" t="s">
        <v>2279</v>
      </c>
      <c r="G23" s="2503"/>
      <c r="H23" s="2487"/>
      <c r="I23" s="2488"/>
      <c r="J23" s="2487"/>
      <c r="K23" s="2487"/>
      <c r="L23" s="2488"/>
      <c r="M23" s="2487"/>
      <c r="N23" s="2487"/>
      <c r="O23" s="2488"/>
      <c r="P23" s="2487"/>
      <c r="Q23" s="2487"/>
      <c r="R23" s="2489"/>
    </row>
    <row r="24" spans="1:18" s="795" customFormat="1" ht="15" thickBot="1">
      <c r="A24" s="2445"/>
      <c r="B24" s="2502" t="s">
        <v>2280</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0</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45491</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SUM(D14:D23)</f>
        <v>0</v>
      </c>
      <c r="C5" s="2508" t="e">
        <f ca="1">IF(B5=D14,结果表!H102,ROUND(B5*10000/$B$1,0))</f>
        <v>#REF!</v>
      </c>
      <c r="D5" s="2508" t="e">
        <f>ROUND(B5*10000/$B$2,0)</f>
        <v>#DIV/0!</v>
      </c>
      <c r="E5" s="2682"/>
      <c r="F5" s="2683"/>
      <c r="G5" s="2683"/>
      <c r="H5" s="2684"/>
      <c r="I5" s="2684"/>
      <c r="J5" s="2684"/>
      <c r="K5" s="2684"/>
    </row>
    <row r="6" spans="1:11" ht="16.5">
      <c r="A6" s="2508" t="s">
        <v>656</v>
      </c>
      <c r="B6" s="2508">
        <f>SUM(G14:G23)</f>
        <v>0</v>
      </c>
      <c r="C6" s="2508" t="e">
        <f ca="1">IF(B6=G14,结果表!H108,ROUND(B6*10000/$B$1,0))</f>
        <v>#REF!</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3352</v>
      </c>
      <c r="D10" s="2508" t="s">
        <v>3353</v>
      </c>
      <c r="E10" s="3437"/>
      <c r="F10" s="3441" t="s">
        <v>3354</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c r="C14" s="2514"/>
      <c r="D14" s="2514"/>
      <c r="E14" s="2514" t="e">
        <f>ROUND(D14*10000/B14,0)</f>
        <v>#DIV/0!</v>
      </c>
      <c r="F14" s="2514" t="e">
        <f>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29" sqref="L29"/>
    </sheetView>
  </sheetViews>
  <sheetFormatPr defaultColWidth="12.625" defaultRowHeight="21.75" customHeight="1"/>
  <cols>
    <col min="1" max="2" width="12.625" style="1749"/>
    <col min="3" max="4" width="12.625" style="1749" customWidth="1"/>
    <col min="5" max="9" width="12.625" style="1749"/>
    <col min="10" max="10" width="17.5" style="725" customWidth="1"/>
    <col min="11"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569" t="str">
        <f>项目基本情况!S2</f>
        <v>北京市房地产</v>
      </c>
      <c r="B2" s="3570"/>
      <c r="C2" s="3570"/>
      <c r="D2" s="3570"/>
      <c r="E2" s="3570"/>
      <c r="F2" s="3570"/>
      <c r="G2" s="3570"/>
      <c r="H2" s="3570"/>
      <c r="I2" s="3571"/>
    </row>
    <row r="3" spans="1:12" ht="12.75">
      <c r="A3" s="3573" t="s">
        <v>1264</v>
      </c>
      <c r="B3" s="3574"/>
      <c r="C3" s="3574"/>
      <c r="D3" s="3574"/>
      <c r="E3" s="3574"/>
      <c r="F3" s="3574"/>
      <c r="G3" s="3574"/>
      <c r="H3" s="3574"/>
      <c r="I3" s="3574"/>
    </row>
    <row r="4" spans="1:12" ht="14.25">
      <c r="A4" s="1750" t="s">
        <v>1265</v>
      </c>
      <c r="B4" s="1751" t="s">
        <v>1266</v>
      </c>
      <c r="C4" s="1752" t="s">
        <v>3423</v>
      </c>
      <c r="D4" s="1752" t="s">
        <v>3424</v>
      </c>
      <c r="E4" s="3575" t="s">
        <v>1267</v>
      </c>
      <c r="F4" s="3576"/>
      <c r="G4" s="3576"/>
      <c r="H4" s="3576"/>
      <c r="I4" s="357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49" t="s">
        <v>1268</v>
      </c>
      <c r="B5" s="3536">
        <v>25</v>
      </c>
      <c r="C5" s="3552"/>
      <c r="D5" s="3572"/>
      <c r="E5" s="131" t="s">
        <v>1269</v>
      </c>
      <c r="F5" s="1753"/>
      <c r="G5" s="1753"/>
      <c r="H5" s="1753"/>
      <c r="I5" s="1369"/>
    </row>
    <row r="6" spans="1:12" ht="12.75">
      <c r="A6" s="3549"/>
      <c r="B6" s="3536"/>
      <c r="C6" s="3553"/>
      <c r="D6" s="3572"/>
      <c r="E6" s="131" t="s">
        <v>1270</v>
      </c>
      <c r="F6" s="1753"/>
      <c r="G6" s="1753"/>
      <c r="H6" s="1753"/>
      <c r="I6" s="1369"/>
    </row>
    <row r="7" spans="1:12" ht="12.75">
      <c r="A7" s="3549"/>
      <c r="B7" s="3536"/>
      <c r="C7" s="3554"/>
      <c r="D7" s="3572"/>
      <c r="E7" s="131" t="s">
        <v>1271</v>
      </c>
      <c r="F7" s="1753"/>
      <c r="G7" s="1753"/>
      <c r="H7" s="1753"/>
      <c r="I7" s="1369"/>
    </row>
    <row r="8" spans="1:12" ht="12.75">
      <c r="A8" s="3549" t="s">
        <v>1272</v>
      </c>
      <c r="B8" s="3536">
        <v>15</v>
      </c>
      <c r="C8" s="3552"/>
      <c r="D8" s="3572"/>
      <c r="E8" s="131" t="s">
        <v>1273</v>
      </c>
      <c r="F8" s="1753"/>
      <c r="G8" s="1753"/>
      <c r="H8" s="1753"/>
      <c r="I8" s="1369"/>
    </row>
    <row r="9" spans="1:12" ht="12.75">
      <c r="A9" s="3549"/>
      <c r="B9" s="3536"/>
      <c r="C9" s="3554"/>
      <c r="D9" s="3572"/>
      <c r="E9" s="131" t="s">
        <v>1274</v>
      </c>
      <c r="F9" s="1753"/>
      <c r="G9" s="1753"/>
      <c r="H9" s="1753"/>
      <c r="I9" s="1369"/>
    </row>
    <row r="10" spans="1:12" ht="12.75">
      <c r="A10" s="3549" t="s">
        <v>1275</v>
      </c>
      <c r="B10" s="3536">
        <v>15</v>
      </c>
      <c r="C10" s="3552"/>
      <c r="D10" s="3572"/>
      <c r="E10" s="131" t="s">
        <v>1276</v>
      </c>
      <c r="F10" s="1753"/>
      <c r="G10" s="1753"/>
      <c r="H10" s="1753"/>
      <c r="I10" s="1369"/>
    </row>
    <row r="11" spans="1:12" ht="12.75">
      <c r="A11" s="3549"/>
      <c r="B11" s="3536"/>
      <c r="C11" s="3554"/>
      <c r="D11" s="3572"/>
      <c r="E11" s="131" t="s">
        <v>1277</v>
      </c>
      <c r="F11" s="1753"/>
      <c r="G11" s="1753"/>
      <c r="H11" s="1753"/>
      <c r="I11" s="1369"/>
    </row>
    <row r="12" spans="1:12" ht="12.75">
      <c r="A12" s="3549" t="s">
        <v>1278</v>
      </c>
      <c r="B12" s="3536">
        <v>15</v>
      </c>
      <c r="C12" s="3552"/>
      <c r="D12" s="3572"/>
      <c r="E12" s="131" t="s">
        <v>1279</v>
      </c>
      <c r="F12" s="1753"/>
      <c r="G12" s="1753"/>
      <c r="H12" s="1753"/>
      <c r="I12" s="1369"/>
    </row>
    <row r="13" spans="1:12" ht="12.75">
      <c r="A13" s="3549"/>
      <c r="B13" s="3536"/>
      <c r="C13" s="3554"/>
      <c r="D13" s="3572"/>
      <c r="E13" s="131" t="s">
        <v>1280</v>
      </c>
      <c r="F13" s="1753"/>
      <c r="G13" s="1753"/>
      <c r="H13" s="1753"/>
      <c r="I13" s="1369"/>
    </row>
    <row r="14" spans="1:12" ht="12.75">
      <c r="A14" s="3549" t="s">
        <v>1281</v>
      </c>
      <c r="B14" s="3536">
        <v>30</v>
      </c>
      <c r="C14" s="3552">
        <v>45</v>
      </c>
      <c r="D14" s="3572">
        <v>55</v>
      </c>
      <c r="E14" s="131" t="s">
        <v>1282</v>
      </c>
      <c r="F14" s="1753"/>
      <c r="G14" s="1753"/>
      <c r="H14" s="1753"/>
      <c r="I14" s="1369"/>
    </row>
    <row r="15" spans="1:12" ht="12.75">
      <c r="A15" s="3549"/>
      <c r="B15" s="3536"/>
      <c r="C15" s="3553"/>
      <c r="D15" s="3572"/>
      <c r="E15" s="131" t="s">
        <v>1283</v>
      </c>
      <c r="F15" s="1753"/>
      <c r="G15" s="1753"/>
      <c r="H15" s="1753"/>
      <c r="I15" s="1369"/>
    </row>
    <row r="16" spans="1:12" ht="12.75">
      <c r="A16" s="3549"/>
      <c r="B16" s="3536"/>
      <c r="C16" s="3554"/>
      <c r="D16" s="3572"/>
      <c r="E16" s="131" t="s">
        <v>1284</v>
      </c>
      <c r="F16" s="1753"/>
      <c r="G16" s="1753"/>
      <c r="H16" s="1753"/>
      <c r="I16" s="1369"/>
    </row>
    <row r="17" spans="1:36" ht="15">
      <c r="A17" s="1754" t="s">
        <v>1285</v>
      </c>
      <c r="B17" s="56"/>
      <c r="C17" s="132">
        <f>SUM(C5:C16)</f>
        <v>45</v>
      </c>
      <c r="D17" s="132">
        <f>SUM(D5:D16)</f>
        <v>55</v>
      </c>
      <c r="E17" s="129"/>
      <c r="F17" s="129"/>
      <c r="G17" s="129"/>
      <c r="H17" s="129"/>
      <c r="I17" s="129"/>
      <c r="K17" s="302"/>
      <c r="L17" s="302" t="s">
        <v>1286</v>
      </c>
      <c r="M17" s="302" t="s">
        <v>1287</v>
      </c>
    </row>
    <row r="18" spans="1:36" ht="31.9" customHeight="1" thickBot="1">
      <c r="A18" s="1755" t="s">
        <v>1288</v>
      </c>
      <c r="B18" s="1756"/>
      <c r="C18" s="133">
        <f>ROUND(C17/SUM(C17:D17),2)</f>
        <v>0.45</v>
      </c>
      <c r="D18" s="133">
        <f>1-C18</f>
        <v>0.55000000000000004</v>
      </c>
      <c r="E18" s="3559" t="s">
        <v>2131</v>
      </c>
      <c r="F18" s="3560"/>
      <c r="G18" s="3560"/>
      <c r="H18" s="3560"/>
      <c r="I18" s="3560"/>
      <c r="K18" s="302" t="s">
        <v>1289</v>
      </c>
      <c r="L18" s="302">
        <f>IF(C1="",'数据-汇总表'!E3,SUMIF(项目类型,C1,'数据-汇总表'!E17:E26)+SUMIF(项目类型,C1,'数据-汇总表'!I17:I26))</f>
        <v>24230.799999999999</v>
      </c>
      <c r="M18" s="302">
        <f>IF(C1="",'数据-汇总表'!E3,SUMIF(项目类型,C1,'数据-汇总表'!E17:E26))</f>
        <v>24230.799999999999</v>
      </c>
    </row>
    <row r="19" spans="1:36" ht="15">
      <c r="A19" s="1757" t="s">
        <v>1290</v>
      </c>
      <c r="B19" s="1758" t="s">
        <v>1291</v>
      </c>
      <c r="C19" s="134">
        <f ca="1">SUMIF(INDIRECT("'"&amp;C4&amp;"'"&amp;"!A:A"),结果表!B19,INDIRECT("'"&amp;C4&amp;"'"&amp;"!B:B"))</f>
        <v>37826</v>
      </c>
      <c r="D19" s="135">
        <f ca="1">SUMIF(INDIRECT("'"&amp;D4&amp;"'"&amp;"!A:A"),结果表!B19,INDIRECT("'"&amp;D4&amp;"'"&amp;"!B:B"))</f>
        <v>22393</v>
      </c>
      <c r="E19" s="1757" t="s">
        <v>1292</v>
      </c>
      <c r="F19" s="1758" t="s">
        <v>1291</v>
      </c>
      <c r="G19" s="136">
        <f ca="1">ROUND(C19*$C$18+D19*$D$18,0)</f>
        <v>29338</v>
      </c>
      <c r="H19" s="1759" t="s">
        <v>1293</v>
      </c>
      <c r="I19" s="129">
        <v>0.56000000000000005</v>
      </c>
      <c r="J19" s="728">
        <f ca="1">ROUND(I19*G19,0)</f>
        <v>16429</v>
      </c>
      <c r="K19" s="302" t="s">
        <v>1294</v>
      </c>
      <c r="L19" s="302">
        <f>IF(C1="",'数据-汇总表'!D3,SUMIF(项目类型,C1,'数据-汇总表'!D17:D26)+SUMIF(项目类型,C1,'数据-汇总表'!H17:H27))</f>
        <v>7478.47</v>
      </c>
      <c r="M19" s="302">
        <f>IF(C1="",'数据-汇总表'!D3,SUMIF(项目类型,C1,'数据-汇总表'!D17:D26))</f>
        <v>7478.47</v>
      </c>
    </row>
    <row r="20" spans="1:36" ht="15">
      <c r="A20" s="1760"/>
      <c r="B20" s="1022" t="s">
        <v>1295</v>
      </c>
      <c r="C20" s="137">
        <f ca="1">SUMIF(INDIRECT("'"&amp;C4&amp;"'"&amp;"!A:A"),结果表!B20,INDIRECT("'"&amp;C4&amp;"'"&amp;"!B:B"))</f>
        <v>15611</v>
      </c>
      <c r="D20" s="138">
        <f ca="1">SUMIF(INDIRECT("'"&amp;D4&amp;"'"&amp;"!A:A"),结果表!B20,INDIRECT("'"&amp;D4&amp;"'"&amp;"!B:B"))</f>
        <v>9242</v>
      </c>
      <c r="E20" s="1760"/>
      <c r="F20" s="1022" t="s">
        <v>1295</v>
      </c>
      <c r="G20" s="139">
        <f ca="1">ROUND(C20*$C$18+D20*$D$18,0)</f>
        <v>12108</v>
      </c>
      <c r="H20" s="804" t="s">
        <v>1296</v>
      </c>
      <c r="I20" s="129"/>
    </row>
    <row r="21" spans="1:36" ht="15" customHeight="1" thickBot="1">
      <c r="A21" s="824"/>
      <c r="B21" s="1761" t="s">
        <v>1297</v>
      </c>
      <c r="C21" s="719">
        <f ca="1">ROUND(C19*10000/L19,0)</f>
        <v>50580</v>
      </c>
      <c r="D21" s="720">
        <f ca="1">ROUND(D19*10000/L19,0)</f>
        <v>29943</v>
      </c>
      <c r="E21" s="824"/>
      <c r="F21" s="1761" t="s">
        <v>1297</v>
      </c>
      <c r="G21" s="140">
        <f ca="1">ROUND(G19*10000/L19,0)</f>
        <v>39230</v>
      </c>
      <c r="H21" s="1762" t="s">
        <v>1296</v>
      </c>
      <c r="I21" s="129"/>
    </row>
    <row r="22" spans="1:36" ht="15" thickBot="1">
      <c r="A22" s="1684" t="s">
        <v>1298</v>
      </c>
      <c r="B22" s="1763"/>
      <c r="C22" s="1764"/>
      <c r="D22" s="721">
        <f ca="1">IF(C19&lt;D19,D19/C19-1,C19/D19-1)</f>
        <v>0.68918858571875141</v>
      </c>
      <c r="E22" s="129"/>
      <c r="F22" s="129"/>
      <c r="G22" s="129"/>
      <c r="H22" s="129"/>
      <c r="I22" s="129"/>
    </row>
    <row r="23" spans="1:36" ht="13.5" thickBot="1">
      <c r="A23" s="1743"/>
      <c r="B23" s="1743"/>
      <c r="C23" s="1743"/>
      <c r="D23" s="1743"/>
      <c r="E23" s="129"/>
      <c r="F23" s="129"/>
      <c r="G23" s="129"/>
      <c r="H23" s="129"/>
      <c r="I23" s="129"/>
    </row>
    <row r="24" spans="1:36" ht="14.25">
      <c r="A24" s="3543" t="s">
        <v>1299</v>
      </c>
      <c r="B24" s="1758" t="s">
        <v>1291</v>
      </c>
      <c r="C24" s="136">
        <f>IF(B30=0,0,D30)</f>
        <v>0</v>
      </c>
      <c r="D24" s="1765"/>
      <c r="E24" s="129"/>
      <c r="F24" s="129"/>
      <c r="G24" s="129"/>
      <c r="H24" s="129"/>
      <c r="I24" s="129"/>
    </row>
    <row r="25" spans="1:36" ht="14.25">
      <c r="A25" s="3544"/>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12108</v>
      </c>
      <c r="D32" s="1771"/>
      <c r="E32" s="129"/>
      <c r="F32" s="129"/>
      <c r="G32" s="129"/>
      <c r="H32" s="129"/>
      <c r="I32" s="129"/>
    </row>
    <row r="33" spans="1:15" ht="15">
      <c r="A33" s="782" t="s">
        <v>1306</v>
      </c>
      <c r="B33" s="1772"/>
      <c r="C33" s="1773"/>
      <c r="D33" s="1774"/>
      <c r="E33" s="1775" t="s">
        <v>1307</v>
      </c>
      <c r="F33" s="1776" t="str">
        <f>IF(D32="楼面单价","取值（单价）","取值（总价）")</f>
        <v>取值（总价）</v>
      </c>
      <c r="G33" s="129"/>
      <c r="H33" s="129"/>
      <c r="I33" s="129"/>
    </row>
    <row r="34" spans="1:15" ht="15">
      <c r="A34" s="1777"/>
      <c r="B34" s="1778" t="s">
        <v>1308</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9"/>
      <c r="H34" s="129"/>
      <c r="I34" s="129"/>
    </row>
    <row r="35" spans="1:15" ht="15.7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4"/>
      <c r="G35" s="129"/>
      <c r="H35" s="129"/>
      <c r="I35" s="129"/>
    </row>
    <row r="36" spans="1:15" ht="15.75" thickBot="1">
      <c r="A36" s="3563" t="s">
        <v>1312</v>
      </c>
      <c r="B36" s="1783" t="s">
        <v>1313</v>
      </c>
      <c r="C36" s="145"/>
      <c r="D36" s="1784"/>
      <c r="E36" s="1785"/>
      <c r="F36" s="1786"/>
      <c r="G36" s="129"/>
      <c r="H36" s="129"/>
      <c r="I36" s="129"/>
    </row>
    <row r="37" spans="1:15" ht="15.75" thickBot="1">
      <c r="A37" s="3564"/>
      <c r="B37" s="1670" t="s">
        <v>1314</v>
      </c>
      <c r="C37" s="147"/>
      <c r="D37" s="1135"/>
      <c r="E37" s="1135"/>
      <c r="F37" s="1786"/>
      <c r="G37" s="129"/>
      <c r="H37" s="129"/>
      <c r="I37" s="129"/>
    </row>
    <row r="38" spans="1:15" ht="15.75" thickBot="1">
      <c r="A38" s="3565"/>
      <c r="B38" s="1787" t="s">
        <v>1315</v>
      </c>
      <c r="C38" s="674"/>
      <c r="D38" s="1788" t="s">
        <v>1316</v>
      </c>
      <c r="E38" s="1135"/>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40" t="s">
        <v>1326</v>
      </c>
      <c r="B45" s="3541"/>
      <c r="C45" s="3542"/>
      <c r="D45" s="155" t="e">
        <f ca="1">ROUND(H101*F45,0)</f>
        <v>#REF!</v>
      </c>
      <c r="E45" s="156" t="s">
        <v>1327</v>
      </c>
      <c r="F45" s="157">
        <v>1</v>
      </c>
      <c r="G45" s="158" t="s">
        <v>1328</v>
      </c>
      <c r="H45" s="129"/>
      <c r="I45" s="129"/>
      <c r="J45" s="3618" t="s">
        <v>1329</v>
      </c>
      <c r="K45" s="3618"/>
      <c r="L45" s="3618"/>
      <c r="M45" s="3618"/>
      <c r="N45" s="3618"/>
      <c r="O45" s="3618"/>
    </row>
    <row r="46" spans="1:15" ht="14.25" customHeight="1">
      <c r="A46" s="3537" t="s">
        <v>1330</v>
      </c>
      <c r="B46" s="3538"/>
      <c r="C46" s="3538"/>
      <c r="D46" s="3538"/>
      <c r="E46" s="3538"/>
      <c r="F46" s="3538"/>
      <c r="G46" s="3539"/>
      <c r="H46" s="1802"/>
      <c r="I46" s="159"/>
      <c r="J46" s="2519">
        <v>1</v>
      </c>
      <c r="K46" s="3599" t="s">
        <v>1331</v>
      </c>
      <c r="L46" s="3599"/>
      <c r="M46" s="3619"/>
      <c r="N46" s="3619"/>
      <c r="O46" s="3619"/>
    </row>
    <row r="47" spans="1:15" ht="12" customHeight="1">
      <c r="A47" s="160" t="s">
        <v>1332</v>
      </c>
      <c r="B47" s="161"/>
      <c r="C47" s="162"/>
      <c r="D47" s="1083" t="s">
        <v>1333</v>
      </c>
      <c r="E47" s="302" t="s">
        <v>1334</v>
      </c>
      <c r="F47" s="163" t="s">
        <v>1335</v>
      </c>
      <c r="G47" s="2542" t="s">
        <v>1336</v>
      </c>
      <c r="H47" s="2543"/>
      <c r="I47" s="159"/>
      <c r="J47" s="2519">
        <v>2</v>
      </c>
      <c r="K47" s="3599" t="s">
        <v>1337</v>
      </c>
      <c r="L47" s="3599"/>
      <c r="M47" s="3620">
        <f>'数据-取费表'!B2</f>
        <v>45491</v>
      </c>
      <c r="N47" s="3620"/>
      <c r="O47" s="3620"/>
    </row>
    <row r="48" spans="1:15" ht="25.5">
      <c r="A48" s="3568" t="s">
        <v>1338</v>
      </c>
      <c r="B48" s="3551"/>
      <c r="C48" s="3551"/>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2"/>
      <c r="J48" s="2519">
        <v>3</v>
      </c>
      <c r="K48" s="3599" t="s">
        <v>1340</v>
      </c>
      <c r="L48" s="3599"/>
      <c r="M48" s="3621" t="e">
        <f ca="1">H101</f>
        <v>#REF!</v>
      </c>
      <c r="N48" s="3621"/>
      <c r="O48" s="3621"/>
    </row>
    <row r="49" spans="1:35" ht="25.5" customHeight="1">
      <c r="A49" s="2329" t="s">
        <v>1341</v>
      </c>
      <c r="B49" s="3535" t="s">
        <v>1342</v>
      </c>
      <c r="C49" s="3535"/>
      <c r="D49" s="1586">
        <v>0</v>
      </c>
      <c r="E49" s="324" t="s">
        <v>1343</v>
      </c>
      <c r="F49" s="2420" t="s">
        <v>28</v>
      </c>
      <c r="G49" s="3605"/>
      <c r="H49" s="2306" t="s">
        <v>2134</v>
      </c>
      <c r="I49" s="2307"/>
      <c r="J49" s="2519">
        <v>4</v>
      </c>
      <c r="K49" s="3599" t="str">
        <f>IF(项目基本情况!E8="房地产抵押价值","房地产抵押价值","抵押担保权已注销时的房地产抵押价值")</f>
        <v>房地产抵押价值</v>
      </c>
      <c r="L49" s="3599"/>
      <c r="M49" s="3621" t="e">
        <f ca="1">IF(项目基本情况!E8="房地产抵押价值",H107,H109)</f>
        <v>#REF!</v>
      </c>
      <c r="N49" s="3621"/>
      <c r="O49" s="3621"/>
    </row>
    <row r="50" spans="1:35" ht="25.5" customHeight="1">
      <c r="A50" s="2547"/>
      <c r="B50" s="3535" t="s">
        <v>1344</v>
      </c>
      <c r="C50" s="3535"/>
      <c r="D50" s="2548"/>
      <c r="E50" s="332"/>
      <c r="F50" s="2420"/>
      <c r="G50" s="3606"/>
      <c r="H50" s="2308" t="s">
        <v>2135</v>
      </c>
      <c r="I50" s="2307"/>
      <c r="J50" s="3618" t="s">
        <v>1345</v>
      </c>
      <c r="K50" s="3618"/>
      <c r="L50" s="3618"/>
      <c r="M50" s="3618"/>
      <c r="N50" s="3618"/>
      <c r="O50" s="3618"/>
    </row>
    <row r="51" spans="1:35" ht="20.45" customHeight="1">
      <c r="A51" s="2549"/>
      <c r="B51" s="3535" t="s">
        <v>1346</v>
      </c>
      <c r="C51" s="3535"/>
      <c r="D51" s="1083"/>
      <c r="E51" s="327"/>
      <c r="F51" s="2420"/>
      <c r="G51" s="3607"/>
      <c r="H51" s="2308" t="s">
        <v>2136</v>
      </c>
      <c r="I51" s="2307"/>
      <c r="J51" s="2520" t="s">
        <v>1347</v>
      </c>
      <c r="K51" s="3599" t="s">
        <v>1348</v>
      </c>
      <c r="L51" s="3599"/>
      <c r="M51" s="2520" t="s">
        <v>1349</v>
      </c>
      <c r="N51" s="2520" t="s">
        <v>1350</v>
      </c>
      <c r="O51" s="2520" t="s">
        <v>1351</v>
      </c>
    </row>
    <row r="52" spans="1:35" ht="24" customHeight="1">
      <c r="A52" s="2331" t="s">
        <v>1352</v>
      </c>
      <c r="B52" s="3535" t="s">
        <v>1353</v>
      </c>
      <c r="C52" s="3535"/>
      <c r="D52" s="1083" t="e">
        <f ca="1">ROUND(D45*'数据-取费表'!B41/(1+'数据-取费表'!C42),0)</f>
        <v>#REF!</v>
      </c>
      <c r="E52" s="2330" t="s">
        <v>1354</v>
      </c>
      <c r="F52" s="2550">
        <f>'数据-取费表'!B41</f>
        <v>5.5000000000000007E-2</v>
      </c>
      <c r="G52" s="2551"/>
      <c r="H52" s="2540"/>
      <c r="I52" s="1803"/>
      <c r="J52" s="2519">
        <v>1</v>
      </c>
      <c r="K52" s="3600" t="s">
        <v>1355</v>
      </c>
      <c r="L52" s="3600"/>
      <c r="M52" s="2521" t="b">
        <f>D48</f>
        <v>0</v>
      </c>
      <c r="N52" s="2519" t="str">
        <f>E48</f>
        <v>销售额×税（费）率</v>
      </c>
      <c r="O52" s="2522">
        <f>F48</f>
        <v>5.5000000000000007E-2</v>
      </c>
    </row>
    <row r="53" spans="1:35" ht="12" customHeight="1">
      <c r="A53" s="2331" t="s">
        <v>1356</v>
      </c>
      <c r="B53" s="3561" t="s">
        <v>2291</v>
      </c>
      <c r="C53" s="3562"/>
      <c r="D53" s="1083" t="e">
        <f ca="1">ROUND(D45*'数据-取费表'!B41/(1+'数据-取费表'!C42),0)</f>
        <v>#REF!</v>
      </c>
      <c r="E53" s="2330" t="s">
        <v>1354</v>
      </c>
      <c r="F53" s="2550">
        <f>'数据-取费表'!B41</f>
        <v>5.5000000000000007E-2</v>
      </c>
      <c r="G53" s="2551"/>
      <c r="H53" s="2540"/>
      <c r="I53" s="1803"/>
      <c r="J53" s="2519">
        <v>2</v>
      </c>
      <c r="K53" s="3600" t="s">
        <v>1357</v>
      </c>
      <c r="L53" s="3600"/>
      <c r="M53" s="2521" t="e">
        <f t="shared" ref="M53:O54" ca="1" si="0">D55</f>
        <v>#REF!</v>
      </c>
      <c r="N53" s="2519" t="str">
        <f t="shared" si="0"/>
        <v>销售额×税（费）率</v>
      </c>
      <c r="O53" s="2522" t="str">
        <f t="shared" si="0"/>
        <v>免征</v>
      </c>
    </row>
    <row r="54" spans="1:35" ht="12" customHeight="1">
      <c r="A54" s="2331" t="s">
        <v>1358</v>
      </c>
      <c r="B54" s="3561" t="s">
        <v>2292</v>
      </c>
      <c r="C54" s="3562"/>
      <c r="D54" s="1083" t="e">
        <f ca="1">C68</f>
        <v>#REF!</v>
      </c>
      <c r="E54" s="327" t="s">
        <v>1359</v>
      </c>
      <c r="F54" s="2550">
        <f>'数据-取费表'!B41</f>
        <v>5.5000000000000007E-2</v>
      </c>
      <c r="G54" s="2551"/>
      <c r="H54" s="2552"/>
      <c r="I54" s="1803"/>
      <c r="J54" s="2519">
        <v>3</v>
      </c>
      <c r="K54" s="3600" t="s">
        <v>1360</v>
      </c>
      <c r="L54" s="3600"/>
      <c r="M54" s="2521" t="e">
        <f t="shared" ca="1" si="0"/>
        <v>#REF!</v>
      </c>
      <c r="N54" s="2519" t="str">
        <f t="shared" si="0"/>
        <v>增值额×税（费）率</v>
      </c>
      <c r="O54" s="2523" t="str">
        <f t="shared" si="0"/>
        <v>免征</v>
      </c>
    </row>
    <row r="55" spans="1:35" ht="24" customHeight="1">
      <c r="A55" s="3550" t="s">
        <v>1361</v>
      </c>
      <c r="B55" s="3551"/>
      <c r="C55" s="3551"/>
      <c r="D55" s="2320" t="e">
        <f ca="1">IF(H55="个人住宅",0,ROUND(D45*I55,0))</f>
        <v>#REF!</v>
      </c>
      <c r="E55" s="2330" t="s">
        <v>1362</v>
      </c>
      <c r="F55" s="2550" t="str">
        <f>IF(H55="正常",I55,"免征")</f>
        <v>免征</v>
      </c>
      <c r="G55" s="2551"/>
      <c r="H55" s="2546"/>
      <c r="I55" s="165">
        <f>'数据-取费表'!B49</f>
        <v>5.0000000000000001E-4</v>
      </c>
      <c r="J55" s="2519">
        <f>IF(H59="非个人房产","",4)</f>
        <v>4</v>
      </c>
      <c r="K55" s="3600" t="str">
        <f>IF(H59="非个人房产","——","个人所得税")</f>
        <v>个人所得税</v>
      </c>
      <c r="L55" s="3600"/>
      <c r="M55" s="2524" t="e">
        <f ca="1">D59</f>
        <v>#REF!</v>
      </c>
      <c r="N55" s="2036" t="str">
        <f>E59</f>
        <v>差额计税</v>
      </c>
      <c r="O55" s="2525">
        <f>F59</f>
        <v>0.01</v>
      </c>
    </row>
    <row r="56" spans="1:35" ht="24.75">
      <c r="A56" s="3550" t="s">
        <v>1363</v>
      </c>
      <c r="B56" s="3551"/>
      <c r="C56" s="3551"/>
      <c r="D56" s="2320" t="e">
        <f ca="1">IF(H56="个人住宅",D57,D58)</f>
        <v>#REF!</v>
      </c>
      <c r="E56" s="2330" t="s">
        <v>1364</v>
      </c>
      <c r="F56" s="2550" t="str">
        <f>IF(H56="正常",F58,"免征")</f>
        <v>免征</v>
      </c>
      <c r="G56" s="2553" t="s">
        <v>1365</v>
      </c>
      <c r="H56" s="2554"/>
      <c r="I56" s="1804"/>
      <c r="J56" s="2519" t="str">
        <f>IF(项目基本情况!K6="上海银行",IF(J55="",4,J55+1),"")</f>
        <v/>
      </c>
      <c r="K56" s="3623" t="str">
        <f>IF(项目基本情况!K6="上海银行","其他处置费用","")</f>
        <v/>
      </c>
      <c r="L56" s="3624"/>
      <c r="M56" s="2521" t="str">
        <f>IF(项目基本情况!K6="上海银行",M69,"")</f>
        <v/>
      </c>
      <c r="N56" s="3623" t="str">
        <f>IF(项目基本情况!K6="上海银行","包含处置中涉及的律师、诉讼、拍卖、评估等费用","")</f>
        <v/>
      </c>
      <c r="O56" s="3626"/>
    </row>
    <row r="57" spans="1:35" ht="12.75">
      <c r="A57" s="2331" t="s">
        <v>1341</v>
      </c>
      <c r="B57" s="3561" t="s">
        <v>1366</v>
      </c>
      <c r="C57" s="3562"/>
      <c r="D57" s="1586">
        <v>0</v>
      </c>
      <c r="E57" s="324" t="s">
        <v>1343</v>
      </c>
      <c r="F57" s="302"/>
      <c r="G57" s="2551"/>
      <c r="H57" s="2555"/>
      <c r="I57" s="1804"/>
      <c r="J57" s="3600">
        <f>IF(AND(J55="",J56=""),4,IF(项目基本情况!K6="上海银行",结果表!J56+1,结果表!J55+1))</f>
        <v>5</v>
      </c>
      <c r="K57" s="3600" t="s">
        <v>1367</v>
      </c>
      <c r="L57" s="2526" t="s">
        <v>1368</v>
      </c>
      <c r="M57" s="2527"/>
      <c r="N57" s="2528">
        <f ca="1">SUMIF(M52:M56,"&lt;9e307")</f>
        <v>0</v>
      </c>
      <c r="O57" s="2529"/>
      <c r="P57" s="2686" t="e">
        <f ca="1">N57/M49</f>
        <v>#REF!</v>
      </c>
    </row>
    <row r="58" spans="1:35" ht="24.75">
      <c r="A58" s="2331" t="s">
        <v>1352</v>
      </c>
      <c r="B58" s="3561" t="s">
        <v>1369</v>
      </c>
      <c r="C58" s="3535"/>
      <c r="D58" s="2320" t="e">
        <f ca="1">IF(H58="转让取得",C81,C97)</f>
        <v>#REF!</v>
      </c>
      <c r="E58" s="2330" t="s">
        <v>1364</v>
      </c>
      <c r="F58" s="302" t="s">
        <v>28</v>
      </c>
      <c r="G58" s="2551"/>
      <c r="H58" s="2554"/>
      <c r="I58" s="1804"/>
      <c r="J58" s="3600"/>
      <c r="K58" s="3600"/>
      <c r="L58" s="2526" t="s">
        <v>1370</v>
      </c>
      <c r="M58" s="2530"/>
      <c r="N58" s="2531" t="str">
        <f ca="1">NUMBERSTRING(INT(N57*10000),2)&amp;"元整"</f>
        <v>零元整</v>
      </c>
      <c r="O58" s="2532"/>
    </row>
    <row r="59" spans="1:35" ht="24.75" thickBot="1">
      <c r="A59" s="3603" t="s">
        <v>1371</v>
      </c>
      <c r="B59" s="3604"/>
      <c r="C59" s="3604"/>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01">
        <f>J57+1</f>
        <v>6</v>
      </c>
      <c r="K59" s="3600" t="s">
        <v>1372</v>
      </c>
      <c r="L59" s="2519" t="s">
        <v>1368</v>
      </c>
      <c r="M59" s="2533"/>
      <c r="N59" s="2534" t="e">
        <f ca="1">M49-N57</f>
        <v>#REF!</v>
      </c>
      <c r="O59" s="2535"/>
    </row>
    <row r="60" spans="1:35" ht="12" customHeight="1">
      <c r="A60" s="1805"/>
      <c r="B60" s="1743"/>
      <c r="C60" s="1743"/>
      <c r="D60" s="1743"/>
      <c r="E60" s="1574"/>
      <c r="F60" s="1804"/>
      <c r="G60" s="1804"/>
      <c r="H60" s="1806"/>
      <c r="I60" s="129"/>
      <c r="J60" s="3602"/>
      <c r="K60" s="3600"/>
      <c r="L60" s="2526" t="s">
        <v>1370</v>
      </c>
      <c r="M60" s="2530"/>
      <c r="N60" s="2531" t="e">
        <f ca="1">NUMBERSTRING(INT(N59*10000),2)&amp;"元整"</f>
        <v>#REF!</v>
      </c>
      <c r="O60" s="2532"/>
    </row>
    <row r="61" spans="1:35" ht="13.5" thickBot="1">
      <c r="A61" s="3548" t="s">
        <v>1373</v>
      </c>
      <c r="B61" s="3548"/>
      <c r="C61" s="3548"/>
      <c r="D61" s="3548"/>
      <c r="E61" s="3548"/>
      <c r="F61" s="1804"/>
      <c r="G61" s="1804"/>
      <c r="H61" s="1806"/>
      <c r="I61" s="129"/>
      <c r="J61" s="2519">
        <f>J59+1</f>
        <v>7</v>
      </c>
      <c r="K61" s="3600" t="s">
        <v>1374</v>
      </c>
      <c r="L61" s="3600"/>
      <c r="M61" s="2536"/>
      <c r="N61" s="2537" t="e">
        <f ca="1">ROUND(N59*10000/'数据-汇总表'!E3,0)</f>
        <v>#REF!</v>
      </c>
      <c r="O61" s="2538"/>
    </row>
    <row r="62" spans="1:35" ht="12.75">
      <c r="A62" s="3566" t="s">
        <v>1375</v>
      </c>
      <c r="B62" s="3567"/>
      <c r="C62" s="2017"/>
      <c r="D62" s="2017" t="s">
        <v>1376</v>
      </c>
      <c r="E62" s="166" t="s">
        <v>1377</v>
      </c>
      <c r="F62" s="1804"/>
      <c r="G62" s="1804"/>
      <c r="H62" s="1806"/>
      <c r="I62" s="129"/>
    </row>
    <row r="63" spans="1:35" ht="12.75">
      <c r="A63" s="173" t="s">
        <v>330</v>
      </c>
      <c r="B63" s="167" t="s">
        <v>1378</v>
      </c>
      <c r="C63" s="2560" t="e">
        <f ca="1">ROUND((C64+C65)/(1+'数据-取费表'!C42),0)</f>
        <v>#REF!</v>
      </c>
      <c r="D63" s="167"/>
      <c r="E63" s="168"/>
      <c r="F63" s="1804"/>
      <c r="G63" s="1804"/>
      <c r="H63" s="1806"/>
      <c r="I63" s="129"/>
      <c r="J63" s="3625" t="s">
        <v>1379</v>
      </c>
      <c r="K63" s="1328" t="s">
        <v>1380</v>
      </c>
      <c r="L63" s="1328" t="e">
        <f ca="1">IF(M49&gt;10000,M49*0.5%,IF(AND(M49&gt;1000,M49&lt;=10000),M49*1%,IF(AND(M49&gt;100,M49&lt;=1000),M49*3%,IF(AND(M49&gt;10,M49&lt;=100),M49*5%,M49*8%))))</f>
        <v>#REF!</v>
      </c>
      <c r="M63" s="302" t="e">
        <f ca="1">ROUND(L63,1)</f>
        <v>#REF!</v>
      </c>
      <c r="N63" s="2539"/>
      <c r="Z63" s="1748"/>
      <c r="AI63" s="1749"/>
    </row>
    <row r="64" spans="1:35" ht="14.25" customHeight="1">
      <c r="A64" s="169" t="s">
        <v>325</v>
      </c>
      <c r="B64" s="170" t="s">
        <v>1381</v>
      </c>
      <c r="C64" s="2561" t="e">
        <f ca="1">D45</f>
        <v>#REF!</v>
      </c>
      <c r="D64" s="170" t="s">
        <v>26</v>
      </c>
      <c r="E64" s="172"/>
      <c r="F64" s="1804"/>
      <c r="G64" s="1804"/>
      <c r="H64" s="1806"/>
      <c r="I64" s="129"/>
      <c r="J64" s="3625"/>
      <c r="K64" s="1328" t="s">
        <v>1382</v>
      </c>
      <c r="L64" s="1328"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#REF!</v>
      </c>
      <c r="N64" s="2540" t="s">
        <v>1383</v>
      </c>
      <c r="Z64" s="1748"/>
      <c r="AI64" s="1749"/>
    </row>
    <row r="65" spans="1:35" ht="14.25" customHeight="1">
      <c r="A65" s="169" t="s">
        <v>326</v>
      </c>
      <c r="B65" s="170" t="s">
        <v>1384</v>
      </c>
      <c r="C65" s="2562"/>
      <c r="D65" s="170"/>
      <c r="E65" s="172"/>
      <c r="F65" s="1804"/>
      <c r="G65" s="1804"/>
      <c r="H65" s="1806"/>
      <c r="I65" s="129"/>
      <c r="J65" s="3625"/>
      <c r="K65" s="1328" t="s">
        <v>1385</v>
      </c>
      <c r="L65" s="1328" t="e">
        <f ca="1">IF(M49&gt;1000,M49*0.1%,IF(AND(M49&gt;500,M49&lt;=1000),M49*0.5%,IF(AND(M49&gt;50,M49&lt;=500),M49*1%,IF(AND(M49&gt;1,M49&lt;=50),M49*1.5%))))</f>
        <v>#REF!</v>
      </c>
      <c r="M65" s="302" t="e">
        <f t="shared" ca="1" si="1"/>
        <v>#REF!</v>
      </c>
      <c r="N65" s="2540" t="s">
        <v>1383</v>
      </c>
      <c r="Z65" s="1748"/>
      <c r="AI65" s="1749"/>
    </row>
    <row r="66" spans="1:35" ht="14.25" customHeight="1">
      <c r="A66" s="173" t="s">
        <v>327</v>
      </c>
      <c r="B66" s="174" t="s">
        <v>1386</v>
      </c>
      <c r="C66" s="2563"/>
      <c r="D66" s="174" t="s">
        <v>26</v>
      </c>
      <c r="E66" s="1334" t="s">
        <v>671</v>
      </c>
      <c r="F66" s="1804"/>
      <c r="G66" s="1804"/>
      <c r="H66" s="1806"/>
      <c r="I66" s="129"/>
      <c r="J66" s="3625"/>
      <c r="K66" s="1328" t="s">
        <v>1387</v>
      </c>
      <c r="L66" s="1328" t="e">
        <f ca="1">M49*0.5%</f>
        <v>#REF!</v>
      </c>
      <c r="M66" s="302" t="e">
        <f ca="1">IF(L66&gt;0.5,0.5,ROUND(L66,0))</f>
        <v>#REF!</v>
      </c>
      <c r="N66" s="2540" t="s">
        <v>1388</v>
      </c>
      <c r="Z66" s="1748"/>
      <c r="AI66" s="1749"/>
    </row>
    <row r="67" spans="1:35" ht="14.25" customHeight="1">
      <c r="A67" s="173" t="s">
        <v>328</v>
      </c>
      <c r="B67" s="174" t="s">
        <v>1389</v>
      </c>
      <c r="C67" s="2564" t="e">
        <f ca="1">C63-C66</f>
        <v>#REF!</v>
      </c>
      <c r="D67" s="170" t="s">
        <v>26</v>
      </c>
      <c r="E67" s="172"/>
      <c r="F67" s="1804"/>
      <c r="G67" s="1804"/>
      <c r="H67" s="1806"/>
      <c r="I67" s="129"/>
      <c r="J67" s="3625"/>
      <c r="K67" s="1328" t="s">
        <v>1390</v>
      </c>
      <c r="L67" s="1328"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#REF!</v>
      </c>
      <c r="N67" s="2539"/>
      <c r="Z67" s="1748"/>
      <c r="AI67" s="1749"/>
    </row>
    <row r="68" spans="1:35" ht="14.25" customHeight="1" thickBot="1">
      <c r="A68" s="176" t="s">
        <v>329</v>
      </c>
      <c r="B68" s="177" t="s">
        <v>1391</v>
      </c>
      <c r="C68" s="2565" t="e">
        <f ca="1">IF(C67&lt;=0,0,ROUND(C67*D68,0))</f>
        <v>#REF!</v>
      </c>
      <c r="D68" s="2566">
        <f>'数据-取费表'!B41</f>
        <v>5.5000000000000007E-2</v>
      </c>
      <c r="E68" s="178"/>
      <c r="F68" s="1804"/>
      <c r="G68" s="1804"/>
      <c r="H68" s="1806"/>
      <c r="I68" s="129"/>
      <c r="J68" s="3625"/>
      <c r="K68" s="1328" t="s">
        <v>1392</v>
      </c>
      <c r="L68" s="1328" t="e">
        <f ca="1">IF(M49&gt;10000,M49*0.5%,IF(AND(M49&gt;5000,M49&lt;=10000),M49*1%,IF(AND(M49&gt;1000,M49&lt;=5000),M49*2%,IF(AND(M49&gt;200,M49&lt;=1000),M49*3%,M49*5%))))</f>
        <v>#REF!</v>
      </c>
      <c r="M68" s="302" t="e">
        <f ca="1">ROUND(L68,1)</f>
        <v>#REF!</v>
      </c>
      <c r="N68" s="2539"/>
      <c r="Z68" s="1748"/>
      <c r="AI68" s="1749"/>
    </row>
    <row r="69" spans="1:35" s="1768" customFormat="1" ht="16.5" customHeight="1">
      <c r="A69" s="1807"/>
      <c r="B69" s="1808"/>
      <c r="C69" s="1809"/>
      <c r="D69" s="1810"/>
      <c r="E69" s="1811"/>
      <c r="F69" s="1574"/>
      <c r="G69" s="1574"/>
      <c r="H69" s="1573"/>
      <c r="I69" s="1743"/>
      <c r="J69" s="3625"/>
      <c r="K69" s="1328" t="s">
        <v>1393</v>
      </c>
      <c r="L69" s="1328"/>
      <c r="M69" s="302" t="e">
        <f ca="1">ROUND(SUM(M63:M68),0)</f>
        <v>#REF!</v>
      </c>
      <c r="N69" s="2541" t="e">
        <f ca="1">M69/M49</f>
        <v>#REF!</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thickBot="1">
      <c r="A70" s="3587" t="s">
        <v>1394</v>
      </c>
      <c r="B70" s="3588"/>
      <c r="C70" s="3588"/>
      <c r="D70" s="3588"/>
      <c r="E70" s="3588"/>
      <c r="F70" s="3588"/>
      <c r="G70" s="3588"/>
      <c r="H70" s="3588"/>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566" t="s">
        <v>1375</v>
      </c>
      <c r="B71" s="3567"/>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t="e">
        <f ca="1">ROUND(D45/(1+'数据-取费表'!C42),0)</f>
        <v>#REF!</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t="e">
        <f ca="1">C74+C78</f>
        <v>#REF!</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561" t="s">
        <v>1402</v>
      </c>
      <c r="F76" s="3535"/>
      <c r="G76" s="3535"/>
      <c r="H76" s="358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t="e">
        <f ca="1">ROUND(D45*D78/(1+'数据-取费表'!C42),0)</f>
        <v>#REF!</v>
      </c>
      <c r="D78" s="2573">
        <f>'数据-取费表'!B43</f>
        <v>5.000000000000001E-3</v>
      </c>
      <c r="E78" s="3545" t="s">
        <v>1406</v>
      </c>
      <c r="F78" s="3546"/>
      <c r="G78" s="3546"/>
      <c r="H78" s="3555"/>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t="e">
        <f ca="1">C72-C73</f>
        <v>#REF!</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587" t="s">
        <v>1410</v>
      </c>
      <c r="B83" s="3588"/>
      <c r="C83" s="3588"/>
      <c r="D83" s="3588"/>
      <c r="E83" s="3588"/>
      <c r="F83" s="3588"/>
      <c r="G83" s="3588"/>
      <c r="H83" s="358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566" t="s">
        <v>1375</v>
      </c>
      <c r="B84" s="3567"/>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t="e">
        <f ca="1">ROUND(D45/(1+'数据-取费表'!C42),0)</f>
        <v>#REF!</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t="e">
        <f ca="1">IF(H88="仅含出让金",C87+C90+C91+C92+C93+C94,C87+C91+C92+C93+C94)</f>
        <v>#REF!</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27" t="s">
        <v>2129</v>
      </c>
      <c r="H90" s="3628"/>
      <c r="I90" s="1817"/>
      <c r="J90" s="2517"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545" t="s">
        <v>1419</v>
      </c>
      <c r="F91" s="3546"/>
      <c r="G91" s="3546"/>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545" t="s">
        <v>1422</v>
      </c>
      <c r="F92" s="3546"/>
      <c r="G92" s="3546"/>
      <c r="H92" s="3555"/>
      <c r="I92" s="1817"/>
      <c r="J92" s="2518"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t="e">
        <f ca="1">ROUND(D45*D93/(1+'数据-取费表'!C42),0)</f>
        <v>#REF!</v>
      </c>
      <c r="D93" s="2573">
        <f>'数据-取费表'!B43</f>
        <v>5.000000000000001E-3</v>
      </c>
      <c r="E93" s="3545" t="s">
        <v>1406</v>
      </c>
      <c r="F93" s="3546"/>
      <c r="G93" s="3546"/>
      <c r="H93" s="3555"/>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556" t="s">
        <v>1426</v>
      </c>
      <c r="F94" s="3557"/>
      <c r="G94" s="3557"/>
      <c r="H94" s="355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t="e">
        <f ca="1">ROUND(C85-C86,0)</f>
        <v>#REF!</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29" t="s">
        <v>1428</v>
      </c>
      <c r="B100" s="3530"/>
      <c r="C100" s="3530"/>
      <c r="D100" s="3547"/>
      <c r="E100" s="3530" t="s">
        <v>1429</v>
      </c>
      <c r="F100" s="3530"/>
      <c r="G100" s="3530"/>
      <c r="H100" s="3547"/>
      <c r="I100" s="129"/>
    </row>
    <row r="101" spans="1:35" ht="18.75" customHeight="1">
      <c r="A101" s="3608" t="s">
        <v>1430</v>
      </c>
      <c r="B101" s="3609"/>
      <c r="C101" s="2581" t="str">
        <f>C4</f>
        <v>成本法</v>
      </c>
      <c r="D101" s="2582" t="str">
        <f>D4</f>
        <v>收益法-酒店模型</v>
      </c>
      <c r="E101" s="3622" t="s">
        <v>1431</v>
      </c>
      <c r="F101" s="3579"/>
      <c r="G101" s="1823" t="s">
        <v>1432</v>
      </c>
      <c r="H101" s="2591" t="e">
        <f ca="1">H118</f>
        <v>#REF!</v>
      </c>
      <c r="I101" s="129"/>
    </row>
    <row r="102" spans="1:35" ht="18.75" customHeight="1">
      <c r="A102" s="3581" t="s">
        <v>1433</v>
      </c>
      <c r="B102" s="2580" t="s">
        <v>1432</v>
      </c>
      <c r="C102" s="2581">
        <f ca="1">IF(D32="楼面单价",ROUND(C19,0),C19)</f>
        <v>37826</v>
      </c>
      <c r="D102" s="2582">
        <f ca="1">IF(D32="楼面单价",ROUND(D19,0),D19)</f>
        <v>22393</v>
      </c>
      <c r="E102" s="3622"/>
      <c r="F102" s="3579"/>
      <c r="G102" s="1823" t="s">
        <v>1434</v>
      </c>
      <c r="H102" s="2551" t="e">
        <f ca="1">I118</f>
        <v>#REF!</v>
      </c>
      <c r="I102" s="129"/>
    </row>
    <row r="103" spans="1:35" ht="42.75" customHeight="1">
      <c r="A103" s="3581"/>
      <c r="B103" s="2580" t="s">
        <v>1434</v>
      </c>
      <c r="C103" s="2583">
        <f ca="1">C20</f>
        <v>15611</v>
      </c>
      <c r="D103" s="2584">
        <f ca="1">D20</f>
        <v>9242</v>
      </c>
      <c r="E103" s="3616" t="s">
        <v>1435</v>
      </c>
      <c r="F103" s="3617"/>
      <c r="G103" s="1824" t="s">
        <v>1436</v>
      </c>
      <c r="H103" s="2591">
        <f>IF(D36="正常操作",H104+H105+H106,H105+H106)</f>
        <v>0</v>
      </c>
      <c r="I103" s="129"/>
    </row>
    <row r="104" spans="1:35" ht="18.75" customHeight="1">
      <c r="A104" s="3581" t="s">
        <v>1437</v>
      </c>
      <c r="B104" s="2585" t="s">
        <v>1432</v>
      </c>
      <c r="C104" s="2586" t="e">
        <f ca="1">H118</f>
        <v>#REF!</v>
      </c>
      <c r="D104" s="2587"/>
      <c r="E104" s="1670" t="s">
        <v>1438</v>
      </c>
      <c r="F104" s="1662"/>
      <c r="G104" s="1824" t="s">
        <v>1436</v>
      </c>
      <c r="H104" s="2592">
        <f>IF(D36="同一抵押权人同一抵押物续贷",C36&amp;"（续贷，未扣减，详见特别提示）",C36)</f>
        <v>0</v>
      </c>
      <c r="I104" s="129"/>
    </row>
    <row r="105" spans="1:35" ht="18.75" customHeight="1" thickBot="1">
      <c r="A105" s="3582"/>
      <c r="B105" s="2588" t="s">
        <v>1434</v>
      </c>
      <c r="C105" s="2589" t="e">
        <f ca="1">I118</f>
        <v>#REF!</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578" t="str">
        <f>IF(项目基本情况!E8="已注销","——","3.房地产抵押价值")</f>
        <v>3.房地产抵押价值</v>
      </c>
      <c r="F107" s="3579"/>
      <c r="G107" s="1823" t="s">
        <v>1432</v>
      </c>
      <c r="H107" s="2591" t="e">
        <f ca="1">IF(E107="——","——",H101-H103)</f>
        <v>#REF!</v>
      </c>
      <c r="I107" s="129"/>
    </row>
    <row r="108" spans="1:35" ht="18.75" customHeight="1">
      <c r="A108" s="129"/>
      <c r="B108" s="129"/>
      <c r="C108" s="129"/>
      <c r="D108" s="129"/>
      <c r="E108" s="3578"/>
      <c r="F108" s="3579"/>
      <c r="G108" s="1823" t="s">
        <v>1434</v>
      </c>
      <c r="H108" s="2551" t="e">
        <f ca="1">IF(H107=H101,H102,ROUND(H107*10000/'数据-汇总表'!E3,0))</f>
        <v>#REF!</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79"/>
      <c r="G109" s="1823" t="s">
        <v>1432</v>
      </c>
      <c r="H109" s="2594" t="str">
        <f>IF(E109="——","——",H101-H105-H106)</f>
        <v>——</v>
      </c>
      <c r="I109" s="129"/>
    </row>
    <row r="110" spans="1:35" ht="18.75" customHeight="1">
      <c r="A110" s="129"/>
      <c r="B110" s="129"/>
      <c r="C110" s="129"/>
      <c r="D110" s="129"/>
      <c r="E110" s="3578"/>
      <c r="F110" s="3579"/>
      <c r="G110" s="1823" t="s">
        <v>1434</v>
      </c>
      <c r="H110" s="2551"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80"/>
      <c r="G111" s="1823" t="s">
        <v>1432</v>
      </c>
      <c r="H111" s="2591" t="str">
        <f>IF(E111="——","——",N59)</f>
        <v>——</v>
      </c>
      <c r="I111" s="129"/>
    </row>
    <row r="112" spans="1:35" ht="18.75" customHeight="1" thickBot="1">
      <c r="A112" s="129"/>
      <c r="B112" s="129"/>
      <c r="C112" s="129"/>
      <c r="D112" s="129"/>
      <c r="E112" s="3611"/>
      <c r="F112" s="3612"/>
      <c r="G112" s="1826" t="s">
        <v>1434</v>
      </c>
      <c r="H112" s="2595" t="str">
        <f>IF(E111="——","——",N61)</f>
        <v>——</v>
      </c>
      <c r="I112" s="129"/>
    </row>
    <row r="113" spans="1:27" ht="18.75" customHeight="1">
      <c r="A113" s="129"/>
      <c r="B113" s="129"/>
      <c r="C113" s="129"/>
      <c r="D113" s="129"/>
      <c r="E113" s="3583" t="s">
        <v>1440</v>
      </c>
      <c r="F113" s="3583"/>
      <c r="G113" s="3583"/>
      <c r="H113" s="3583"/>
      <c r="I113" s="129"/>
    </row>
    <row r="114" spans="1:27" ht="3.75" customHeight="1">
      <c r="A114" s="1743"/>
      <c r="B114" s="1743"/>
      <c r="C114" s="1743"/>
      <c r="D114" s="1743"/>
      <c r="E114" s="1805"/>
      <c r="F114" s="1805"/>
      <c r="G114" s="1805"/>
      <c r="H114" s="1805"/>
      <c r="I114" s="1743"/>
    </row>
    <row r="115" spans="1:27" ht="18.75" customHeight="1">
      <c r="A115" s="3593" t="s">
        <v>1442</v>
      </c>
      <c r="B115" s="3594"/>
      <c r="C115" s="3594"/>
      <c r="D115" s="3594"/>
      <c r="E115" s="3594"/>
      <c r="F115" s="3594"/>
      <c r="G115" s="3594"/>
      <c r="H115" s="3594"/>
      <c r="I115" s="3595"/>
    </row>
    <row r="116" spans="1:27" ht="27" customHeight="1">
      <c r="A116" s="3549" t="s">
        <v>1443</v>
      </c>
      <c r="B116" s="3584" t="s">
        <v>1444</v>
      </c>
      <c r="C116" s="3584" t="s">
        <v>1445</v>
      </c>
      <c r="D116" s="3597" t="s">
        <v>1446</v>
      </c>
      <c r="E116" s="3598"/>
      <c r="F116" s="3592" t="s">
        <v>1447</v>
      </c>
      <c r="G116" s="3592"/>
      <c r="H116" s="3549" t="s">
        <v>1448</v>
      </c>
      <c r="I116" s="3549"/>
    </row>
    <row r="117" spans="1:27" ht="18.75" customHeight="1">
      <c r="A117" s="3549"/>
      <c r="B117" s="3585"/>
      <c r="C117" s="3585"/>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24230.799999999999</v>
      </c>
      <c r="C118" s="2325">
        <f>M19</f>
        <v>7478.47</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49" t="s">
        <v>1452</v>
      </c>
      <c r="B119" s="3549"/>
      <c r="C119" s="3549"/>
      <c r="D119" s="3589" t="e">
        <f ca="1">NUMBERSTRING(INT(D118*10000),2)&amp;"元整"</f>
        <v>#REF!</v>
      </c>
      <c r="E119" s="3591"/>
      <c r="F119" s="3589" t="e">
        <f ca="1">NUMBERSTRING(INT(F118*10000),2)&amp;"元整"</f>
        <v>#REF!</v>
      </c>
      <c r="G119" s="3591"/>
      <c r="H119" s="3589" t="e">
        <f ca="1">NUMBERSTRING(INT(H118*10000),2)&amp;"元整"</f>
        <v>#REF!</v>
      </c>
      <c r="I119" s="3591"/>
    </row>
    <row r="120" spans="1:27" ht="18.75" customHeight="1">
      <c r="A120" s="3613" t="str">
        <f>IF(项目基本情况!B9="房地产市场价值","",MID(E103,3,LEN(E103)-2))</f>
        <v>估价师知悉的法定优先受偿款</v>
      </c>
      <c r="B120" s="3614"/>
      <c r="C120" s="3615"/>
      <c r="D120" s="3613">
        <f>H103</f>
        <v>0</v>
      </c>
      <c r="E120" s="3614"/>
      <c r="F120" s="3614"/>
      <c r="G120" s="3614"/>
      <c r="H120" s="3614"/>
      <c r="I120" s="361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89" t="s">
        <v>1452</v>
      </c>
      <c r="B121" s="3590"/>
      <c r="C121" s="3591"/>
      <c r="D121" s="3589" t="str">
        <f>IF(D120=0,"零元整",NUMBERSTRING(INT(D120*10000),2)&amp;"元整")</f>
        <v>零元整</v>
      </c>
      <c r="E121" s="3590"/>
      <c r="F121" s="3590"/>
      <c r="G121" s="3590"/>
      <c r="H121" s="3590"/>
      <c r="I121" s="3591"/>
      <c r="AA121" s="725"/>
    </row>
    <row r="122" spans="1:27" ht="18.75" customHeight="1">
      <c r="A122" s="3580" t="str">
        <f>IF(项目基本情况!B9="房地产市场价值","",MID(E107,3,LEN(E107)-2))</f>
        <v>房地产抵押价值</v>
      </c>
      <c r="B122" s="3580"/>
      <c r="C122" s="3580"/>
      <c r="D122" s="3613" t="e">
        <f ca="1">H107</f>
        <v>#REF!</v>
      </c>
      <c r="E122" s="3614"/>
      <c r="F122" s="3614"/>
      <c r="G122" s="3614"/>
      <c r="H122" s="3614"/>
      <c r="I122" s="3615"/>
      <c r="AA122" s="725"/>
    </row>
    <row r="123" spans="1:27" ht="18.75" customHeight="1">
      <c r="A123" s="3549" t="s">
        <v>1452</v>
      </c>
      <c r="B123" s="3549"/>
      <c r="C123" s="3549"/>
      <c r="D123" s="3589" t="e">
        <f ca="1">NUMBERSTRING(INT(D122*10000),2)&amp;"元整"</f>
        <v>#REF!</v>
      </c>
      <c r="E123" s="3590"/>
      <c r="F123" s="3590"/>
      <c r="G123" s="3590"/>
      <c r="H123" s="3590"/>
      <c r="I123" s="3591"/>
      <c r="AA123" s="725"/>
    </row>
    <row r="124" spans="1:27" ht="18.75" customHeight="1">
      <c r="A124" s="3580" t="str">
        <f>IF(项目基本情况!B9="房地产市场价值","",MID(E109,3,LEN(E109)-2))</f>
        <v/>
      </c>
      <c r="B124" s="3580"/>
      <c r="C124" s="3580"/>
      <c r="D124" s="3613" t="str">
        <f>H109</f>
        <v>——</v>
      </c>
      <c r="E124" s="3614"/>
      <c r="F124" s="3614"/>
      <c r="G124" s="3614"/>
      <c r="H124" s="3614"/>
      <c r="I124" s="3615"/>
      <c r="AA124" s="725"/>
    </row>
    <row r="125" spans="1:27" ht="18.75" customHeight="1">
      <c r="A125" s="3549" t="s">
        <v>1452</v>
      </c>
      <c r="B125" s="3549"/>
      <c r="C125" s="3549"/>
      <c r="D125" s="3589" t="e">
        <f>NUMBERSTRING(INT(D124*10000),2)&amp;"元整"</f>
        <v>#VALUE!</v>
      </c>
      <c r="E125" s="3590"/>
      <c r="F125" s="3590"/>
      <c r="G125" s="3590"/>
      <c r="H125" s="3590"/>
      <c r="I125" s="3591"/>
      <c r="AA125" s="725"/>
    </row>
    <row r="126" spans="1:27" ht="18.75" customHeight="1">
      <c r="A126" s="3580" t="str">
        <f>IF(项目基本情况!B9="房地产市场价值","",MID(E111,3,LEN(E111)-2))</f>
        <v/>
      </c>
      <c r="B126" s="3580"/>
      <c r="C126" s="3580"/>
      <c r="D126" s="3613" t="str">
        <f>H111</f>
        <v>——</v>
      </c>
      <c r="E126" s="3614"/>
      <c r="F126" s="3614"/>
      <c r="G126" s="3614"/>
      <c r="H126" s="3614"/>
      <c r="I126" s="3615"/>
      <c r="AA126" s="725"/>
    </row>
    <row r="127" spans="1:27" ht="18.75" customHeight="1">
      <c r="A127" s="3549" t="s">
        <v>1452</v>
      </c>
      <c r="B127" s="3549"/>
      <c r="C127" s="3549"/>
      <c r="D127" s="3589" t="e">
        <f>NUMBERSTRING(INT(D126*10000),2)&amp;"元整"</f>
        <v>#VALUE!</v>
      </c>
      <c r="E127" s="3590"/>
      <c r="F127" s="3590"/>
      <c r="G127" s="3590"/>
      <c r="H127" s="3590"/>
      <c r="I127" s="3591"/>
      <c r="AA127" s="725"/>
    </row>
    <row r="128" spans="1:27" ht="21.75" customHeight="1">
      <c r="A128" s="3596" t="s">
        <v>1453</v>
      </c>
      <c r="B128" s="3596"/>
      <c r="C128" s="3596"/>
      <c r="D128" s="3596"/>
      <c r="E128" s="3596"/>
      <c r="F128" s="3596"/>
      <c r="G128" s="3596"/>
      <c r="H128" s="3596"/>
      <c r="I128" s="3596"/>
      <c r="AA128" s="725"/>
    </row>
    <row r="129" spans="1:35" ht="21.75" customHeight="1">
      <c r="A129" s="1827" t="s">
        <v>1454</v>
      </c>
      <c r="B129" s="1828"/>
      <c r="C129" s="1829" t="s">
        <v>1455</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1456</v>
      </c>
      <c r="G135" s="1844"/>
      <c r="H135" s="1844"/>
      <c r="I135" s="1845" t="s">
        <v>1457</v>
      </c>
    </row>
    <row r="136" spans="1:35" ht="21.75" customHeight="1">
      <c r="A136" s="725"/>
      <c r="B136" s="1846"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1459</v>
      </c>
    </row>
    <row r="139" spans="1:35" ht="21.75" customHeight="1">
      <c r="A139" s="725"/>
      <c r="B139" s="1846" t="s">
        <v>1460</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1459</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N51" sqref="N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2">
        <f>MATCH(B1,'数据-取费表'!A6:A16,0)+5</f>
        <v>7</v>
      </c>
    </row>
    <row r="2" spans="1:9" s="200" customFormat="1" ht="18" customHeight="1">
      <c r="A2" s="201" t="s">
        <v>1462</v>
      </c>
      <c r="B2" s="202">
        <f ca="1">IF(D2="——",C52,C52-E2)</f>
        <v>37826</v>
      </c>
      <c r="C2" s="199" t="s">
        <v>1463</v>
      </c>
      <c r="D2" s="1849" t="s">
        <v>43</v>
      </c>
      <c r="E2" s="1165"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15611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14456</v>
      </c>
      <c r="D5" s="211" t="s">
        <v>1469</v>
      </c>
      <c r="E5" s="212" t="s">
        <v>1470</v>
      </c>
      <c r="F5" s="212" t="s">
        <v>1471</v>
      </c>
      <c r="G5" s="213"/>
    </row>
    <row r="6" spans="1:9" s="214" customFormat="1" ht="13.5" customHeight="1">
      <c r="A6" s="774" t="s">
        <v>1472</v>
      </c>
      <c r="B6" s="215" t="s">
        <v>1473</v>
      </c>
      <c r="C6" s="216">
        <f>基准地价修正!B2</f>
        <v>13582</v>
      </c>
      <c r="D6" s="217"/>
      <c r="E6" s="218"/>
      <c r="F6" s="218"/>
      <c r="G6" s="219"/>
    </row>
    <row r="7" spans="1:9" s="214" customFormat="1" ht="13.5" customHeight="1">
      <c r="A7" s="774" t="s">
        <v>1474</v>
      </c>
      <c r="B7" s="215" t="s">
        <v>1475</v>
      </c>
      <c r="C7" s="220">
        <f>ROUND(C6*F7,0)</f>
        <v>414</v>
      </c>
      <c r="D7" s="220"/>
      <c r="E7" s="218"/>
      <c r="F7" s="221">
        <f>IF(项目基本情况!B8="出让",0,'数据-取费表'!B48+'数据-取费表'!B49)</f>
        <v>3.0499999999999999E-2</v>
      </c>
      <c r="G7" s="219"/>
    </row>
    <row r="8" spans="1:9" s="223" customFormat="1">
      <c r="A8" s="774" t="s">
        <v>1476</v>
      </c>
      <c r="B8" s="215" t="s">
        <v>1477</v>
      </c>
      <c r="C8" s="220">
        <f ca="1">IF(G8="已包含在土地购买价格中","0",IF(B1="",'数据-取费表'!B29,IF(G9="全部缴纳",C9+C10,H9)))</f>
        <v>460</v>
      </c>
      <c r="D8" s="222"/>
      <c r="E8" s="220"/>
      <c r="F8" s="221"/>
      <c r="G8" s="1852" t="s">
        <v>3401</v>
      </c>
    </row>
    <row r="9" spans="1:9" s="214" customFormat="1" ht="13.5" customHeight="1">
      <c r="A9" s="775" t="s">
        <v>355</v>
      </c>
      <c r="B9" s="224" t="s">
        <v>1478</v>
      </c>
      <c r="C9" s="225">
        <f ca="1">ROUND(D9*E9/10000,0)</f>
        <v>0</v>
      </c>
      <c r="D9" s="841">
        <f ca="1">IF(B1="",'数据-汇总表'!E5,IF(INDIRECT("'数据-取费表'!c"&amp;$G$1)="住宅",INDIRECT("'数据-取费表'!k"&amp;$G$1),0))</f>
        <v>0</v>
      </c>
      <c r="E9" s="225">
        <f>'数据-取费表'!B27</f>
        <v>150</v>
      </c>
      <c r="F9" s="221"/>
      <c r="G9" s="1853"/>
      <c r="H9" s="1133"/>
      <c r="I9" s="1854" t="s">
        <v>1479</v>
      </c>
    </row>
    <row r="10" spans="1:9" s="214" customFormat="1" ht="13.5" customHeight="1">
      <c r="A10" s="775" t="s">
        <v>356</v>
      </c>
      <c r="B10" s="224" t="s">
        <v>1480</v>
      </c>
      <c r="C10" s="225">
        <f ca="1">ROUND(D10*E10/10000,0)</f>
        <v>460</v>
      </c>
      <c r="D10" s="841">
        <f ca="1">IF(B1="",'数据-汇总表'!E6,IF(INDIRECT("'数据-取费表'!c"&amp;$G$1)="住宅",INDIRECT("'数据-取费表'!s"&amp;$G$1),INDIRECT("'数据-取费表'!k"&amp;$G$1)+INDIRECT("'数据-取费表'!s"&amp;$G$1)))</f>
        <v>24230.799999999999</v>
      </c>
      <c r="E10" s="225">
        <f>'数据-取费表'!B28</f>
        <v>190</v>
      </c>
      <c r="F10" s="221"/>
      <c r="G10" s="226"/>
    </row>
    <row r="11" spans="1:9" s="214" customFormat="1" ht="13.5" hidden="1" customHeight="1">
      <c r="A11" s="227" t="s">
        <v>4</v>
      </c>
      <c r="B11" s="215" t="s">
        <v>1481</v>
      </c>
      <c r="C11" s="211"/>
      <c r="D11" s="843"/>
      <c r="E11" s="218"/>
      <c r="F11" s="218"/>
      <c r="G11" s="219"/>
    </row>
    <row r="12" spans="1:9" s="214" customFormat="1" ht="13.5" hidden="1" customHeight="1">
      <c r="A12" s="227" t="s">
        <v>5</v>
      </c>
      <c r="B12" s="215" t="s">
        <v>1482</v>
      </c>
      <c r="C12" s="211">
        <v>0</v>
      </c>
      <c r="D12" s="843"/>
      <c r="E12" s="228"/>
      <c r="F12" s="221">
        <v>3.0499999999999999E-2</v>
      </c>
      <c r="G12" s="219"/>
    </row>
    <row r="13" spans="1:9" s="214" customFormat="1" ht="13.5" hidden="1" customHeight="1">
      <c r="A13" s="227" t="s">
        <v>6</v>
      </c>
      <c r="B13" s="215" t="s">
        <v>1483</v>
      </c>
      <c r="C13" s="211"/>
      <c r="D13" s="843"/>
      <c r="E13" s="218"/>
      <c r="F13" s="218"/>
      <c r="G13" s="219"/>
    </row>
    <row r="14" spans="1:9" s="214" customFormat="1" ht="13.5" hidden="1" customHeight="1">
      <c r="A14" s="227" t="s">
        <v>7</v>
      </c>
      <c r="B14" s="215" t="s">
        <v>1484</v>
      </c>
      <c r="C14" s="211"/>
      <c r="D14" s="843"/>
      <c r="E14" s="218"/>
      <c r="F14" s="218"/>
      <c r="G14" s="219" t="s">
        <v>1485</v>
      </c>
    </row>
    <row r="15" spans="1:9" s="214" customFormat="1" ht="13.5" hidden="1" customHeight="1">
      <c r="A15" s="227" t="s">
        <v>8</v>
      </c>
      <c r="B15" s="215" t="s">
        <v>1486</v>
      </c>
      <c r="C15" s="220"/>
      <c r="D15" s="843"/>
      <c r="E15" s="218"/>
      <c r="F15" s="218"/>
      <c r="G15" s="219" t="s">
        <v>1487</v>
      </c>
    </row>
    <row r="16" spans="1:9" s="214" customFormat="1" ht="13.5" hidden="1" customHeight="1">
      <c r="A16" s="227" t="s">
        <v>9</v>
      </c>
      <c r="B16" s="215" t="s">
        <v>1484</v>
      </c>
      <c r="C16" s="220"/>
      <c r="D16" s="843"/>
      <c r="E16" s="218"/>
      <c r="F16" s="218"/>
      <c r="G16" s="219"/>
    </row>
    <row r="17" spans="1:7" s="214" customFormat="1" ht="13.5" hidden="1" customHeight="1">
      <c r="A17" s="227" t="s">
        <v>10</v>
      </c>
      <c r="B17" s="215" t="s">
        <v>1488</v>
      </c>
      <c r="C17" s="229"/>
      <c r="D17" s="844"/>
      <c r="E17" s="229"/>
      <c r="F17" s="229"/>
      <c r="G17" s="219" t="s">
        <v>1487</v>
      </c>
    </row>
    <row r="18" spans="1:7" s="214" customFormat="1" ht="13.5" hidden="1" customHeight="1">
      <c r="A18" s="227" t="s">
        <v>11</v>
      </c>
      <c r="B18" s="215" t="s">
        <v>1489</v>
      </c>
      <c r="C18" s="220">
        <v>0</v>
      </c>
      <c r="D18" s="843"/>
      <c r="E18" s="218"/>
      <c r="F18" s="221">
        <v>3.0499999999999999E-2</v>
      </c>
      <c r="G18" s="219" t="s">
        <v>1490</v>
      </c>
    </row>
    <row r="19" spans="1:7" s="223" customFormat="1" ht="13.5" customHeight="1">
      <c r="A19" s="255" t="s">
        <v>1491</v>
      </c>
      <c r="B19" s="210" t="s">
        <v>1492</v>
      </c>
      <c r="C19" s="211" t="str">
        <f>IF(G19="已包含在土地取得成本中","0",ROUND(D19*E19/10000,0))</f>
        <v>0</v>
      </c>
      <c r="D19" s="845">
        <f ca="1">D9+D10</f>
        <v>24230.799999999999</v>
      </c>
      <c r="E19" s="211">
        <f>'数据-取费表'!B31</f>
        <v>200</v>
      </c>
      <c r="F19" s="231"/>
      <c r="G19" s="1852" t="s">
        <v>3402</v>
      </c>
    </row>
    <row r="20" spans="1:7" s="214" customFormat="1" ht="13.5" customHeight="1">
      <c r="A20" s="255" t="s">
        <v>1493</v>
      </c>
      <c r="B20" s="210" t="s">
        <v>1494</v>
      </c>
      <c r="C20" s="232">
        <f ca="1">ROUND((C5+C19)*F20,0)</f>
        <v>289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1025</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6" t="s">
        <v>1502</v>
      </c>
      <c r="B23" s="215" t="s">
        <v>1503</v>
      </c>
      <c r="C23" s="1101">
        <f ca="1">ROUND(IF('数据-取费表'!B22&lt;=1,C5*F22*'数据-取费表'!B23,C5*(POWER((1+F22),'数据-取费表'!B23)-1)),0)</f>
        <v>1015</v>
      </c>
      <c r="D23" s="238"/>
      <c r="E23" s="238"/>
      <c r="F23" s="239"/>
      <c r="G23" s="240" t="s">
        <v>1504</v>
      </c>
    </row>
    <row r="24" spans="1:7" s="214" customFormat="1" ht="13.5" customHeight="1">
      <c r="A24" s="776"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6" t="s">
        <v>1508</v>
      </c>
      <c r="B25" s="215" t="s">
        <v>1509</v>
      </c>
      <c r="C25" s="1101">
        <f ca="1">ROUND(IF('数据-取费表'!B22&lt;=1,C20*F22*'数据-取费表'!B23/2,C20*(POWER((1+F22),'数据-取费表'!B23/2)-1)),0)</f>
        <v>10</v>
      </c>
      <c r="D25" s="238"/>
      <c r="E25" s="241"/>
      <c r="F25" s="239"/>
      <c r="G25" s="242" t="s">
        <v>1510</v>
      </c>
    </row>
    <row r="26" spans="1:7" s="214" customFormat="1">
      <c r="A26" s="776"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2949</v>
      </c>
      <c r="D27" s="235">
        <f ca="1">C29</f>
        <v>4.0000000000000001E-3</v>
      </c>
      <c r="E27" s="236" t="s">
        <v>1514</v>
      </c>
      <c r="F27" s="246">
        <f ca="1">IF(B1="",'数据-取费表'!Q16,INDIRECT("'数据-取费表'!q"&amp;$G$1))</f>
        <v>0.2</v>
      </c>
      <c r="G27" s="247" t="s">
        <v>1515</v>
      </c>
    </row>
    <row r="28" spans="1:7" s="214" customFormat="1" ht="13.5" customHeight="1">
      <c r="A28" s="776" t="s">
        <v>346</v>
      </c>
      <c r="B28" s="248" t="s">
        <v>1516</v>
      </c>
      <c r="C28" s="249">
        <f ca="1">ROUND((C5+C19+C20)*F27*'数据-取费表'!B21/'数据-取费表'!B20,0)</f>
        <v>2949</v>
      </c>
      <c r="D28" s="235"/>
      <c r="E28" s="236"/>
      <c r="F28" s="246"/>
      <c r="G28" s="247"/>
    </row>
    <row r="29" spans="1:7" s="214" customFormat="1" ht="13.5" customHeight="1">
      <c r="A29" s="776"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20283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18634</v>
      </c>
      <c r="D33" s="232"/>
      <c r="E33" s="212"/>
      <c r="F33" s="241"/>
      <c r="G33" s="234"/>
    </row>
    <row r="34" spans="1:7" s="258" customFormat="1" ht="13.5" customHeight="1">
      <c r="A34" s="776" t="s">
        <v>346</v>
      </c>
      <c r="B34" s="215" t="s">
        <v>1525</v>
      </c>
      <c r="C34" s="220">
        <f ca="1">IF(B1="",IF(F34=100%,'数据-取费表'!M16,'数据-取费表'!O16),IF(F34=100%,INDIRECT("'数据-取费表'!m"&amp;$G$1)+INDIRECT("'数据-取费表'!t"&amp;$G$1),INDIRECT("'数据-取费表'!o"&amp;$G$1)+INDIRECT("'数据-取费表'!aq"&amp;$G$1)))</f>
        <v>16962</v>
      </c>
      <c r="D34" s="217"/>
      <c r="E34" s="220"/>
      <c r="F34" s="257">
        <f ca="1">IF('数据-取费表'!B24=0,1,IF(B1="",'数据-取费表'!N16,INDIRECT("'数据-取费表'!n"&amp;$G$1)))</f>
        <v>1</v>
      </c>
      <c r="G34" s="219" t="s">
        <v>1526</v>
      </c>
    </row>
    <row r="35" spans="1:7" ht="13.5" customHeight="1">
      <c r="A35" s="776" t="s">
        <v>351</v>
      </c>
      <c r="B35" s="215" t="s">
        <v>1527</v>
      </c>
      <c r="C35" s="220">
        <f ca="1">ROUND(C34*F35,0)</f>
        <v>848</v>
      </c>
      <c r="D35" s="220"/>
      <c r="E35" s="220"/>
      <c r="F35" s="259">
        <f>'数据-取费表'!B33</f>
        <v>0.05</v>
      </c>
      <c r="G35" s="219" t="s">
        <v>1528</v>
      </c>
    </row>
    <row r="36" spans="1:7" ht="24">
      <c r="A36" s="776"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6" t="s">
        <v>353</v>
      </c>
      <c r="B37" s="215" t="s">
        <v>1531</v>
      </c>
      <c r="C37" s="249">
        <f ca="1">ROUND(E37*D37*F34/10000,0)</f>
        <v>485</v>
      </c>
      <c r="D37" s="217">
        <f ca="1">D19</f>
        <v>24230.799999999999</v>
      </c>
      <c r="E37" s="249">
        <f>'数据-取费表'!B35</f>
        <v>200</v>
      </c>
      <c r="F37" s="259"/>
      <c r="G37" s="261" t="s">
        <v>1532</v>
      </c>
    </row>
    <row r="38" spans="1:7" ht="13.5" customHeight="1">
      <c r="A38" s="776" t="s">
        <v>354</v>
      </c>
      <c r="B38" s="215" t="s">
        <v>1533</v>
      </c>
      <c r="C38" s="220">
        <f ca="1">ROUND(C34*F38,0)</f>
        <v>339</v>
      </c>
      <c r="D38" s="220"/>
      <c r="E38" s="220"/>
      <c r="F38" s="259">
        <f>'数据-取费表'!B36</f>
        <v>0.02</v>
      </c>
      <c r="G38" s="219" t="s">
        <v>1528</v>
      </c>
    </row>
    <row r="39" spans="1:7" s="214" customFormat="1" ht="13.5" customHeight="1">
      <c r="A39" s="255" t="s">
        <v>1534</v>
      </c>
      <c r="B39" s="210" t="s">
        <v>1535</v>
      </c>
      <c r="C39" s="232">
        <f ca="1">ROUND(C33*F20,0)</f>
        <v>373</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656</v>
      </c>
      <c r="D41" s="235">
        <f ca="1">C44</f>
        <v>6.9999999999999999E-4</v>
      </c>
      <c r="E41" s="236" t="s">
        <v>1539</v>
      </c>
      <c r="F41" s="237">
        <f ca="1">F22</f>
        <v>3.4500000000000003E-2</v>
      </c>
      <c r="G41" s="234" t="str">
        <f>IF('数据-取费表'!B22&lt;=1,"单利计息","复利计息")</f>
        <v>复利计息</v>
      </c>
    </row>
    <row r="42" spans="1:7" ht="13.5" customHeight="1">
      <c r="A42" s="776" t="s">
        <v>346</v>
      </c>
      <c r="B42" s="215" t="s">
        <v>1543</v>
      </c>
      <c r="C42" s="238">
        <f ca="1">ROUND(IF('数据-取费表'!B22&lt;=1,C33*F22*'数据-取费表'!B21/2,C33*(POWER((1+F22),'数据-取费表'!B21/2)-1)),0)</f>
        <v>643</v>
      </c>
      <c r="D42" s="238"/>
      <c r="E42" s="238"/>
      <c r="F42" s="239"/>
      <c r="G42" s="3629" t="s">
        <v>1544</v>
      </c>
    </row>
    <row r="43" spans="1:7" ht="13.5" customHeight="1">
      <c r="A43" s="776" t="s">
        <v>347</v>
      </c>
      <c r="B43" s="215" t="s">
        <v>1545</v>
      </c>
      <c r="C43" s="238">
        <f ca="1">ROUND(IF('数据-取费表'!B22&lt;=1,C39*F22*'数据-取费表'!B21/2,C39*(POWER((1+F22),'数据-取费表'!B21/2)-1)),0)</f>
        <v>13</v>
      </c>
      <c r="D43" s="238"/>
      <c r="E43" s="238"/>
      <c r="F43" s="239"/>
      <c r="G43" s="3630"/>
    </row>
    <row r="44" spans="1:7" ht="13.5" customHeight="1">
      <c r="A44" s="776" t="s">
        <v>348</v>
      </c>
      <c r="B44" s="215" t="s">
        <v>1546</v>
      </c>
      <c r="C44" s="238">
        <f ca="1">ROUND(IF('数据-取费表'!B22&lt;=1,C40*F22*'数据-取费表'!B21/2,C40*(POWER((1+F22),'数据-取费表'!B21/2)-1)),4)</f>
        <v>6.9999999999999999E-4</v>
      </c>
      <c r="D44" s="238"/>
      <c r="E44" s="238"/>
      <c r="F44" s="239"/>
      <c r="G44" s="3631"/>
    </row>
    <row r="45" spans="1:7" s="214" customFormat="1" ht="13.5" customHeight="1">
      <c r="A45" s="255" t="s">
        <v>1547</v>
      </c>
      <c r="B45" s="244" t="s">
        <v>1513</v>
      </c>
      <c r="C45" s="245">
        <f ca="1">C46</f>
        <v>3801</v>
      </c>
      <c r="D45" s="235">
        <f ca="1">C47</f>
        <v>4.0000000000000001E-3</v>
      </c>
      <c r="E45" s="236" t="s">
        <v>1539</v>
      </c>
      <c r="F45" s="246">
        <f ca="1">F27</f>
        <v>0.2</v>
      </c>
      <c r="G45" s="247" t="s">
        <v>1548</v>
      </c>
    </row>
    <row r="46" spans="1:7" s="214" customFormat="1" ht="13.5" customHeight="1">
      <c r="A46" s="776" t="s">
        <v>346</v>
      </c>
      <c r="B46" s="248" t="s">
        <v>1549</v>
      </c>
      <c r="C46" s="249">
        <f ca="1">ROUND((C33+C39)*F27,0)</f>
        <v>3801</v>
      </c>
      <c r="D46" s="263"/>
      <c r="E46" s="236"/>
      <c r="F46" s="246"/>
      <c r="G46" s="247"/>
    </row>
    <row r="47" spans="1:7" s="214" customFormat="1" ht="13.5" customHeight="1">
      <c r="A47" s="776" t="s">
        <v>347</v>
      </c>
      <c r="B47" s="248" t="s">
        <v>1550</v>
      </c>
      <c r="C47" s="238">
        <f ca="1">ROUND(C40*F27,4)</f>
        <v>4.0000000000000001E-3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25424</v>
      </c>
      <c r="D49" s="232"/>
      <c r="E49" s="232"/>
      <c r="F49" s="264"/>
      <c r="G49" s="234" t="s">
        <v>1554</v>
      </c>
    </row>
    <row r="50" spans="1:7" s="258" customFormat="1" ht="24">
      <c r="A50" s="255" t="s">
        <v>1555</v>
      </c>
      <c r="B50" s="210" t="s">
        <v>1556</v>
      </c>
      <c r="C50" s="232"/>
      <c r="D50" s="232"/>
      <c r="E50" s="232"/>
      <c r="F50" s="264">
        <f>IF('数据-取费表'!B24=0,'数据-取费表'!N16,1)</f>
        <v>0.69</v>
      </c>
      <c r="G50" s="247" t="s">
        <v>1557</v>
      </c>
    </row>
    <row r="51" spans="1:7" ht="16.5" customHeight="1">
      <c r="A51" s="255" t="s">
        <v>1558</v>
      </c>
      <c r="B51" s="210" t="s">
        <v>1559</v>
      </c>
      <c r="C51" s="232">
        <f ca="1">ROUND(C49*F50,0)</f>
        <v>17543</v>
      </c>
      <c r="D51" s="232"/>
      <c r="E51" s="232"/>
      <c r="F51" s="264"/>
      <c r="G51" s="234" t="s">
        <v>1560</v>
      </c>
    </row>
    <row r="52" spans="1:7" s="208" customFormat="1" ht="16.5" thickBot="1">
      <c r="A52" s="265" t="s">
        <v>1561</v>
      </c>
      <c r="B52" s="266"/>
      <c r="C52" s="267">
        <f ca="1">C31+C51</f>
        <v>37826</v>
      </c>
      <c r="D52" s="266"/>
      <c r="E52" s="266"/>
      <c r="F52" s="266"/>
      <c r="G52" s="268"/>
    </row>
    <row r="55" spans="1:7" ht="15">
      <c r="B55" s="270" t="s">
        <v>1562</v>
      </c>
      <c r="C55" s="271"/>
    </row>
    <row r="56" spans="1:7">
      <c r="B56" s="273" t="s">
        <v>802</v>
      </c>
      <c r="C56" s="275">
        <f ca="1">1-C57</f>
        <v>0.53600000000000003</v>
      </c>
    </row>
    <row r="57" spans="1:7">
      <c r="B57" s="273" t="s">
        <v>803</v>
      </c>
      <c r="C57" s="274">
        <f ca="1">ROUND(C51/C52,3)</f>
        <v>0.46400000000000002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46" t="str">
        <f>项目基本情况!B1</f>
        <v>北京市房地产抵押价值预评估</v>
      </c>
      <c r="C37" s="3446"/>
      <c r="D37" s="3446"/>
      <c r="E37" s="3446"/>
      <c r="F37" s="3446"/>
      <c r="G37" s="3446"/>
      <c r="H37" s="3446"/>
      <c r="I37" s="3446"/>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60" sqref="I6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t="s">
        <v>3388</v>
      </c>
      <c r="C1" s="1855" t="s">
        <v>1563</v>
      </c>
      <c r="D1" s="198"/>
      <c r="E1" s="198"/>
      <c r="F1" s="198"/>
      <c r="G1" s="1122" t="e">
        <f>MATCH(B1,'数据-取费表'!A6:A16,0)+5</f>
        <v>#N/A</v>
      </c>
      <c r="H1" s="1057" t="str">
        <f>IF(ISERROR(FIND("住宅",B1)),"非住宅","住宅")</f>
        <v>非住宅</v>
      </c>
    </row>
    <row r="2" spans="1:8" s="200" customFormat="1" ht="18" customHeight="1">
      <c r="A2" s="201" t="s">
        <v>1462</v>
      </c>
      <c r="B2" s="3420" t="e">
        <f ca="1">ROUND(IF(D2="——",C52/10000,C52/10000-E2),4)</f>
        <v>#N/A</v>
      </c>
      <c r="C2" s="199" t="s">
        <v>1463</v>
      </c>
      <c r="D2" s="1849" t="s">
        <v>43</v>
      </c>
      <c r="E2" s="1165" t="e">
        <f ca="1">SUMIF(INDIRECT("'"&amp;G2&amp;"'"&amp;"!A:A"),"承租人权益价值",INDIRECT("'"&amp;G2&amp;"'"&amp;"!c:c"))</f>
        <v>#REF!</v>
      </c>
      <c r="F2" s="1850" t="s">
        <v>1463</v>
      </c>
      <c r="G2" s="1851"/>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4" t="s">
        <v>1472</v>
      </c>
      <c r="B6" s="215" t="s">
        <v>1473</v>
      </c>
      <c r="C6" s="216">
        <f>ROUND(基准地价修正!T2*基准地价修正!U2,0)</f>
        <v>199680090</v>
      </c>
      <c r="D6" s="217"/>
      <c r="E6" s="218"/>
      <c r="F6" s="218"/>
      <c r="G6" s="219"/>
    </row>
    <row r="7" spans="1:8" s="214" customFormat="1" ht="13.5" customHeight="1">
      <c r="A7" s="774" t="s">
        <v>1474</v>
      </c>
      <c r="B7" s="215" t="s">
        <v>1475</v>
      </c>
      <c r="C7" s="220">
        <f>ROUND(C6*F7,0)</f>
        <v>6090243</v>
      </c>
      <c r="D7" s="220"/>
      <c r="E7" s="218"/>
      <c r="F7" s="221">
        <f>IF(项目基本情况!B8="出让",0,'数据-取费表'!B48+'数据-取费表'!B49)</f>
        <v>3.0499999999999999E-2</v>
      </c>
      <c r="G7" s="219"/>
    </row>
    <row r="8" spans="1:8" s="223" customFormat="1">
      <c r="A8" s="774" t="s">
        <v>1476</v>
      </c>
      <c r="B8" s="215" t="s">
        <v>1477</v>
      </c>
      <c r="C8" s="220" t="e">
        <f ca="1">IF(G8="已包含在土地购买价格中",0,C9+C10)</f>
        <v>#N/A</v>
      </c>
      <c r="D8" s="222"/>
      <c r="E8" s="220"/>
      <c r="F8" s="221"/>
      <c r="G8" s="1852" t="s">
        <v>3401</v>
      </c>
    </row>
    <row r="9" spans="1:8" s="214" customFormat="1" ht="13.5" customHeight="1">
      <c r="A9" s="775" t="s">
        <v>355</v>
      </c>
      <c r="B9" s="224" t="s">
        <v>1478</v>
      </c>
      <c r="C9" s="225" t="e">
        <f ca="1">ROUND(D9*E9,0)</f>
        <v>#N/A</v>
      </c>
      <c r="D9" s="841" t="e">
        <f ca="1">IF(B1="",'数据-汇总表'!E5,IF(INDIRECT("'数据-取费表'!c"&amp;$G$1)="住宅",INDIRECT("'数据-取费表'!k"&amp;$G$1),0))</f>
        <v>#N/A</v>
      </c>
      <c r="E9" s="225">
        <f>'数据-取费表'!B27</f>
        <v>150</v>
      </c>
      <c r="F9" s="221"/>
      <c r="G9" s="226"/>
    </row>
    <row r="10" spans="1:8" s="214" customFormat="1" ht="13.5" customHeight="1">
      <c r="A10" s="775" t="s">
        <v>356</v>
      </c>
      <c r="B10" s="224" t="s">
        <v>1480</v>
      </c>
      <c r="C10" s="225" t="e">
        <f ca="1">ROUND(D10*E10,0)</f>
        <v>#N/A</v>
      </c>
      <c r="D10" s="841" t="e">
        <f ca="1">IF(B1="",'数据-汇总表'!E6,IF(INDIRECT("'数据-取费表'!c"&amp;$G$1)="住宅",INDIRECT("'数据-取费表'!s"&amp;$G$1),INDIRECT("'数据-取费表'!k"&amp;$G$1)+INDIRECT("'数据-取费表'!s"&amp;$G$1)))</f>
        <v>#N/A</v>
      </c>
      <c r="E10" s="225">
        <f>'数据-取费表'!B28</f>
        <v>190</v>
      </c>
      <c r="F10" s="221"/>
      <c r="G10" s="226"/>
    </row>
    <row r="11" spans="1:8" s="214" customFormat="1" ht="13.5" hidden="1" customHeight="1">
      <c r="A11" s="227" t="s">
        <v>4</v>
      </c>
      <c r="B11" s="215" t="s">
        <v>1481</v>
      </c>
      <c r="C11" s="211"/>
      <c r="D11" s="843"/>
      <c r="E11" s="218"/>
      <c r="F11" s="218"/>
      <c r="G11" s="219"/>
    </row>
    <row r="12" spans="1:8" s="214" customFormat="1" ht="13.5" hidden="1" customHeight="1">
      <c r="A12" s="227" t="s">
        <v>5</v>
      </c>
      <c r="B12" s="215" t="s">
        <v>1564</v>
      </c>
      <c r="C12" s="211">
        <v>0</v>
      </c>
      <c r="D12" s="843"/>
      <c r="E12" s="228"/>
      <c r="F12" s="221">
        <v>3.0499999999999999E-2</v>
      </c>
      <c r="G12" s="219"/>
    </row>
    <row r="13" spans="1:8" s="214" customFormat="1" ht="13.5" hidden="1" customHeight="1">
      <c r="A13" s="227" t="s">
        <v>6</v>
      </c>
      <c r="B13" s="215" t="s">
        <v>1565</v>
      </c>
      <c r="C13" s="211"/>
      <c r="D13" s="843"/>
      <c r="E13" s="218"/>
      <c r="F13" s="218"/>
      <c r="G13" s="219"/>
    </row>
    <row r="14" spans="1:8" s="214" customFormat="1" ht="13.5" hidden="1" customHeight="1">
      <c r="A14" s="227" t="s">
        <v>7</v>
      </c>
      <c r="B14" s="215" t="s">
        <v>1477</v>
      </c>
      <c r="C14" s="211"/>
      <c r="D14" s="843"/>
      <c r="E14" s="218"/>
      <c r="F14" s="218"/>
      <c r="G14" s="219" t="s">
        <v>1566</v>
      </c>
    </row>
    <row r="15" spans="1:8" s="214" customFormat="1" ht="13.5" hidden="1" customHeight="1">
      <c r="A15" s="227" t="s">
        <v>8</v>
      </c>
      <c r="B15" s="215" t="s">
        <v>1567</v>
      </c>
      <c r="C15" s="220"/>
      <c r="D15" s="843"/>
      <c r="E15" s="218"/>
      <c r="F15" s="218"/>
      <c r="G15" s="219" t="s">
        <v>1568</v>
      </c>
    </row>
    <row r="16" spans="1:8" s="214" customFormat="1" ht="13.5" hidden="1" customHeight="1">
      <c r="A16" s="227" t="s">
        <v>9</v>
      </c>
      <c r="B16" s="215" t="s">
        <v>1477</v>
      </c>
      <c r="C16" s="220"/>
      <c r="D16" s="843"/>
      <c r="E16" s="218"/>
      <c r="F16" s="218"/>
      <c r="G16" s="219"/>
    </row>
    <row r="17" spans="1:7" s="214" customFormat="1" ht="13.5" hidden="1" customHeight="1">
      <c r="A17" s="227" t="s">
        <v>10</v>
      </c>
      <c r="B17" s="215" t="s">
        <v>1569</v>
      </c>
      <c r="C17" s="229"/>
      <c r="D17" s="844"/>
      <c r="E17" s="229"/>
      <c r="F17" s="229"/>
      <c r="G17" s="219" t="s">
        <v>1568</v>
      </c>
    </row>
    <row r="18" spans="1:7" s="214" customFormat="1" ht="13.5" hidden="1" customHeight="1">
      <c r="A18" s="227" t="s">
        <v>11</v>
      </c>
      <c r="B18" s="215" t="s">
        <v>1570</v>
      </c>
      <c r="C18" s="220">
        <v>0</v>
      </c>
      <c r="D18" s="843"/>
      <c r="E18" s="218"/>
      <c r="F18" s="221">
        <v>3.0499999999999999E-2</v>
      </c>
      <c r="G18" s="219" t="s">
        <v>1571</v>
      </c>
    </row>
    <row r="19" spans="1:7" s="223" customFormat="1" ht="13.5" customHeight="1">
      <c r="A19" s="255" t="s">
        <v>1572</v>
      </c>
      <c r="B19" s="210" t="s">
        <v>1573</v>
      </c>
      <c r="C19" s="211" t="str">
        <f>IF(G19="已包含在土地取得成本中","0",ROUND(D19*E19,0))</f>
        <v>0</v>
      </c>
      <c r="D19" s="845" t="e">
        <f ca="1">D9+D10</f>
        <v>#N/A</v>
      </c>
      <c r="E19" s="211">
        <f>'数据-取费表'!B31</f>
        <v>200</v>
      </c>
      <c r="F19" s="231"/>
      <c r="G19" s="1852" t="s">
        <v>3402</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6" t="s">
        <v>1472</v>
      </c>
      <c r="B23" s="215" t="s">
        <v>1583</v>
      </c>
      <c r="C23" s="1124" t="e">
        <f ca="1">ROUND(IF('数据-取费表'!B22&lt;=1,C5*F22*'数据-取费表'!B22,C5*(POWER((1+F22),'数据-取费表'!B22)-1)),0)</f>
        <v>#N/A</v>
      </c>
      <c r="D23" s="238"/>
      <c r="E23" s="238"/>
      <c r="F23" s="239"/>
      <c r="G23" s="240" t="s">
        <v>1584</v>
      </c>
    </row>
    <row r="24" spans="1:7" s="214" customFormat="1" ht="13.5" customHeight="1">
      <c r="A24" s="776"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6" t="s">
        <v>1476</v>
      </c>
      <c r="B25" s="215" t="s">
        <v>1587</v>
      </c>
      <c r="C25" s="1124" t="e">
        <f ca="1">ROUND(IF('数据-取费表'!B22&lt;=1,C20*F22*'数据-取费表'!B22/2,C20*(POWER((1+F22),'数据-取费表'!B22/2)-1)),0)</f>
        <v>#N/A</v>
      </c>
      <c r="D25" s="238"/>
      <c r="E25" s="241"/>
      <c r="F25" s="239"/>
      <c r="G25" s="242" t="s">
        <v>1588</v>
      </c>
    </row>
    <row r="26" spans="1:7" s="214" customFormat="1">
      <c r="A26" s="776"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6" t="s">
        <v>346</v>
      </c>
      <c r="B28" s="248" t="s">
        <v>1516</v>
      </c>
      <c r="C28" s="249" t="e">
        <f ca="1">ROUND((C5+C19+C20)*F27,0)</f>
        <v>#N/A</v>
      </c>
      <c r="D28" s="235"/>
      <c r="E28" s="236"/>
      <c r="F28" s="246"/>
      <c r="G28" s="247"/>
    </row>
    <row r="29" spans="1:7" s="214" customFormat="1" ht="13.5" customHeight="1">
      <c r="A29" s="776"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6"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6" t="s">
        <v>351</v>
      </c>
      <c r="B35" s="215" t="s">
        <v>1527</v>
      </c>
      <c r="C35" s="220" t="e">
        <f ca="1">ROUND(C34*F35,0)</f>
        <v>#N/A</v>
      </c>
      <c r="D35" s="220"/>
      <c r="E35" s="220"/>
      <c r="F35" s="259">
        <f>'数据-取费表'!B33</f>
        <v>0.05</v>
      </c>
      <c r="G35" s="219" t="s">
        <v>1528</v>
      </c>
    </row>
    <row r="36" spans="1:7" ht="24">
      <c r="A36" s="776"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76" t="s">
        <v>353</v>
      </c>
      <c r="B37" s="215" t="s">
        <v>1531</v>
      </c>
      <c r="C37" s="249" t="e">
        <f ca="1">ROUND(E37*D37,0)</f>
        <v>#N/A</v>
      </c>
      <c r="D37" s="217" t="e">
        <f ca="1">D19</f>
        <v>#N/A</v>
      </c>
      <c r="E37" s="249">
        <f>'数据-取费表'!B35</f>
        <v>200</v>
      </c>
      <c r="F37" s="259"/>
      <c r="G37" s="261"/>
    </row>
    <row r="38" spans="1:7" ht="13.5" customHeight="1">
      <c r="A38" s="776" t="s">
        <v>354</v>
      </c>
      <c r="B38" s="215" t="s">
        <v>1533</v>
      </c>
      <c r="C38" s="220" t="e">
        <f ca="1">ROUND(C34*F38,0)</f>
        <v>#N/A</v>
      </c>
      <c r="D38" s="220"/>
      <c r="E38" s="220"/>
      <c r="F38" s="259">
        <f>'数据-取费表'!B36</f>
        <v>0.02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6" t="s">
        <v>346</v>
      </c>
      <c r="B42" s="215" t="s">
        <v>1543</v>
      </c>
      <c r="C42" s="238" t="e">
        <f ca="1">ROUND(IF('数据-取费表'!B22&lt;=1,C33*F22*'数据-取费表'!B20/2,C33*(POWER((1+F22),'数据-取费表'!B20/2)-1)),0)</f>
        <v>#N/A</v>
      </c>
      <c r="D42" s="238"/>
      <c r="E42" s="238"/>
      <c r="F42" s="239"/>
      <c r="G42" s="3629" t="s">
        <v>1591</v>
      </c>
    </row>
    <row r="43" spans="1:7" ht="13.5" customHeight="1">
      <c r="A43" s="776" t="s">
        <v>347</v>
      </c>
      <c r="B43" s="215" t="s">
        <v>1545</v>
      </c>
      <c r="C43" s="238" t="e">
        <f ca="1">ROUND(IF('数据-取费表'!B22&lt;=1,C39*F22*'数据-取费表'!B20/2,C39*(POWER((1+F22),'数据-取费表'!B20/2)-1)),0)</f>
        <v>#N/A</v>
      </c>
      <c r="D43" s="238"/>
      <c r="E43" s="238"/>
      <c r="F43" s="239"/>
      <c r="G43" s="3630"/>
    </row>
    <row r="44" spans="1:7" ht="13.5" customHeight="1">
      <c r="A44" s="776" t="s">
        <v>348</v>
      </c>
      <c r="B44" s="215" t="s">
        <v>1546</v>
      </c>
      <c r="C44" s="238">
        <f ca="1">ROUND(IF('数据-取费表'!B22&lt;=1,C40*F22*'数据-取费表'!B20/2,C40*(POWER((1+F22),'数据-取费表'!B20/2)-1)),4)</f>
        <v>6.9999999999999999E-4</v>
      </c>
      <c r="D44" s="238"/>
      <c r="E44" s="238"/>
      <c r="F44" s="239"/>
      <c r="G44" s="3631"/>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6" t="s">
        <v>346</v>
      </c>
      <c r="B46" s="248" t="s">
        <v>1549</v>
      </c>
      <c r="C46" s="249" t="e">
        <f ca="1">ROUND((C33+C39)*F27,0)</f>
        <v>#N/A</v>
      </c>
      <c r="D46" s="263"/>
      <c r="E46" s="236"/>
      <c r="F46" s="246"/>
      <c r="G46" s="247"/>
    </row>
    <row r="47" spans="1:7" s="214" customFormat="1" ht="13.5" customHeight="1">
      <c r="A47" s="776"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0.69</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3388</v>
      </c>
      <c r="D1" s="1358" t="s">
        <v>43</v>
      </c>
      <c r="E1" s="1359" t="s">
        <v>678</v>
      </c>
      <c r="F1" s="1058" t="e">
        <f ca="1">J53</f>
        <v>#N/A</v>
      </c>
      <c r="G1" s="1374" t="e">
        <f>MATCH(C1,'数据-取费表'!A6:A16,0)+5</f>
        <v>#N/A</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21" t="e">
        <f ca="1">ROUND(D2/10000,4)</f>
        <v>#N/A</v>
      </c>
      <c r="C2" s="1383" t="s">
        <v>879</v>
      </c>
      <c r="D2" s="1467" t="e">
        <f ca="1">C40+J29+L46</f>
        <v>#N/A</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t="e">
        <f ca="1">C6+C10+C12</f>
        <v>#N/A</v>
      </c>
      <c r="D5" s="1360" t="s">
        <v>889</v>
      </c>
      <c r="E5" s="1067"/>
      <c r="F5" s="1068"/>
      <c r="G5" s="1380"/>
      <c r="H5" s="299">
        <v>1</v>
      </c>
      <c r="I5" s="300" t="s">
        <v>888</v>
      </c>
      <c r="J5" s="1066" t="e">
        <f ca="1">J6+J10+J12</f>
        <v>#N/A</v>
      </c>
      <c r="K5" s="1360" t="s">
        <v>889</v>
      </c>
      <c r="L5" s="1067"/>
      <c r="M5" s="1068"/>
    </row>
    <row r="6" spans="1:37" ht="18" customHeight="1">
      <c r="A6" s="1065" t="s">
        <v>398</v>
      </c>
      <c r="B6" s="3632" t="s">
        <v>694</v>
      </c>
      <c r="C6" s="1070" t="e">
        <f ca="1">ROUND(F6*F8*F7*(1-F9),0)</f>
        <v>#N/A</v>
      </c>
      <c r="D6" s="155" t="s">
        <v>2106</v>
      </c>
      <c r="E6" s="302" t="s">
        <v>696</v>
      </c>
      <c r="F6" s="303" t="e">
        <f ca="1">INDIRECT("'数据-取费表'!u"&amp;$G$1)</f>
        <v>#N/A</v>
      </c>
      <c r="G6" s="1380"/>
      <c r="H6" s="1065" t="s">
        <v>398</v>
      </c>
      <c r="I6" s="3632" t="s">
        <v>694</v>
      </c>
      <c r="J6" s="301" t="e">
        <f ca="1">ROUND(M6*M8*M7*(1-M9),0)</f>
        <v>#N/A</v>
      </c>
      <c r="K6" s="1372" t="s">
        <v>2107</v>
      </c>
      <c r="L6" s="302" t="s">
        <v>696</v>
      </c>
      <c r="M6" s="303" t="e">
        <f ca="1">INDIRECT("'数据-取费表'!z"&amp;$G$1)</f>
        <v>#N/A</v>
      </c>
    </row>
    <row r="7" spans="1:37" ht="18" customHeight="1">
      <c r="A7" s="1069"/>
      <c r="B7" s="3633"/>
      <c r="C7" s="1071"/>
      <c r="D7" s="307"/>
      <c r="E7" s="1072" t="s">
        <v>697</v>
      </c>
      <c r="F7" s="303" t="e">
        <f ca="1">IF(INDIRECT("'数据-取费表'!ah"&amp;$G$1)="",INDIRECT("'数据-取费表'!k"&amp;$G$1),INDIRECT("'数据-取费表'!ah"&amp;$G$1))</f>
        <v>#N/A</v>
      </c>
      <c r="G7" s="1380"/>
      <c r="H7" s="304"/>
      <c r="I7" s="3633"/>
      <c r="J7" s="306"/>
      <c r="K7" s="307"/>
      <c r="L7" s="302" t="s">
        <v>697</v>
      </c>
      <c r="M7" s="303" t="e">
        <f ca="1">F7</f>
        <v>#N/A</v>
      </c>
    </row>
    <row r="8" spans="1:37" ht="18" customHeight="1">
      <c r="A8" s="304"/>
      <c r="B8" s="3633"/>
      <c r="C8" s="306"/>
      <c r="D8" s="307"/>
      <c r="E8" s="302" t="s">
        <v>698</v>
      </c>
      <c r="F8" s="303" t="e">
        <f ca="1">INDIRECT("'数据-取费表'!ai"&amp;$G$1)</f>
        <v>#N/A</v>
      </c>
      <c r="G8" s="1380"/>
      <c r="H8" s="304"/>
      <c r="I8" s="3633"/>
      <c r="J8" s="306"/>
      <c r="K8" s="307"/>
      <c r="L8" s="302" t="s">
        <v>698</v>
      </c>
      <c r="M8" s="303" t="e">
        <f ca="1">INDIRECT("'数据-取费表'!ai"&amp;$G$1)</f>
        <v>#N/A</v>
      </c>
    </row>
    <row r="9" spans="1:37" ht="18" customHeight="1">
      <c r="A9" s="304"/>
      <c r="B9" s="3634"/>
      <c r="C9" s="306"/>
      <c r="D9" s="307"/>
      <c r="E9" s="302" t="s">
        <v>699</v>
      </c>
      <c r="F9" s="312" t="e">
        <f ca="1">INDIRECT("'数据-取费表'!w"&amp;$G$1)</f>
        <v>#N/A</v>
      </c>
      <c r="G9" s="1380"/>
      <c r="H9" s="304"/>
      <c r="I9" s="3634"/>
      <c r="J9" s="306"/>
      <c r="K9" s="307"/>
      <c r="L9" s="313" t="s">
        <v>699</v>
      </c>
      <c r="M9" s="314" t="e">
        <f ca="1">INDIRECT("'数据-取费表'!ab"&amp;$G$1)</f>
        <v>#N/A</v>
      </c>
    </row>
    <row r="10" spans="1:37" ht="18" customHeight="1">
      <c r="A10" s="1065" t="s">
        <v>402</v>
      </c>
      <c r="B10" s="1361" t="s">
        <v>700</v>
      </c>
      <c r="C10" s="316" t="e">
        <f ca="1">ROUND(IF(F10="押一",C6/12*F11,IF(F10="押二",C6/12*2*F11,IF(F10="押三",C6/12*3*F11,C11*F11))),0)</f>
        <v>#N/A</v>
      </c>
      <c r="D10" s="1362" t="s">
        <v>2116</v>
      </c>
      <c r="E10" s="313" t="s">
        <v>701</v>
      </c>
      <c r="F10" s="1112" t="s">
        <v>3384</v>
      </c>
      <c r="G10" s="1380"/>
      <c r="H10" s="1065" t="s">
        <v>402</v>
      </c>
      <c r="I10" s="1361" t="s">
        <v>700</v>
      </c>
      <c r="J10" s="301">
        <f ca="1">ROUND(IF(M10="押一",J6/12*M11,IF(M10="押二",J6/12*2*M11,IF(M10="押三",J6/12*3*M11,J11*M11))),0)</f>
        <v>0</v>
      </c>
      <c r="K10" s="1373" t="s">
        <v>2118</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t="e">
        <f ca="1">ROUND(C29*F13,0)</f>
        <v>#N/A</v>
      </c>
      <c r="D13" s="1077" t="s">
        <v>705</v>
      </c>
      <c r="E13" s="1077" t="s">
        <v>706</v>
      </c>
      <c r="F13" s="1078" t="e">
        <f ca="1">INDIRECT("'数据-取费表'!y"&amp;$G$1)</f>
        <v>#N/A</v>
      </c>
      <c r="G13" s="1380"/>
      <c r="H13" s="1075">
        <v>2</v>
      </c>
      <c r="I13" s="1076" t="s">
        <v>704</v>
      </c>
      <c r="J13" s="1064" t="e">
        <f ca="1">ROUND(J14*J15,0)</f>
        <v>#N/A</v>
      </c>
      <c r="K13" s="1083" t="s">
        <v>705</v>
      </c>
      <c r="L13" s="1388"/>
      <c r="M13" s="1389"/>
    </row>
    <row r="14" spans="1:37" ht="18" customHeight="1">
      <c r="A14" s="978" t="s">
        <v>397</v>
      </c>
      <c r="B14" s="302" t="s">
        <v>707</v>
      </c>
      <c r="C14" s="318" t="e">
        <f ca="1">ROUND(INDIRECT("'数据-取费表'!l"&amp;$G$1)*F43+'数据-取费表'!L14*INDIRECT("'数据-取费表'!S"&amp;$G$1),0)</f>
        <v>#N/A</v>
      </c>
      <c r="D14" s="1341" t="s">
        <v>708</v>
      </c>
      <c r="E14" s="1338"/>
      <c r="F14" s="319"/>
      <c r="G14" s="1380"/>
      <c r="H14" s="978" t="s">
        <v>398</v>
      </c>
      <c r="I14" s="302" t="s">
        <v>709</v>
      </c>
      <c r="J14" s="21" t="e">
        <f ca="1">C29</f>
        <v>#N/A</v>
      </c>
      <c r="K14" s="12"/>
      <c r="L14" s="803"/>
      <c r="M14" s="804"/>
    </row>
    <row r="15" spans="1:37" s="1393" customFormat="1" ht="18" customHeight="1" thickBot="1">
      <c r="A15" s="978" t="s">
        <v>399</v>
      </c>
      <c r="B15" s="302" t="s">
        <v>710</v>
      </c>
      <c r="C15" s="21" t="e">
        <f ca="1">ROUND(C14*F15,0)</f>
        <v>#N/A</v>
      </c>
      <c r="D15" s="320" t="s">
        <v>711</v>
      </c>
      <c r="E15" s="320" t="s">
        <v>712</v>
      </c>
      <c r="F15" s="321">
        <f>'数据-取费表'!B33</f>
        <v>0.05</v>
      </c>
      <c r="G15" s="1392"/>
      <c r="H15" s="1085" t="s">
        <v>402</v>
      </c>
      <c r="I15" s="1086" t="s">
        <v>706</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t="e">
        <f ca="1">ROUND(INDIRECT("'数据-取费表'!l"&amp;$G$1)*F43*F16,0)</f>
        <v>#N/A</v>
      </c>
      <c r="D16" s="302" t="s">
        <v>711</v>
      </c>
      <c r="E16" s="302" t="s">
        <v>712</v>
      </c>
      <c r="F16" s="322" t="e">
        <f ca="1">IF(INDIRECT("'数据-取费表'!c"&amp;$G$1)="住宅",'数据-取费表'!B34,0)</f>
        <v>#N/A</v>
      </c>
      <c r="G16" s="1380"/>
      <c r="H16" s="1075" t="s">
        <v>393</v>
      </c>
      <c r="I16" s="1076" t="s">
        <v>714</v>
      </c>
      <c r="J16" s="310" t="e">
        <f ca="1">ROUND(J17+J22+J23+J24,0)</f>
        <v>#N/A</v>
      </c>
      <c r="K16" s="1083" t="s">
        <v>715</v>
      </c>
      <c r="L16" s="1084"/>
      <c r="M16" s="1068"/>
    </row>
    <row r="17" spans="1:37" s="1393" customFormat="1" ht="18" customHeight="1">
      <c r="A17" s="978" t="s">
        <v>681</v>
      </c>
      <c r="B17" s="302" t="s">
        <v>716</v>
      </c>
      <c r="C17" s="21" t="e">
        <f ca="1">ROUND(F17*(F43+INDIRECT("'数据-取费表'!S"&amp;$G$1)),0)</f>
        <v>#N/A</v>
      </c>
      <c r="D17" s="302" t="s">
        <v>717</v>
      </c>
      <c r="E17" s="302" t="s">
        <v>718</v>
      </c>
      <c r="F17" s="23">
        <f>'数据-取费表'!B35</f>
        <v>200</v>
      </c>
      <c r="G17" s="1392"/>
      <c r="H17" s="978" t="s">
        <v>398</v>
      </c>
      <c r="I17" s="302" t="s">
        <v>719</v>
      </c>
      <c r="J17" s="2312" t="e">
        <f ca="1">ROUND(IF(AND(项目基本情况!B11="自然人",项目基本情况!B10="北京市"),J6*M17/(1+'数据-取费表'!C42),J18+J19+J20),0)</f>
        <v>#N/A</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t="e">
        <f ca="1">ROUND(C14*F18,0)</f>
        <v>#N/A</v>
      </c>
      <c r="D18" s="302" t="s">
        <v>711</v>
      </c>
      <c r="E18" s="302" t="s">
        <v>712</v>
      </c>
      <c r="F18" s="322">
        <f>'数据-取费表'!B36</f>
        <v>0.02</v>
      </c>
      <c r="G18" s="1392"/>
      <c r="H18" s="978" t="s">
        <v>397</v>
      </c>
      <c r="I18" s="302" t="s">
        <v>723</v>
      </c>
      <c r="J18" s="21" t="e">
        <f ca="1">ROUND(J6*M18/(1+'数据-取费表'!C42),0)</f>
        <v>#N/A</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t="e">
        <f ca="1">SUM(C14:C18)</f>
        <v>#N/A</v>
      </c>
      <c r="D19" s="131" t="s">
        <v>726</v>
      </c>
      <c r="E19" s="1356"/>
      <c r="F19" s="23"/>
      <c r="G19" s="1380"/>
      <c r="H19" s="978" t="s">
        <v>399</v>
      </c>
      <c r="I19" s="302" t="s">
        <v>727</v>
      </c>
      <c r="J19" s="21" t="e">
        <f ca="1">IF(K19="按租金收入计税",ROUND(J6*M19/(1+'数据-取费表'!C42),0),ROUND(C29*M19*0.7,0))</f>
        <v>#N/A</v>
      </c>
      <c r="K19" s="1366" t="s">
        <v>3332</v>
      </c>
      <c r="L19" s="302" t="s">
        <v>712</v>
      </c>
      <c r="M19" s="322">
        <f>IF(K19="按租金收入计税",'数据-取费表'!B51,'数据-取费表'!B50)</f>
        <v>0.12</v>
      </c>
    </row>
    <row r="20" spans="1:37" s="1393" customFormat="1" ht="18" customHeight="1">
      <c r="A20" s="978" t="s">
        <v>402</v>
      </c>
      <c r="B20" s="302" t="s">
        <v>728</v>
      </c>
      <c r="C20" s="21" t="e">
        <f ca="1">ROUND(C19*F20,0)</f>
        <v>#N/A</v>
      </c>
      <c r="D20" s="323" t="s">
        <v>729</v>
      </c>
      <c r="E20" s="302" t="s">
        <v>712</v>
      </c>
      <c r="F20" s="322">
        <f>'数据-取费表'!B37</f>
        <v>0.02</v>
      </c>
      <c r="G20" s="1392"/>
      <c r="H20" s="978" t="s">
        <v>680</v>
      </c>
      <c r="I20" s="155" t="s">
        <v>730</v>
      </c>
      <c r="J20" s="22" t="e">
        <f ca="1">ROUND(M20*M21,0)</f>
        <v>#N/A</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t="e">
        <f ca="1">ROUND(J14*M22,0)</f>
        <v>#N/A</v>
      </c>
      <c r="K22" s="1340" t="s">
        <v>739</v>
      </c>
      <c r="L22" s="302" t="s">
        <v>712</v>
      </c>
      <c r="M22" s="328" t="e">
        <f ca="1">INDIRECT("'数据-取费表'!Ak"&amp;$G$1)</f>
        <v>#N/A</v>
      </c>
    </row>
    <row r="23" spans="1:37" s="1393"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t="e">
        <f ca="1">ROUND(J13*M23,0)</f>
        <v>#N/A</v>
      </c>
      <c r="K23" s="1340" t="s">
        <v>743</v>
      </c>
      <c r="L23" s="302" t="s">
        <v>744</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t="e">
        <f ca="1">ROUND(J5*M24,0)</f>
        <v>#N/A</v>
      </c>
      <c r="K24" s="1088" t="s">
        <v>748</v>
      </c>
      <c r="L24" s="1086" t="s">
        <v>744</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t="e">
        <f ca="1">J5-J16</f>
        <v>#N/A</v>
      </c>
      <c r="K25" s="1091" t="s">
        <v>753</v>
      </c>
      <c r="L25" s="1092"/>
      <c r="M25" s="1093"/>
    </row>
    <row r="26" spans="1:37" ht="18" customHeight="1">
      <c r="A26" s="978" t="s">
        <v>397</v>
      </c>
      <c r="B26" s="302" t="s">
        <v>754</v>
      </c>
      <c r="C26" s="21" t="e">
        <f ca="1">ROUND((C19+C20)*F26,0)</f>
        <v>#N/A</v>
      </c>
      <c r="D26" s="323" t="s">
        <v>755</v>
      </c>
      <c r="E26" s="313" t="s">
        <v>756</v>
      </c>
      <c r="F26" s="312" t="e">
        <f ca="1">INDIRECT("'数据-取费表'!q"&amp;$G$1)</f>
        <v>#N/A</v>
      </c>
      <c r="G26" s="1380"/>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323" t="s">
        <v>761</v>
      </c>
      <c r="E27" s="320"/>
      <c r="F27" s="321"/>
      <c r="G27" s="1380"/>
      <c r="H27" s="304"/>
      <c r="I27" s="305"/>
      <c r="J27" s="306"/>
      <c r="K27" s="332" t="s">
        <v>762</v>
      </c>
      <c r="L27" s="302" t="s">
        <v>763</v>
      </c>
      <c r="M27" s="333" t="e">
        <f ca="1">INDIRECT("'数据-取费表'!ag"&amp;$G$1)</f>
        <v>#N/A</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t="e">
        <f ca="1">ROUND((C19+C20+C23+C26)/(1-F21-C24-C27-C28),0)</f>
        <v>#N/A</v>
      </c>
      <c r="D29" s="1088"/>
      <c r="E29" s="1086"/>
      <c r="F29" s="1089"/>
      <c r="G29" s="1392"/>
      <c r="H29" s="334" t="s">
        <v>396</v>
      </c>
      <c r="I29" s="335" t="s">
        <v>768</v>
      </c>
      <c r="J29" s="336" t="e">
        <f ca="1">ROUND(J26/(1+F40)^F41,0)</f>
        <v>#N/A</v>
      </c>
      <c r="K29" s="337" t="s">
        <v>769</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t="e">
        <f ca="1">ROUND(C31+C36+C37+C38,0)</f>
        <v>#N/A</v>
      </c>
      <c r="D30" s="1083" t="s">
        <v>715</v>
      </c>
      <c r="E30" s="1084"/>
      <c r="F30" s="1068"/>
      <c r="G30" s="1380"/>
      <c r="H30" s="2693"/>
      <c r="I30" s="1394"/>
      <c r="J30" s="1395"/>
      <c r="K30" s="2471"/>
      <c r="L30" s="2694"/>
      <c r="M30" s="2695"/>
    </row>
    <row r="31" spans="1:37" ht="18" customHeight="1">
      <c r="A31" s="978" t="s">
        <v>398</v>
      </c>
      <c r="B31" s="302" t="s">
        <v>719</v>
      </c>
      <c r="C31" s="2312" t="e">
        <f ca="1">ROUND(IF(AND(项目基本情况!B11="自然人",项目基本情况!B10="北京市"),C6*F31/(1+'数据-取费表'!C42),C32+C33+C34),0)</f>
        <v>#N/A</v>
      </c>
      <c r="D31" s="1341" t="s">
        <v>720</v>
      </c>
      <c r="E31" s="1340"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2" t="s">
        <v>723</v>
      </c>
      <c r="C32" s="21" t="e">
        <f ca="1">IF(项目基本情况!B11="自然人","——",ROUND(C6*F32/(1+'数据-取费表'!C42),0))</f>
        <v>#N/A</v>
      </c>
      <c r="D32" s="1340" t="s">
        <v>724</v>
      </c>
      <c r="E32" s="302" t="s">
        <v>712</v>
      </c>
      <c r="F32" s="331">
        <f>'数据-取费表'!B41</f>
        <v>5.5000000000000007E-2</v>
      </c>
      <c r="G32" s="1380"/>
      <c r="H32" s="2693"/>
      <c r="I32" s="1394"/>
      <c r="J32" s="1395"/>
      <c r="K32" s="2471"/>
      <c r="L32" s="2694"/>
      <c r="M32" s="2695"/>
    </row>
    <row r="33" spans="1:18" ht="18" customHeight="1">
      <c r="A33" s="978" t="s">
        <v>399</v>
      </c>
      <c r="B33" s="302" t="s">
        <v>727</v>
      </c>
      <c r="C33" s="21" t="e">
        <f ca="1">IF(项目基本情况!B11="自然人","——",IF(D33="按租金收入计税",ROUND(C6*F33/(1+'数据-取费表'!C42),0),IF(D33="按房产原值计税",ROUND(C29*F33*0.7,0),INDIRECT("'数据-取费表'!Aj"&amp;$G$1))))</f>
        <v>#N/A</v>
      </c>
      <c r="D33" s="1366" t="s">
        <v>3332</v>
      </c>
      <c r="E33" s="302" t="s">
        <v>712</v>
      </c>
      <c r="F33" s="322">
        <f>IF(D33="按票据","——",IF(D33="按租金收入计税",'数据-取费表'!B51,'数据-取费表'!B50))</f>
        <v>0.12</v>
      </c>
      <c r="G33" s="1380"/>
      <c r="H33" s="2696"/>
      <c r="I33" s="1394"/>
      <c r="J33" s="1395"/>
      <c r="K33" s="2697"/>
      <c r="L33" s="2696"/>
      <c r="M33" s="2696"/>
    </row>
    <row r="34" spans="1:18" ht="18" customHeight="1">
      <c r="A34" s="1065" t="s">
        <v>680</v>
      </c>
      <c r="B34" s="155" t="s">
        <v>730</v>
      </c>
      <c r="C34" s="22" t="e">
        <f ca="1">IF(项目基本情况!B11="自然人","——",ROUND(F34*F35,0))</f>
        <v>#N/A</v>
      </c>
      <c r="D34" s="324" t="s">
        <v>731</v>
      </c>
      <c r="E34" s="302" t="s">
        <v>732</v>
      </c>
      <c r="F34" s="325">
        <f>'数据-取费表'!B52</f>
        <v>1.5</v>
      </c>
      <c r="G34" s="1380"/>
      <c r="H34" s="2693"/>
      <c r="I34" s="1394"/>
      <c r="J34" s="1395"/>
      <c r="K34" s="2698"/>
      <c r="L34" s="2699"/>
      <c r="M34" s="2699"/>
    </row>
    <row r="35" spans="1:18" ht="18" customHeight="1">
      <c r="A35" s="1099"/>
      <c r="B35" s="1097"/>
      <c r="C35" s="26"/>
      <c r="D35" s="327"/>
      <c r="E35" s="302" t="s">
        <v>736</v>
      </c>
      <c r="F35" s="303" t="e">
        <f ca="1">INDIRECT("'数据-取费表'!r"&amp;$G$1)</f>
        <v>#N/A</v>
      </c>
      <c r="G35" s="1380"/>
      <c r="H35" s="2693"/>
      <c r="I35" s="1394"/>
      <c r="J35" s="1395"/>
      <c r="K35" s="2697"/>
      <c r="L35" s="2696"/>
      <c r="M35" s="2696"/>
    </row>
    <row r="36" spans="1:18" ht="18" customHeight="1">
      <c r="A36" s="1098" t="s">
        <v>402</v>
      </c>
      <c r="B36" s="302" t="s">
        <v>738</v>
      </c>
      <c r="C36" s="21" t="e">
        <f ca="1">ROUND(C29*F36,0)</f>
        <v>#N/A</v>
      </c>
      <c r="D36" s="1340" t="s">
        <v>771</v>
      </c>
      <c r="E36" s="302" t="s">
        <v>712</v>
      </c>
      <c r="F36" s="328" t="e">
        <f ca="1">INDIRECT("'数据-取费表'!Ak"&amp;$G$1)</f>
        <v>#N/A</v>
      </c>
      <c r="G36" s="1380"/>
      <c r="H36" s="2696"/>
      <c r="I36" s="1394"/>
      <c r="J36" s="1395"/>
      <c r="K36" s="2540"/>
      <c r="L36" s="2696"/>
      <c r="M36" s="2696"/>
    </row>
    <row r="37" spans="1:18" ht="18" customHeight="1">
      <c r="A37" s="978" t="s">
        <v>437</v>
      </c>
      <c r="B37" s="302" t="s">
        <v>742</v>
      </c>
      <c r="C37" s="21" t="e">
        <f ca="1">ROUND(C13*F37,0)</f>
        <v>#N/A</v>
      </c>
      <c r="D37" s="1340" t="s">
        <v>743</v>
      </c>
      <c r="E37" s="302" t="s">
        <v>744</v>
      </c>
      <c r="F37" s="330" t="e">
        <f ca="1">INDIRECT("'数据-取费表'!Al"&amp;$G$1)</f>
        <v>#N/A</v>
      </c>
      <c r="G37" s="1380"/>
      <c r="H37" s="2696"/>
      <c r="I37" s="1394"/>
      <c r="J37" s="1395"/>
      <c r="K37" s="2540"/>
      <c r="L37" s="2696"/>
      <c r="M37" s="2696"/>
    </row>
    <row r="38" spans="1:18" ht="18" customHeight="1" thickBot="1">
      <c r="A38" s="1085" t="s">
        <v>684</v>
      </c>
      <c r="B38" s="1086" t="s">
        <v>728</v>
      </c>
      <c r="C38" s="1087" t="e">
        <f ca="1">ROUND(C5*F38,0)</f>
        <v>#N/A</v>
      </c>
      <c r="D38" s="1088" t="s">
        <v>748</v>
      </c>
      <c r="E38" s="1086" t="s">
        <v>744</v>
      </c>
      <c r="F38" s="1082" t="e">
        <f ca="1">INDIRECT("'数据-取费表'!Am"&amp;$G$1)</f>
        <v>#N/A</v>
      </c>
      <c r="G38" s="1380"/>
      <c r="H38" s="2696"/>
      <c r="I38" s="1394"/>
      <c r="J38" s="1395"/>
      <c r="K38" s="2700"/>
      <c r="L38" s="2696"/>
      <c r="M38" s="2696"/>
    </row>
    <row r="39" spans="1:18" ht="24.6" customHeight="1" thickTop="1">
      <c r="A39" s="1075" t="s">
        <v>394</v>
      </c>
      <c r="B39" s="1090" t="s">
        <v>772</v>
      </c>
      <c r="C39" s="310" t="e">
        <f ca="1">C5-C30</f>
        <v>#N/A</v>
      </c>
      <c r="D39" s="1091" t="s">
        <v>773</v>
      </c>
      <c r="E39" s="1092"/>
      <c r="F39" s="1093"/>
      <c r="G39" s="1380"/>
      <c r="H39" s="2696"/>
      <c r="I39" s="1394"/>
      <c r="J39" s="1395"/>
      <c r="K39" s="2700"/>
      <c r="L39" s="2696"/>
      <c r="M39" s="2696"/>
    </row>
    <row r="40" spans="1:18" ht="18" customHeight="1">
      <c r="A40" s="299" t="s">
        <v>395</v>
      </c>
      <c r="B40" s="300" t="s">
        <v>774</v>
      </c>
      <c r="C40" s="301" t="e">
        <f ca="1">ROUND(C39*(1-((1+F42)/(1+F40))^F41)/(F40-F42),0)</f>
        <v>#N/A</v>
      </c>
      <c r="D40" s="324" t="s">
        <v>758</v>
      </c>
      <c r="E40" s="302" t="s">
        <v>759</v>
      </c>
      <c r="F40" s="312" t="e">
        <f ca="1">INDIRECT("'数据-取费表'!I"&amp;$G$1)</f>
        <v>#N/A</v>
      </c>
      <c r="G40" s="1380"/>
      <c r="H40" s="1457"/>
      <c r="I40" s="1394" t="e">
        <f ca="1">C39/C6</f>
        <v>#N/A</v>
      </c>
      <c r="J40" s="1395"/>
      <c r="K40" s="2700"/>
      <c r="L40" s="1457"/>
      <c r="M40" s="1457"/>
    </row>
    <row r="41" spans="1:18" ht="18" customHeight="1">
      <c r="A41" s="304"/>
      <c r="B41" s="305"/>
      <c r="C41" s="306"/>
      <c r="D41" s="332" t="s">
        <v>775</v>
      </c>
      <c r="E41" s="302" t="s">
        <v>763</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766</v>
      </c>
      <c r="F42" s="312" t="e">
        <f ca="1">INDIRECT("'数据-取费表'!v"&amp;$G$1)</f>
        <v>#N/A</v>
      </c>
      <c r="G42" s="1380"/>
      <c r="H42" s="1187"/>
      <c r="I42" s="1394"/>
      <c r="J42" s="1395"/>
      <c r="K42" s="2540"/>
      <c r="L42" s="1187"/>
      <c r="M42" s="1187"/>
    </row>
    <row r="43" spans="1:18" ht="18" customHeight="1" thickBot="1">
      <c r="A43" s="334" t="s">
        <v>396</v>
      </c>
      <c r="B43" s="335" t="s">
        <v>776</v>
      </c>
      <c r="C43" s="336" t="e">
        <f ca="1">ROUND(C40/F43,0)</f>
        <v>#N/A</v>
      </c>
      <c r="D43" s="337" t="s">
        <v>777</v>
      </c>
      <c r="E43" s="338" t="s">
        <v>778</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3348</v>
      </c>
      <c r="B45" s="1396"/>
      <c r="C45" s="1468" t="e">
        <f ca="1">ROUND((C68-C40)/10000,4)</f>
        <v>#N/A</v>
      </c>
      <c r="D45" s="3428" t="s">
        <v>3349</v>
      </c>
      <c r="E45" s="1396"/>
      <c r="F45" s="1396"/>
      <c r="O45" s="1399" t="s">
        <v>808</v>
      </c>
      <c r="P45" s="1457"/>
      <c r="Q45" s="1457"/>
      <c r="R45" s="1457"/>
    </row>
    <row r="46" spans="1:18" s="1380" customFormat="1" ht="13.5" thickBot="1">
      <c r="A46" s="1400" t="s">
        <v>809</v>
      </c>
      <c r="C46" s="1401" t="e">
        <f ca="1">ROUND(C45,0)</f>
        <v>#N/A</v>
      </c>
      <c r="D46" s="1402" t="str">
        <f>C2</f>
        <v>万元</v>
      </c>
      <c r="I46" s="1403" t="s">
        <v>810</v>
      </c>
      <c r="J46" s="1404"/>
      <c r="K46" s="1405"/>
      <c r="L46" s="1406" t="e">
        <f ca="1">IF(M47="住宅",0,IF(L48&gt;J51,L60,J60))</f>
        <v>#N/A</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3385</v>
      </c>
      <c r="K47" s="1412" t="s">
        <v>816</v>
      </c>
      <c r="L47" s="1413" t="e">
        <f ca="1">INDIRECT("'数据-取费表'!d"&amp;$G$1)</f>
        <v>#N/A</v>
      </c>
      <c r="M47" s="1376" t="str">
        <f>IF(ISNUMBER(FIND("住宅",C1)),"住宅","非住宅")</f>
        <v>非住宅</v>
      </c>
      <c r="O47" s="1414" t="s">
        <v>403</v>
      </c>
      <c r="P47" s="1415" t="s">
        <v>817</v>
      </c>
      <c r="Q47" s="1416" t="e">
        <f ca="1">C40+J29</f>
        <v>#N/A</v>
      </c>
      <c r="R47" s="1416" t="s">
        <v>818</v>
      </c>
    </row>
    <row r="48" spans="1:18" s="1380" customFormat="1" ht="28.5" thickBot="1">
      <c r="A48" s="1106" t="s">
        <v>438</v>
      </c>
      <c r="B48" s="300" t="s">
        <v>692</v>
      </c>
      <c r="C48" s="1355" t="e">
        <f ca="1">C49+C53+C55</f>
        <v>#N/A</v>
      </c>
      <c r="D48" s="1108"/>
      <c r="E48" s="1109"/>
      <c r="F48" s="958"/>
      <c r="G48" s="722"/>
      <c r="H48" s="723"/>
      <c r="I48" s="1417" t="s">
        <v>819</v>
      </c>
      <c r="J48" s="1418" t="s">
        <v>3386</v>
      </c>
      <c r="K48" s="1419" t="s">
        <v>820</v>
      </c>
      <c r="L48" s="1420" t="e">
        <f ca="1">INDIRECT("'数据-取费表'!f"&amp;$G$1)</f>
        <v>#N/A</v>
      </c>
      <c r="O48" s="1414" t="s">
        <v>404</v>
      </c>
      <c r="P48" s="1415" t="s">
        <v>821</v>
      </c>
      <c r="Q48" s="1416" t="e">
        <f ca="1">J60</f>
        <v>#N/A</v>
      </c>
      <c r="R48" s="1416" t="s">
        <v>822</v>
      </c>
    </row>
    <row r="49" spans="1:18" s="1380" customFormat="1" ht="13.5" thickBot="1">
      <c r="A49" s="971" t="s">
        <v>439</v>
      </c>
      <c r="B49" s="1367" t="s">
        <v>779</v>
      </c>
      <c r="C49" s="1110" t="e">
        <f ca="1">ROUND(F49*F51*F50*(1-F52),0)</f>
        <v>#N/A</v>
      </c>
      <c r="D49" s="1051" t="s">
        <v>695</v>
      </c>
      <c r="E49" s="1368" t="s">
        <v>780</v>
      </c>
      <c r="F49" s="1056"/>
      <c r="G49" s="1421"/>
      <c r="H49" s="723"/>
      <c r="I49" s="1417" t="s">
        <v>823</v>
      </c>
      <c r="J49" s="1422">
        <v>2008</v>
      </c>
      <c r="K49" s="1419" t="s">
        <v>824</v>
      </c>
      <c r="L49" s="1423"/>
      <c r="O49" s="1424" t="s">
        <v>405</v>
      </c>
      <c r="P49" s="1415" t="s">
        <v>825</v>
      </c>
      <c r="Q49" s="1416" t="e">
        <f ca="1">C29</f>
        <v>#N/A</v>
      </c>
      <c r="R49" s="1416" t="s">
        <v>818</v>
      </c>
    </row>
    <row r="50" spans="1:18" s="1380" customFormat="1" ht="13.5" thickBot="1">
      <c r="A50" s="972"/>
      <c r="B50" s="975"/>
      <c r="C50" s="976"/>
      <c r="D50" s="949"/>
      <c r="E50" s="1052" t="s">
        <v>697</v>
      </c>
      <c r="F50" s="1053" t="e">
        <f ca="1">F7</f>
        <v>#N/A</v>
      </c>
      <c r="H50" s="723"/>
      <c r="I50" s="1417" t="s">
        <v>826</v>
      </c>
      <c r="J50" s="1425">
        <f>SUMPRODUCT((I63:I65=J47)*(J62:L62=J48)*(J63:L65))</f>
        <v>60</v>
      </c>
      <c r="K50" s="1419" t="s">
        <v>827</v>
      </c>
      <c r="L50" s="1423"/>
      <c r="M50" s="1426"/>
      <c r="O50" s="1424" t="s">
        <v>406</v>
      </c>
      <c r="P50" s="1415" t="s">
        <v>828</v>
      </c>
      <c r="Q50" s="1427" t="e">
        <f ca="1">J58</f>
        <v>#N/A</v>
      </c>
      <c r="R50" s="1416"/>
    </row>
    <row r="51" spans="1:18" s="1380" customFormat="1" ht="13.5" thickBot="1">
      <c r="A51" s="973"/>
      <c r="B51" s="975"/>
      <c r="C51" s="976"/>
      <c r="D51" s="949"/>
      <c r="E51" s="977" t="s">
        <v>698</v>
      </c>
      <c r="F51" s="303" t="e">
        <f ca="1">F8</f>
        <v>#N/A</v>
      </c>
      <c r="I51" s="1428" t="s">
        <v>829</v>
      </c>
      <c r="J51" s="1429">
        <f>IF(J49="",J50,J49+J50-YEAR('数据-取费表'!B2))</f>
        <v>44</v>
      </c>
      <c r="K51" s="1430" t="s">
        <v>830</v>
      </c>
      <c r="L51" s="1431" t="e">
        <f ca="1">ROUND(-PV(INDIRECT("'数据-取费表'!h"&amp;$G$1),J51,(C39-C13*C76),0),0)</f>
        <v>#N/A</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c r="O52" s="1424" t="s">
        <v>408</v>
      </c>
      <c r="P52" s="1415" t="s">
        <v>834</v>
      </c>
      <c r="Q52" s="1416" t="e">
        <f ca="1">J53</f>
        <v>#N/A</v>
      </c>
      <c r="R52" s="1416" t="s">
        <v>835</v>
      </c>
    </row>
    <row r="53" spans="1:18" s="1380" customFormat="1" ht="30.75" customHeight="1" thickBot="1">
      <c r="A53" s="1107" t="s">
        <v>440</v>
      </c>
      <c r="B53" s="323" t="s">
        <v>700</v>
      </c>
      <c r="C53" s="316">
        <f ca="1">ROUND(IF(F53="押一",C49/12*F11,IF(F53="押二",C49/12*2*F11,IF(F53="押三",C49/12*3*F11,C54*F11))),0)</f>
        <v>0</v>
      </c>
      <c r="D53" s="1362" t="s">
        <v>2119</v>
      </c>
      <c r="E53" s="313" t="s">
        <v>701</v>
      </c>
      <c r="F53" s="1112"/>
      <c r="I53" s="1435" t="s">
        <v>836</v>
      </c>
      <c r="J53" s="2164" t="e">
        <f ca="1">IF(M47="住宅",IF(D1="——",MAX(J51,L48),MAX(J51,L48-'数据-取费表'!B24)),IF(D1="——",MIN(J51,L48),MIN(J51,L48-'数据-取费表'!B24)))</f>
        <v>#N/A</v>
      </c>
      <c r="K53" s="3635" t="s">
        <v>837</v>
      </c>
      <c r="L53" s="3636"/>
      <c r="O53" s="1414" t="s">
        <v>409</v>
      </c>
      <c r="P53" s="1415" t="s">
        <v>838</v>
      </c>
      <c r="Q53" s="1416" t="e">
        <f ca="1">Q47+Q48</f>
        <v>#N/A</v>
      </c>
      <c r="R53" s="1416" t="s">
        <v>410</v>
      </c>
    </row>
    <row r="54" spans="1:18" s="1380" customFormat="1" ht="13.5" thickBot="1">
      <c r="A54" s="971"/>
      <c r="B54" s="1469" t="s">
        <v>891</v>
      </c>
      <c r="C54" s="955"/>
      <c r="D54" s="1362"/>
      <c r="E54" s="1370"/>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#N/A</v>
      </c>
      <c r="K55" s="1441" t="s">
        <v>841</v>
      </c>
      <c r="L55" s="1442"/>
      <c r="O55" s="1407" t="s">
        <v>811</v>
      </c>
      <c r="P55" s="1408" t="s">
        <v>812</v>
      </c>
      <c r="Q55" s="1409" t="s">
        <v>813</v>
      </c>
      <c r="R55" s="1409" t="s">
        <v>814</v>
      </c>
    </row>
    <row r="56" spans="1:18" s="1380" customFormat="1" ht="36" customHeight="1" thickTop="1" thickBot="1">
      <c r="A56" s="953">
        <v>2</v>
      </c>
      <c r="B56" s="954" t="s">
        <v>704</v>
      </c>
      <c r="C56" s="232" t="e">
        <f ca="1">C13</f>
        <v>#N/A</v>
      </c>
      <c r="D56" s="1443"/>
      <c r="E56" s="1444"/>
      <c r="F56" s="1436"/>
      <c r="I56" s="1445" t="s">
        <v>842</v>
      </c>
      <c r="J56" s="1446" t="s">
        <v>3387</v>
      </c>
      <c r="K56" s="1417" t="s">
        <v>843</v>
      </c>
      <c r="L56" s="1420" t="e">
        <f ca="1">IF(L48&lt;J51,"——",L48-J51)</f>
        <v>#N/A</v>
      </c>
      <c r="O56" s="1414" t="s">
        <v>403</v>
      </c>
      <c r="P56" s="1415" t="s">
        <v>817</v>
      </c>
      <c r="Q56" s="1416" t="e">
        <f ca="1">C40+J29</f>
        <v>#N/A</v>
      </c>
      <c r="R56" s="1416" t="s">
        <v>818</v>
      </c>
    </row>
    <row r="57" spans="1:18" s="1380" customFormat="1" ht="24.75" thickBot="1">
      <c r="A57" s="1447"/>
      <c r="B57" s="946" t="s">
        <v>767</v>
      </c>
      <c r="C57" s="238" t="e">
        <f ca="1">C29</f>
        <v>#N/A</v>
      </c>
      <c r="D57" s="1448"/>
      <c r="E57" s="1449"/>
      <c r="F57" s="1450"/>
      <c r="I57" s="1451" t="s">
        <v>844</v>
      </c>
      <c r="J57" s="1452" t="e">
        <f ca="1">IF(OR(M47="住宅",J51&lt;L48,J56="是"),"——",J51-L48)</f>
        <v>#N/A</v>
      </c>
      <c r="K57" s="1417" t="s">
        <v>892</v>
      </c>
      <c r="L57" s="1420" t="e">
        <f ca="1">IF(L48&lt;J51,"——",IF(L55="比较法",L49,IF(L55="基准地价",L50,L51)))</f>
        <v>#N/A</v>
      </c>
      <c r="O57" s="1414" t="s">
        <v>404</v>
      </c>
      <c r="P57" s="1415" t="s">
        <v>893</v>
      </c>
      <c r="Q57" s="1416" t="e">
        <f ca="1">L60</f>
        <v>#N/A</v>
      </c>
      <c r="R57" s="1416" t="s">
        <v>894</v>
      </c>
    </row>
    <row r="58" spans="1:18" s="1380" customFormat="1" ht="24.75" thickBot="1">
      <c r="A58" s="315" t="s">
        <v>393</v>
      </c>
      <c r="B58" s="954" t="s">
        <v>714</v>
      </c>
      <c r="C58" s="316" t="e">
        <f ca="1">ROUND(C59+C64+C65+C66,0)</f>
        <v>#N/A</v>
      </c>
      <c r="D58" s="956" t="s">
        <v>715</v>
      </c>
      <c r="E58" s="957"/>
      <c r="F58" s="958"/>
      <c r="I58" s="1451" t="s">
        <v>848</v>
      </c>
      <c r="J58" s="1453" t="e">
        <f ca="1">IF(J55&lt;0.4,0.4,J55)</f>
        <v>#N/A</v>
      </c>
      <c r="K58" s="1430" t="s">
        <v>895</v>
      </c>
      <c r="L58" s="1420" t="e">
        <f ca="1">ROUND(POWER(1+L52,L47-L48)*(POWER(1+L52,L48)-1)/(POWER(1+L52,L47)-1),4)</f>
        <v>#N/A</v>
      </c>
      <c r="O58" s="1424" t="s">
        <v>405</v>
      </c>
      <c r="P58" s="1415" t="s">
        <v>850</v>
      </c>
      <c r="Q58" s="1416">
        <f>IF(L55="比较法",L49,IF(L55="基准地价",L50,0))</f>
        <v>0</v>
      </c>
      <c r="R58" s="1416" t="s">
        <v>818</v>
      </c>
    </row>
    <row r="59" spans="1:18" s="1380" customFormat="1" ht="24.75" thickBot="1">
      <c r="A59" s="978" t="s">
        <v>398</v>
      </c>
      <c r="B59" s="946" t="s">
        <v>719</v>
      </c>
      <c r="C59" s="2312" t="e">
        <f ca="1">ROUND(IF(AND(项目基本情况!B11="自然人",项目基本情况!B10="北京市"),C49*F59/(1+'数据-取费表'!C42),C60+C61+C62),0)</f>
        <v>#N/A</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4" t="s">
        <v>406</v>
      </c>
      <c r="P59" s="1415" t="s">
        <v>852</v>
      </c>
      <c r="Q59" s="1427">
        <f>L52</f>
        <v>0</v>
      </c>
      <c r="R59" s="1416"/>
    </row>
    <row r="60" spans="1:18" s="1380" customFormat="1" ht="16.5" thickBot="1">
      <c r="A60" s="978" t="s">
        <v>397</v>
      </c>
      <c r="B60" s="946" t="s">
        <v>723</v>
      </c>
      <c r="C60" s="21" t="e">
        <f ca="1">IF(项目基本情况!B11="自然人","——",ROUND(C48*F60/(1+'数据-取费表'!C42),0))</f>
        <v>#N/A</v>
      </c>
      <c r="D60" s="960" t="s">
        <v>724</v>
      </c>
      <c r="E60" s="946" t="s">
        <v>712</v>
      </c>
      <c r="F60" s="331">
        <f t="shared" ref="F60:F66" si="0">F32</f>
        <v>5.5000000000000007E-2</v>
      </c>
      <c r="I60" s="1454" t="s">
        <v>853</v>
      </c>
      <c r="J60" s="1455" t="e">
        <f ca="1">IF(OR(M47="住宅",J51&lt;L48,J56="是"),"0",ROUND(J59/(1+J52)^J53,0))</f>
        <v>#N/A</v>
      </c>
      <c r="K60" s="1456" t="s">
        <v>854</v>
      </c>
      <c r="L60" s="1455" t="e">
        <f ca="1">IF(OR(M47="住宅",L48&lt;J51),0,ROUND(L57*(L58/L59-1),0))</f>
        <v>#N/A</v>
      </c>
      <c r="O60" s="1424" t="s">
        <v>407</v>
      </c>
      <c r="P60" s="1415" t="s">
        <v>855</v>
      </c>
      <c r="Q60" s="1416" t="e">
        <f ca="1">L58</f>
        <v>#N/A</v>
      </c>
      <c r="R60" s="1416" t="s">
        <v>856</v>
      </c>
    </row>
    <row r="61" spans="1:18" s="1380" customFormat="1" ht="13.5" thickBot="1">
      <c r="A61" s="978" t="s">
        <v>781</v>
      </c>
      <c r="B61" s="946" t="s">
        <v>782</v>
      </c>
      <c r="C61" s="21" t="e">
        <f ca="1">IF(项目基本情况!B11="自然人","——",IF(D61="按租金收入计税",ROUND(C49*F61/(1+'数据-取费表'!C42),0),IF(D61="按房产原值计税",ROUND(C57*F61*0.7,0),INDIRECT("'数据-取费表'!Aj"&amp;$G$1))))</f>
        <v>#N/A</v>
      </c>
      <c r="D61" s="1366" t="s">
        <v>3332</v>
      </c>
      <c r="E61" s="946" t="s">
        <v>783</v>
      </c>
      <c r="F61" s="322">
        <f t="shared" si="0"/>
        <v>0.12</v>
      </c>
      <c r="I61" s="1457"/>
      <c r="J61" s="1457"/>
      <c r="K61" s="1457"/>
      <c r="L61" s="1457"/>
      <c r="O61" s="1424" t="s">
        <v>408</v>
      </c>
      <c r="P61" s="1415" t="str">
        <f>K59</f>
        <v>建筑物剩余耐用年限下的土地年期修正系数Kn</v>
      </c>
      <c r="Q61" s="1416" t="e">
        <f ca="1">L59</f>
        <v>#N/A</v>
      </c>
      <c r="R61" s="1416" t="s">
        <v>857</v>
      </c>
    </row>
    <row r="62" spans="1:18" s="1380" customFormat="1" ht="13.5" thickBot="1">
      <c r="A62" s="978" t="s">
        <v>784</v>
      </c>
      <c r="B62" s="945" t="s">
        <v>785</v>
      </c>
      <c r="C62" s="22" t="e">
        <f ca="1">IF(项目基本情况!B11="自然人","——",ROUND(F62*F63,0))</f>
        <v>#N/A</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#N/A</v>
      </c>
      <c r="R62" s="1416" t="s">
        <v>410</v>
      </c>
    </row>
    <row r="63" spans="1:18" s="1380" customFormat="1" ht="13.5" thickBot="1">
      <c r="A63" s="326"/>
      <c r="B63" s="952"/>
      <c r="C63" s="26"/>
      <c r="D63" s="962"/>
      <c r="E63" s="946" t="s">
        <v>788</v>
      </c>
      <c r="F63" s="303" t="e">
        <f t="shared" ca="1" si="0"/>
        <v>#N/A</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t="e">
        <f ca="1">ROUND(C57*F64,0)</f>
        <v>#N/A</v>
      </c>
      <c r="D64" s="960" t="s">
        <v>791</v>
      </c>
      <c r="E64" s="946" t="s">
        <v>783</v>
      </c>
      <c r="F64" s="328" t="e">
        <f t="shared" ca="1" si="0"/>
        <v>#N/A</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t="e">
        <f ca="1">ROUND(C56*F65,0)</f>
        <v>#N/A</v>
      </c>
      <c r="D65" s="960" t="s">
        <v>743</v>
      </c>
      <c r="E65" s="946" t="s">
        <v>744</v>
      </c>
      <c r="F65" s="330" t="e">
        <f t="shared" ca="1" si="0"/>
        <v>#N/A</v>
      </c>
      <c r="I65" s="1458" t="s">
        <v>867</v>
      </c>
      <c r="J65" s="1459">
        <v>40</v>
      </c>
      <c r="K65" s="1459">
        <v>30</v>
      </c>
      <c r="L65" s="1459">
        <v>50</v>
      </c>
      <c r="M65" s="1461">
        <v>0.02</v>
      </c>
      <c r="O65" s="1414" t="s">
        <v>403</v>
      </c>
      <c r="P65" s="1415" t="s">
        <v>868</v>
      </c>
      <c r="Q65" s="1416" t="e">
        <f ca="1">C40+J29</f>
        <v>#N/A</v>
      </c>
      <c r="R65" s="1416" t="s">
        <v>818</v>
      </c>
    </row>
    <row r="66" spans="1:18" s="1380" customFormat="1" ht="16.5" thickBot="1">
      <c r="A66" s="978" t="s">
        <v>793</v>
      </c>
      <c r="B66" s="946" t="s">
        <v>728</v>
      </c>
      <c r="C66" s="21" t="e">
        <f ca="1">ROUND(C48*F66,0)</f>
        <v>#N/A</v>
      </c>
      <c r="D66" s="960" t="s">
        <v>794</v>
      </c>
      <c r="E66" s="946" t="s">
        <v>712</v>
      </c>
      <c r="F66" s="312" t="e">
        <f t="shared" ca="1" si="0"/>
        <v>#N/A</v>
      </c>
      <c r="O66" s="1414" t="s">
        <v>404</v>
      </c>
      <c r="P66" s="1415" t="s">
        <v>846</v>
      </c>
      <c r="Q66" s="1416" t="e">
        <f ca="1">L60</f>
        <v>#N/A</v>
      </c>
      <c r="R66" s="1416" t="s">
        <v>869</v>
      </c>
    </row>
    <row r="67" spans="1:18" s="1380" customFormat="1" ht="16.5" thickBot="1">
      <c r="A67" s="953" t="s">
        <v>394</v>
      </c>
      <c r="B67" s="963" t="s">
        <v>752</v>
      </c>
      <c r="C67" s="316" t="e">
        <f ca="1">C48-C58</f>
        <v>#N/A</v>
      </c>
      <c r="D67" s="959" t="s">
        <v>753</v>
      </c>
      <c r="E67" s="964"/>
      <c r="F67" s="965"/>
      <c r="O67" s="1424" t="s">
        <v>405</v>
      </c>
      <c r="P67" s="1415" t="s">
        <v>850</v>
      </c>
      <c r="Q67" s="1462" t="e">
        <f ca="1">L51</f>
        <v>#N/A</v>
      </c>
      <c r="R67" s="1416" t="s">
        <v>870</v>
      </c>
    </row>
    <row r="68" spans="1:18" s="1380" customFormat="1" ht="16.5" thickBot="1">
      <c r="A68" s="943" t="s">
        <v>395</v>
      </c>
      <c r="B68" s="944" t="s">
        <v>774</v>
      </c>
      <c r="C68" s="301" t="e">
        <f ca="1">ROUND(C67*(1-((1+F70)/(1+F68))^F69)/(F68-F70),0)</f>
        <v>#N/A</v>
      </c>
      <c r="D68" s="961" t="s">
        <v>758</v>
      </c>
      <c r="E68" s="946" t="s">
        <v>759</v>
      </c>
      <c r="F68" s="312" t="e">
        <f ca="1">F40</f>
        <v>#N/A</v>
      </c>
      <c r="O68" s="1424" t="s">
        <v>406</v>
      </c>
      <c r="P68" s="1463" t="s">
        <v>871</v>
      </c>
      <c r="Q68" s="1416" t="e">
        <f ca="1">ROUND(Q69-Q70*Q71,0)</f>
        <v>#N/A</v>
      </c>
      <c r="R68" s="1416" t="s">
        <v>414</v>
      </c>
    </row>
    <row r="69" spans="1:18" s="1380" customFormat="1" ht="13.5" thickBot="1">
      <c r="A69" s="947"/>
      <c r="B69" s="948"/>
      <c r="C69" s="306"/>
      <c r="D69" s="966" t="s">
        <v>762</v>
      </c>
      <c r="E69" s="946" t="s">
        <v>763</v>
      </c>
      <c r="F69" s="333" t="e">
        <f ca="1">F41</f>
        <v>#N/A</v>
      </c>
      <c r="O69" s="1424" t="s">
        <v>411</v>
      </c>
      <c r="P69" s="1463" t="s">
        <v>872</v>
      </c>
      <c r="Q69" s="1416" t="e">
        <f ca="1">C39</f>
        <v>#N/A</v>
      </c>
      <c r="R69" s="1416" t="s">
        <v>818</v>
      </c>
    </row>
    <row r="70" spans="1:18" s="1380" customFormat="1" ht="13.5" thickBot="1">
      <c r="A70" s="950"/>
      <c r="B70" s="951"/>
      <c r="C70" s="310"/>
      <c r="D70" s="962"/>
      <c r="E70" s="946" t="s">
        <v>766</v>
      </c>
      <c r="F70" s="1050"/>
      <c r="O70" s="1424" t="s">
        <v>412</v>
      </c>
      <c r="P70" s="1463" t="s">
        <v>873</v>
      </c>
      <c r="Q70" s="1416" t="e">
        <f ca="1">C13</f>
        <v>#N/A</v>
      </c>
      <c r="R70" s="1416" t="s">
        <v>818</v>
      </c>
    </row>
    <row r="71" spans="1:18" s="1380" customFormat="1" ht="13.5" thickBot="1">
      <c r="A71" s="967" t="s">
        <v>396</v>
      </c>
      <c r="B71" s="968" t="s">
        <v>776</v>
      </c>
      <c r="C71" s="336" t="e">
        <f ca="1">ROUND(C68/F71,0)</f>
        <v>#N/A</v>
      </c>
      <c r="D71" s="969" t="s">
        <v>777</v>
      </c>
      <c r="E71" s="970" t="s">
        <v>778</v>
      </c>
      <c r="F71" s="339" t="e">
        <f ca="1">F43</f>
        <v>#N/A</v>
      </c>
      <c r="O71" s="1424" t="s">
        <v>413</v>
      </c>
      <c r="P71" s="1463" t="s">
        <v>874</v>
      </c>
      <c r="Q71" s="1427" t="e">
        <f ca="1">C76</f>
        <v>#N/A</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#N/A</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#N/A</v>
      </c>
      <c r="R74" s="1416" t="s">
        <v>857</v>
      </c>
    </row>
    <row r="75" spans="1:18" ht="13.5" thickBot="1">
      <c r="A75" s="1380"/>
      <c r="B75" s="340" t="s">
        <v>795</v>
      </c>
      <c r="C75" s="341" t="e">
        <f ca="1">ROUND(C13*C76,0)</f>
        <v>#N/A</v>
      </c>
      <c r="D75" s="1380"/>
      <c r="E75" s="1380"/>
      <c r="F75" s="1380"/>
      <c r="K75" s="1398"/>
      <c r="L75" s="1380"/>
      <c r="O75" s="1414" t="s">
        <v>409</v>
      </c>
      <c r="P75" s="1415" t="s">
        <v>838</v>
      </c>
      <c r="Q75" s="1416" t="e">
        <f ca="1">Q65+Q66</f>
        <v>#N/A</v>
      </c>
      <c r="R75" s="1416" t="s">
        <v>410</v>
      </c>
    </row>
    <row r="76" spans="1:18">
      <c r="B76" s="342" t="s">
        <v>796</v>
      </c>
      <c r="C76" s="343" t="e">
        <f ca="1">INDIRECT("'数据-取费表'!j"&amp;$G$1)</f>
        <v>#N/A</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1594</v>
      </c>
      <c r="B1" s="1187"/>
      <c r="C1" s="1188"/>
      <c r="D1" s="1186"/>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4"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9"/>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9"/>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24230.799999999999</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0.02</v>
      </c>
      <c r="G15" s="131"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24230.799999999999</v>
      </c>
      <c r="E17" s="21">
        <f>'数据-取费表'!B32</f>
        <v>0</v>
      </c>
      <c r="F17" s="802"/>
      <c r="G17" s="131"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150</v>
      </c>
      <c r="F19" s="800"/>
      <c r="G19" s="12"/>
      <c r="H19" s="1185"/>
      <c r="I19" s="805"/>
      <c r="J19" s="805"/>
      <c r="K19" s="806"/>
    </row>
    <row r="20" spans="1:33" s="799" customFormat="1" ht="13.5" customHeight="1">
      <c r="A20" s="796" t="s">
        <v>361</v>
      </c>
      <c r="B20" s="797" t="s">
        <v>1627</v>
      </c>
      <c r="C20" s="21">
        <f ca="1">ROUND(D20*E20/10000,0)</f>
        <v>460</v>
      </c>
      <c r="D20" s="842">
        <f ca="1">IF(C1="",'数据-汇总表'!E6,IF(INDIRECT("'数据-取费表'!c"&amp;$K$1)="住宅",INDIRECT("'数据-取费表'!s"&amp;$K$1),INDIRECT("'数据-取费表'!k"&amp;$K$1)+INDIRECT("'数据-取费表'!s"&amp;$K$1)))</f>
        <v>24230.799999999999</v>
      </c>
      <c r="E20" s="21">
        <f>'数据-取费表'!B28</f>
        <v>190</v>
      </c>
      <c r="F20" s="800"/>
      <c r="G20" s="12"/>
      <c r="H20" s="805"/>
      <c r="I20" s="805"/>
      <c r="J20" s="805"/>
      <c r="K20" s="806"/>
    </row>
    <row r="21" spans="1:33" s="799" customFormat="1" ht="13.5" customHeight="1">
      <c r="A21" s="786" t="s">
        <v>357</v>
      </c>
      <c r="B21" s="809" t="s">
        <v>1628</v>
      </c>
      <c r="C21" s="810">
        <f ca="1">C16+C17+C18</f>
        <v>0</v>
      </c>
      <c r="D21" s="811"/>
      <c r="E21" s="281"/>
      <c r="F21" s="281"/>
      <c r="G21" s="131" t="s">
        <v>1629</v>
      </c>
      <c r="H21" s="803"/>
      <c r="I21" s="803"/>
      <c r="J21" s="803"/>
      <c r="K21" s="804"/>
    </row>
    <row r="22" spans="1:33" s="799" customFormat="1" ht="13.5" customHeight="1">
      <c r="A22" s="786" t="s">
        <v>1601</v>
      </c>
      <c r="B22" s="809" t="s">
        <v>1630</v>
      </c>
      <c r="C22" s="810">
        <f ca="1">ROUND(C21*F22,0)</f>
        <v>0</v>
      </c>
      <c r="D22" s="281"/>
      <c r="E22" s="281"/>
      <c r="F22" s="812">
        <f>'数据-取费表'!B37</f>
        <v>0.02</v>
      </c>
      <c r="G22" s="5" t="s">
        <v>1631</v>
      </c>
      <c r="H22" s="793"/>
      <c r="I22" s="793"/>
      <c r="J22" s="793"/>
      <c r="K22" s="794"/>
    </row>
    <row r="23" spans="1:33" s="799" customFormat="1" ht="13.5" customHeight="1">
      <c r="A23" s="786" t="s">
        <v>1603</v>
      </c>
      <c r="B23" s="809" t="s">
        <v>1632</v>
      </c>
      <c r="C23" s="810">
        <f ca="1">ROUND(C4*F23*F11,0)</f>
        <v>0</v>
      </c>
      <c r="D23" s="281"/>
      <c r="E23" s="281"/>
      <c r="F23" s="812">
        <f>'数据-取费表'!B38</f>
        <v>0.02</v>
      </c>
      <c r="G23" s="5" t="s">
        <v>1633</v>
      </c>
      <c r="H23" s="793"/>
      <c r="I23" s="793"/>
      <c r="J23" s="793"/>
      <c r="K23" s="794"/>
    </row>
    <row r="24" spans="1:33" s="799" customFormat="1" ht="13.5" customHeight="1">
      <c r="A24" s="786" t="s">
        <v>1634</v>
      </c>
      <c r="B24" s="809" t="s">
        <v>1635</v>
      </c>
      <c r="C24" s="280">
        <f>ROUND(F24/(1+'数据-取费表'!C42),4)</f>
        <v>2.9000000000000001E-2</v>
      </c>
      <c r="D24" s="281" t="s">
        <v>12</v>
      </c>
      <c r="E24" s="281"/>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1641</v>
      </c>
      <c r="B28" s="1861" t="s">
        <v>1642</v>
      </c>
      <c r="C28" s="287">
        <f ca="1">C30</f>
        <v>0</v>
      </c>
      <c r="D28" s="280">
        <f ca="1">C29</f>
        <v>0</v>
      </c>
      <c r="E28" s="282" t="s">
        <v>12</v>
      </c>
      <c r="F28" s="288">
        <f ca="1">IF(C1="",'数据-取费表'!Q16,INDIRECT("'数据-取费表'!q"&amp;$K$1))</f>
        <v>0.2</v>
      </c>
      <c r="G28" s="813"/>
      <c r="H28" s="814"/>
      <c r="I28" s="814"/>
      <c r="J28" s="814"/>
      <c r="K28" s="815"/>
    </row>
    <row r="29" spans="1:33" s="291" customFormat="1" ht="13.5" customHeight="1">
      <c r="A29" s="796" t="s">
        <v>358</v>
      </c>
      <c r="B29" s="818" t="s">
        <v>1643</v>
      </c>
      <c r="C29" s="284">
        <f ca="1">ROUND((1+C24)*F28*'数据-取费表'!B24/'数据-取费表'!B20,4)</f>
        <v>0</v>
      </c>
      <c r="D29" s="284"/>
      <c r="E29" s="285"/>
      <c r="F29" s="290"/>
      <c r="G29" s="131" t="s">
        <v>1644</v>
      </c>
      <c r="H29" s="803"/>
      <c r="I29" s="803"/>
      <c r="J29" s="803"/>
      <c r="K29" s="804"/>
    </row>
    <row r="30" spans="1:33" s="291" customFormat="1" ht="13.5" customHeight="1">
      <c r="A30" s="796" t="s">
        <v>359</v>
      </c>
      <c r="B30" s="818" t="s">
        <v>1645</v>
      </c>
      <c r="C30" s="292">
        <f ca="1">ROUND((C21+C22+C23)*F28,0)</f>
        <v>0</v>
      </c>
      <c r="D30" s="284"/>
      <c r="E30" s="285"/>
      <c r="F30" s="290"/>
      <c r="G30" s="131"/>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0</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D25" zoomScale="70" zoomScaleNormal="70" zoomScaleSheetLayoutView="70" workbookViewId="0">
      <selection activeCell="M39" sqref="M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3403</v>
      </c>
      <c r="D1" s="1358" t="s">
        <v>43</v>
      </c>
      <c r="E1" s="1359" t="s">
        <v>678</v>
      </c>
      <c r="F1" s="1058">
        <f ca="1">J53</f>
        <v>19.12</v>
      </c>
      <c r="G1" s="1374">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18374</v>
      </c>
      <c r="C2" s="1383" t="s">
        <v>805</v>
      </c>
      <c r="D2" s="1383"/>
      <c r="E2" s="1384"/>
      <c r="F2" s="1385"/>
      <c r="G2" s="2702"/>
      <c r="H2" s="2691"/>
      <c r="I2" s="2691"/>
      <c r="J2" s="2691"/>
      <c r="K2" s="2692"/>
      <c r="L2" s="2691"/>
      <c r="M2" s="2691"/>
    </row>
    <row r="3" spans="1:37" ht="18" customHeight="1" thickBot="1">
      <c r="A3" s="1386" t="s">
        <v>806</v>
      </c>
      <c r="B3" s="1387">
        <f ca="1">IF(ISERROR(B2*10000/F43),0,ROUND(B2*10000/F43,0))</f>
        <v>7583</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1592</v>
      </c>
      <c r="D5" s="1360" t="s">
        <v>693</v>
      </c>
      <c r="E5" s="1067"/>
      <c r="F5" s="1068"/>
      <c r="G5" s="1380"/>
      <c r="H5" s="299">
        <v>1</v>
      </c>
      <c r="I5" s="300" t="s">
        <v>692</v>
      </c>
      <c r="J5" s="1066">
        <f ca="1">J6+J10+J12</f>
        <v>0</v>
      </c>
      <c r="K5" s="1360" t="s">
        <v>693</v>
      </c>
      <c r="L5" s="1067"/>
      <c r="M5" s="1068"/>
    </row>
    <row r="6" spans="1:37" ht="18" customHeight="1">
      <c r="A6" s="1065" t="s">
        <v>398</v>
      </c>
      <c r="B6" s="3632" t="s">
        <v>694</v>
      </c>
      <c r="C6" s="1070">
        <f ca="1">ROUND(F6*F8*F7*(1-F9)/10000,0)</f>
        <v>1592</v>
      </c>
      <c r="D6" s="155" t="s">
        <v>2109</v>
      </c>
      <c r="E6" s="302" t="s">
        <v>696</v>
      </c>
      <c r="F6" s="303">
        <f ca="1">INDIRECT("'数据-取费表'!u"&amp;$G$1)</f>
        <v>2</v>
      </c>
      <c r="G6" s="1380"/>
      <c r="H6" s="1065" t="s">
        <v>398</v>
      </c>
      <c r="I6" s="3632" t="s">
        <v>694</v>
      </c>
      <c r="J6" s="301">
        <f ca="1">ROUND(M6*M8*M7*(1-M9)/10000,0)</f>
        <v>0</v>
      </c>
      <c r="K6" s="155" t="s">
        <v>2108</v>
      </c>
      <c r="L6" s="302" t="s">
        <v>696</v>
      </c>
      <c r="M6" s="303">
        <f ca="1">INDIRECT("'数据-取费表'!z"&amp;$G$1)</f>
        <v>0</v>
      </c>
    </row>
    <row r="7" spans="1:37" ht="18" customHeight="1">
      <c r="A7" s="1069"/>
      <c r="B7" s="3633"/>
      <c r="C7" s="1071"/>
      <c r="D7" s="307"/>
      <c r="E7" s="1072" t="s">
        <v>697</v>
      </c>
      <c r="F7" s="303">
        <f ca="1">IF(INDIRECT("'数据-取费表'!ah"&amp;$G$1)="",INDIRECT("'数据-取费表'!k"&amp;$G$1),INDIRECT("'数据-取费表'!ah"&amp;$G$1))</f>
        <v>24230.799999999999</v>
      </c>
      <c r="G7" s="1380"/>
      <c r="H7" s="304"/>
      <c r="I7" s="3633"/>
      <c r="J7" s="306"/>
      <c r="K7" s="307"/>
      <c r="L7" s="302" t="s">
        <v>697</v>
      </c>
      <c r="M7" s="303">
        <f ca="1">F7</f>
        <v>24230.799999999999</v>
      </c>
    </row>
    <row r="8" spans="1:37" ht="18" customHeight="1">
      <c r="A8" s="304"/>
      <c r="B8" s="3633"/>
      <c r="C8" s="306"/>
      <c r="D8" s="307"/>
      <c r="E8" s="302" t="s">
        <v>698</v>
      </c>
      <c r="F8" s="303">
        <f ca="1">INDIRECT("'数据-取费表'!ai"&amp;$G$1)</f>
        <v>365</v>
      </c>
      <c r="G8" s="1380"/>
      <c r="H8" s="304"/>
      <c r="I8" s="3633"/>
      <c r="J8" s="306"/>
      <c r="K8" s="307"/>
      <c r="L8" s="302" t="s">
        <v>698</v>
      </c>
      <c r="M8" s="303">
        <f ca="1">INDIRECT("'数据-取费表'!ai"&amp;$G$1)</f>
        <v>365</v>
      </c>
    </row>
    <row r="9" spans="1:37" ht="18" customHeight="1">
      <c r="A9" s="304"/>
      <c r="B9" s="3634"/>
      <c r="C9" s="306"/>
      <c r="D9" s="307"/>
      <c r="E9" s="302" t="s">
        <v>699</v>
      </c>
      <c r="F9" s="312">
        <f ca="1">INDIRECT("'数据-取费表'!w"&amp;$G$1)</f>
        <v>0.1</v>
      </c>
      <c r="G9" s="1380"/>
      <c r="H9" s="304"/>
      <c r="I9" s="3634"/>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17543</v>
      </c>
      <c r="D13" s="1077" t="s">
        <v>705</v>
      </c>
      <c r="E13" s="1077" t="s">
        <v>706</v>
      </c>
      <c r="F13" s="1078">
        <f ca="1">INDIRECT("'数据-取费表'!y"&amp;$G$1)</f>
        <v>0.69</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16962</v>
      </c>
      <c r="D14" s="1341" t="s">
        <v>708</v>
      </c>
      <c r="E14" s="1338"/>
      <c r="F14" s="319"/>
      <c r="G14" s="1380"/>
      <c r="H14" s="978" t="s">
        <v>398</v>
      </c>
      <c r="I14" s="302" t="s">
        <v>709</v>
      </c>
      <c r="J14" s="21">
        <f ca="1">C29</f>
        <v>25424</v>
      </c>
      <c r="K14" s="12"/>
      <c r="L14" s="803"/>
      <c r="M14" s="804"/>
    </row>
    <row r="15" spans="1:37" s="1393" customFormat="1" ht="18" customHeight="1" thickBot="1">
      <c r="A15" s="978" t="s">
        <v>399</v>
      </c>
      <c r="B15" s="302" t="s">
        <v>710</v>
      </c>
      <c r="C15" s="21">
        <f ca="1">ROUND(C14*F15,0)</f>
        <v>848</v>
      </c>
      <c r="D15" s="320" t="s">
        <v>711</v>
      </c>
      <c r="E15" s="320" t="s">
        <v>712</v>
      </c>
      <c r="F15" s="321">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128</v>
      </c>
      <c r="K16" s="1083" t="s">
        <v>715</v>
      </c>
      <c r="L16" s="1084"/>
      <c r="M16" s="1068"/>
    </row>
    <row r="17" spans="1:37" s="1393" customFormat="1" ht="18" customHeight="1">
      <c r="A17" s="978" t="s">
        <v>681</v>
      </c>
      <c r="B17" s="302" t="s">
        <v>716</v>
      </c>
      <c r="C17" s="21">
        <f ca="1">ROUND(F17*(F43+INDIRECT("'数据-取费表'!S"&amp;$G$1))/10000,0)</f>
        <v>485</v>
      </c>
      <c r="D17" s="302" t="s">
        <v>717</v>
      </c>
      <c r="E17" s="302" t="s">
        <v>718</v>
      </c>
      <c r="F17" s="23">
        <f>'数据-取费表'!B35</f>
        <v>200</v>
      </c>
      <c r="G17" s="1392"/>
      <c r="H17" s="978" t="s">
        <v>398</v>
      </c>
      <c r="I17" s="302" t="s">
        <v>719</v>
      </c>
      <c r="J17" s="2312">
        <f ca="1">ROUND(IF(AND(项目基本情况!B11="自然人",项目基本情况!B10="北京市"),J6*M17/(1+'数据-取费表'!C42),J18+J19+J20),2)</f>
        <v>1.1200000000000001</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339</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18634</v>
      </c>
      <c r="D19" s="131" t="s">
        <v>726</v>
      </c>
      <c r="E19" s="1356"/>
      <c r="F19" s="23"/>
      <c r="G19" s="1380"/>
      <c r="H19" s="978" t="s">
        <v>399</v>
      </c>
      <c r="I19" s="302" t="s">
        <v>727</v>
      </c>
      <c r="J19" s="21">
        <f ca="1">IF(K19="按租金收入计税",ROUND(J6*M19/(1+'数据-取费表'!C42),2),ROUND(C29*M19*0.7,2))</f>
        <v>0</v>
      </c>
      <c r="K19" s="1366" t="s">
        <v>3332</v>
      </c>
      <c r="L19" s="302" t="s">
        <v>712</v>
      </c>
      <c r="M19" s="322">
        <f>IF(K19="按租金收入计税",'数据-取费表'!B51,'数据-取费表'!B50)</f>
        <v>0.12</v>
      </c>
    </row>
    <row r="20" spans="1:37" s="1393" customFormat="1" ht="18" customHeight="1">
      <c r="A20" s="978" t="s">
        <v>402</v>
      </c>
      <c r="B20" s="302" t="s">
        <v>728</v>
      </c>
      <c r="C20" s="21">
        <f ca="1">ROUND(C19*F20,0)</f>
        <v>373</v>
      </c>
      <c r="D20" s="323" t="s">
        <v>729</v>
      </c>
      <c r="E20" s="302" t="s">
        <v>712</v>
      </c>
      <c r="F20" s="322">
        <f>'数据-取费表'!B37</f>
        <v>0.02</v>
      </c>
      <c r="G20" s="1392"/>
      <c r="H20" s="978" t="s">
        <v>680</v>
      </c>
      <c r="I20" s="155" t="s">
        <v>730</v>
      </c>
      <c r="J20" s="22">
        <f ca="1">ROUND(M20*M21/10000,2)</f>
        <v>1.1200000000000001</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7478.47</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127.12</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656</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-128</v>
      </c>
      <c r="K25" s="1091" t="s">
        <v>753</v>
      </c>
      <c r="L25" s="1092"/>
      <c r="M25" s="1093"/>
    </row>
    <row r="26" spans="1:37">
      <c r="A26" s="978" t="s">
        <v>397</v>
      </c>
      <c r="B26" s="302" t="s">
        <v>754</v>
      </c>
      <c r="C26" s="21">
        <f ca="1">ROUND((C19+C20)*F26,0)</f>
        <v>3801</v>
      </c>
      <c r="D26" s="323" t="s">
        <v>755</v>
      </c>
      <c r="E26" s="313" t="s">
        <v>756</v>
      </c>
      <c r="F26" s="312">
        <f ca="1">INDIRECT("'数据-取费表'!q"&amp;$G$1)</f>
        <v>0.2</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25424</v>
      </c>
      <c r="D29" s="1088"/>
      <c r="E29" s="1086"/>
      <c r="F29" s="1089"/>
      <c r="G29" s="1392"/>
      <c r="H29" s="334" t="s">
        <v>396</v>
      </c>
      <c r="I29" s="335" t="s">
        <v>768</v>
      </c>
      <c r="J29" s="336">
        <f ca="1">ROUND(J26/(1+F40)^F41,0)</f>
        <v>0</v>
      </c>
      <c r="K29" s="337" t="s">
        <v>769</v>
      </c>
      <c r="L29" s="338"/>
      <c r="M29" s="339">
        <f ca="1">INDIRECT("'数据-取费表'!k"&amp;$G$1)</f>
        <v>24230.799999999999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427</v>
      </c>
      <c r="D30" s="1083" t="s">
        <v>715</v>
      </c>
      <c r="E30" s="1084"/>
      <c r="F30" s="1068"/>
      <c r="G30" s="1380"/>
      <c r="H30" s="2693"/>
      <c r="I30" s="1394"/>
      <c r="J30" s="1395"/>
      <c r="K30" s="2471"/>
      <c r="L30" s="2694"/>
      <c r="M30" s="2695"/>
    </row>
    <row r="31" spans="1:37" ht="18" customHeight="1">
      <c r="A31" s="978" t="s">
        <v>398</v>
      </c>
      <c r="B31" s="302" t="s">
        <v>719</v>
      </c>
      <c r="C31" s="2312">
        <f ca="1">ROUND(IF(AND(项目基本情况!B11="自然人",项目基本情况!B10="北京市"),C6*F31/(1+'数据-取费表'!C42),C32+C33+C34),2)</f>
        <v>266.45</v>
      </c>
      <c r="D31" s="1341" t="s">
        <v>720</v>
      </c>
      <c r="E31" s="1340"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2" t="s">
        <v>723</v>
      </c>
      <c r="C32" s="21">
        <f ca="1">IF(项目基本情况!B11="自然人","——",ROUND(C6*F32/(1+'数据-取费表'!C42),2))</f>
        <v>83.39</v>
      </c>
      <c r="D32" s="1340" t="s">
        <v>724</v>
      </c>
      <c r="E32" s="302" t="s">
        <v>712</v>
      </c>
      <c r="F32" s="331">
        <f>'数据-取费表'!B41</f>
        <v>5.5000000000000007E-2</v>
      </c>
      <c r="G32" s="1380"/>
      <c r="H32" s="2693"/>
      <c r="I32" s="1394"/>
      <c r="J32" s="1395"/>
      <c r="K32" s="2471"/>
      <c r="L32" s="2694"/>
      <c r="M32" s="2695"/>
    </row>
    <row r="33" spans="1:18" ht="18" customHeight="1">
      <c r="A33" s="978" t="s">
        <v>399</v>
      </c>
      <c r="B33" s="302" t="s">
        <v>727</v>
      </c>
      <c r="C33" s="21">
        <f ca="1">IF(项目基本情况!B11="自然人","——",IF(D33="按租金收入计税",ROUND(C6*F33/(1+'数据-取费表'!C42),2),IF(D33="按房产原值计税",ROUND(C29*F33*0.7,2),INDIRECT("'数据-取费表'!Aj"&amp;$G$1))))</f>
        <v>181.94</v>
      </c>
      <c r="D33" s="1366" t="s">
        <v>3332</v>
      </c>
      <c r="E33" s="302" t="s">
        <v>712</v>
      </c>
      <c r="F33" s="322">
        <f>IF(D33="按票据","——",IF(D33="按租金收入计税",'数据-取费表'!B51,'数据-取费表'!B50))</f>
        <v>0.12</v>
      </c>
      <c r="G33" s="1380"/>
      <c r="H33" s="2696"/>
      <c r="I33" s="1394"/>
      <c r="J33" s="1395"/>
      <c r="K33" s="2697"/>
      <c r="L33" s="2696"/>
      <c r="M33" s="2696"/>
    </row>
    <row r="34" spans="1:18" ht="18" customHeight="1">
      <c r="A34" s="1065" t="s">
        <v>680</v>
      </c>
      <c r="B34" s="155" t="s">
        <v>730</v>
      </c>
      <c r="C34" s="22">
        <f ca="1">IF(项目基本情况!B11="自然人","——",ROUND(F34*F35/10000,2))</f>
        <v>1.1200000000000001</v>
      </c>
      <c r="D34" s="324" t="s">
        <v>731</v>
      </c>
      <c r="E34" s="302" t="s">
        <v>732</v>
      </c>
      <c r="F34" s="325">
        <f>'数据-取费表'!B52</f>
        <v>1.5</v>
      </c>
      <c r="G34" s="1380"/>
      <c r="H34" s="2693"/>
      <c r="I34" s="1394"/>
      <c r="J34" s="1395"/>
      <c r="K34" s="2698"/>
      <c r="L34" s="2699"/>
      <c r="M34" s="2699"/>
    </row>
    <row r="35" spans="1:18" ht="18" customHeight="1">
      <c r="A35" s="1099"/>
      <c r="B35" s="1097"/>
      <c r="C35" s="26"/>
      <c r="D35" s="327"/>
      <c r="E35" s="302" t="s">
        <v>736</v>
      </c>
      <c r="F35" s="303">
        <f ca="1">INDIRECT("'数据-取费表'!r"&amp;$G$1)</f>
        <v>7478.47</v>
      </c>
      <c r="G35" s="1380"/>
      <c r="H35" s="2693"/>
      <c r="I35" s="1394"/>
      <c r="J35" s="1395"/>
      <c r="K35" s="2697"/>
      <c r="L35" s="2696"/>
      <c r="M35" s="2696"/>
    </row>
    <row r="36" spans="1:18" ht="18" customHeight="1">
      <c r="A36" s="1098" t="s">
        <v>402</v>
      </c>
      <c r="B36" s="302" t="s">
        <v>738</v>
      </c>
      <c r="C36" s="21">
        <f ca="1">ROUND(C29*F36,2)</f>
        <v>127.12</v>
      </c>
      <c r="D36" s="1340" t="s">
        <v>771</v>
      </c>
      <c r="E36" s="302" t="s">
        <v>712</v>
      </c>
      <c r="F36" s="328">
        <f ca="1">INDIRECT("'数据-取费表'!Ak"&amp;$G$1)</f>
        <v>5.0000000000000001E-3</v>
      </c>
      <c r="G36" s="1380"/>
      <c r="H36" s="2696"/>
      <c r="I36" s="1394"/>
      <c r="J36" s="1395"/>
      <c r="K36" s="2540"/>
      <c r="L36" s="2696"/>
      <c r="M36" s="2696"/>
    </row>
    <row r="37" spans="1:18" ht="18" customHeight="1">
      <c r="A37" s="978" t="s">
        <v>437</v>
      </c>
      <c r="B37" s="302" t="s">
        <v>742</v>
      </c>
      <c r="C37" s="21">
        <f ca="1">ROUND(C13*F37,2)</f>
        <v>17.54</v>
      </c>
      <c r="D37" s="1340" t="s">
        <v>743</v>
      </c>
      <c r="E37" s="302" t="s">
        <v>744</v>
      </c>
      <c r="F37" s="330">
        <f ca="1">INDIRECT("'数据-取费表'!Al"&amp;$G$1)</f>
        <v>1E-3</v>
      </c>
      <c r="G37" s="1380"/>
      <c r="H37" s="2696"/>
      <c r="I37" s="1394"/>
      <c r="J37" s="1395"/>
      <c r="K37" s="2540"/>
      <c r="L37" s="2696"/>
      <c r="M37" s="2696"/>
    </row>
    <row r="38" spans="1:18" ht="18" customHeight="1" thickBot="1">
      <c r="A38" s="1085" t="s">
        <v>684</v>
      </c>
      <c r="B38" s="1086" t="s">
        <v>728</v>
      </c>
      <c r="C38" s="1087">
        <f ca="1">ROUND(C5*F38,2)</f>
        <v>15.92</v>
      </c>
      <c r="D38" s="1088" t="s">
        <v>748</v>
      </c>
      <c r="E38" s="1086" t="s">
        <v>744</v>
      </c>
      <c r="F38" s="1082">
        <f ca="1">INDIRECT("'数据-取费表'!Am"&amp;$G$1)</f>
        <v>0.01</v>
      </c>
      <c r="G38" s="1380"/>
      <c r="H38" s="2696"/>
      <c r="I38" s="1394"/>
      <c r="J38" s="1395"/>
      <c r="K38" s="2700"/>
      <c r="L38" s="2696"/>
      <c r="M38" s="2696"/>
    </row>
    <row r="39" spans="1:18" ht="24.6" customHeight="1" thickTop="1">
      <c r="A39" s="1075" t="s">
        <v>394</v>
      </c>
      <c r="B39" s="1090" t="s">
        <v>772</v>
      </c>
      <c r="C39" s="310">
        <f ca="1">C5-C30</f>
        <v>1165</v>
      </c>
      <c r="D39" s="1091" t="s">
        <v>773</v>
      </c>
      <c r="E39" s="1092"/>
      <c r="F39" s="1093"/>
      <c r="G39" s="1380"/>
      <c r="H39" s="2696"/>
      <c r="I39" s="1394"/>
      <c r="J39" s="1395"/>
      <c r="K39" s="2700"/>
      <c r="L39" s="2696"/>
      <c r="M39" s="2696"/>
    </row>
    <row r="40" spans="1:18" ht="18" customHeight="1">
      <c r="A40" s="299" t="s">
        <v>395</v>
      </c>
      <c r="B40" s="300" t="s">
        <v>774</v>
      </c>
      <c r="C40" s="301">
        <f ca="1">ROUND(C39*(1-((1+F42)/(1+F40))^F41)/(F40-F42),0)</f>
        <v>15823</v>
      </c>
      <c r="D40" s="324" t="s">
        <v>758</v>
      </c>
      <c r="E40" s="302" t="s">
        <v>759</v>
      </c>
      <c r="F40" s="312">
        <f ca="1">INDIRECT("'数据-取费表'!I"&amp;$G$1)</f>
        <v>5.5E-2</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19.12</v>
      </c>
      <c r="G41" s="1380"/>
      <c r="H41" s="1187"/>
      <c r="I41" s="1394"/>
      <c r="J41" s="1395"/>
      <c r="K41" s="2540"/>
      <c r="L41" s="1187"/>
      <c r="M41" s="1187"/>
    </row>
    <row r="42" spans="1:18" ht="18" customHeight="1">
      <c r="A42" s="308"/>
      <c r="B42" s="309"/>
      <c r="C42" s="310"/>
      <c r="D42" s="327"/>
      <c r="E42" s="302" t="s">
        <v>766</v>
      </c>
      <c r="F42" s="312">
        <f ca="1">INDIRECT("'数据-取费表'!v"&amp;$G$1)</f>
        <v>0.02</v>
      </c>
      <c r="G42" s="1380"/>
      <c r="H42" s="1187"/>
      <c r="I42" s="1394"/>
      <c r="J42" s="1395"/>
      <c r="K42" s="2540"/>
      <c r="L42" s="1187"/>
      <c r="M42" s="1187"/>
    </row>
    <row r="43" spans="1:18" ht="18" customHeight="1" thickBot="1">
      <c r="A43" s="334" t="s">
        <v>396</v>
      </c>
      <c r="B43" s="335" t="s">
        <v>776</v>
      </c>
      <c r="C43" s="336">
        <f ca="1">ROUND(C40*10000/F43,0)</f>
        <v>6530</v>
      </c>
      <c r="D43" s="337" t="s">
        <v>777</v>
      </c>
      <c r="E43" s="338" t="s">
        <v>778</v>
      </c>
      <c r="F43" s="339">
        <f ca="1">INDIRECT("'数据-取费表'!k"&amp;$G$1)</f>
        <v>24230.799999999999</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5" thickBot="1">
      <c r="A46" s="1400" t="s">
        <v>809</v>
      </c>
      <c r="C46" s="1401">
        <f ca="1">C68-C40</f>
        <v>-17524</v>
      </c>
      <c r="D46" s="1402" t="str">
        <f>C2</f>
        <v>万元</v>
      </c>
      <c r="E46" s="1396"/>
      <c r="F46" s="1396"/>
      <c r="I46" s="1403" t="s">
        <v>810</v>
      </c>
      <c r="J46" s="1404"/>
      <c r="K46" s="1405"/>
      <c r="L46" s="1406">
        <f ca="1">IF(M47="住宅",0,IF(L48&gt;J51,L60,J60))</f>
        <v>2551</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t="s">
        <v>3385</v>
      </c>
      <c r="K47" s="1412" t="s">
        <v>816</v>
      </c>
      <c r="L47" s="1413">
        <f ca="1">INDIRECT("'数据-取费表'!d"&amp;$G$1)</f>
        <v>40</v>
      </c>
      <c r="M47" s="1376" t="str">
        <f>IF(ISNUMBER(FIND("住宅",C1)),"住宅","非住宅")</f>
        <v>非住宅</v>
      </c>
      <c r="O47" s="1414" t="s">
        <v>403</v>
      </c>
      <c r="P47" s="1415" t="s">
        <v>817</v>
      </c>
      <c r="Q47" s="1416">
        <f ca="1">C40+J29</f>
        <v>15823</v>
      </c>
      <c r="R47" s="1416" t="s">
        <v>818</v>
      </c>
    </row>
    <row r="48" spans="1:18" s="1380" customFormat="1" ht="28.5" thickBot="1">
      <c r="A48" s="1106" t="s">
        <v>438</v>
      </c>
      <c r="B48" s="300" t="s">
        <v>692</v>
      </c>
      <c r="C48" s="1355">
        <f ca="1">C49+C53+C55</f>
        <v>0</v>
      </c>
      <c r="D48" s="1108"/>
      <c r="E48" s="1109"/>
      <c r="F48" s="958"/>
      <c r="G48" s="722"/>
      <c r="H48" s="723"/>
      <c r="I48" s="1417" t="s">
        <v>819</v>
      </c>
      <c r="J48" s="1418" t="s">
        <v>3386</v>
      </c>
      <c r="K48" s="1419" t="s">
        <v>820</v>
      </c>
      <c r="L48" s="1420">
        <f ca="1">INDIRECT("'数据-取费表'!f"&amp;$G$1)</f>
        <v>19.12</v>
      </c>
      <c r="O48" s="1414" t="s">
        <v>404</v>
      </c>
      <c r="P48" s="1415" t="s">
        <v>821</v>
      </c>
      <c r="Q48" s="1416">
        <f ca="1">J60</f>
        <v>2551</v>
      </c>
      <c r="R48" s="1416" t="s">
        <v>822</v>
      </c>
    </row>
    <row r="49" spans="1:18" s="1380" customFormat="1" ht="13.5" thickBot="1">
      <c r="A49" s="971" t="s">
        <v>439</v>
      </c>
      <c r="B49" s="1367" t="s">
        <v>779</v>
      </c>
      <c r="C49" s="1110">
        <f ca="1">ROUND(F49*F51*F50*(1-F52)/10000,0)</f>
        <v>0</v>
      </c>
      <c r="D49" s="1051" t="s">
        <v>2110</v>
      </c>
      <c r="E49" s="1368" t="s">
        <v>780</v>
      </c>
      <c r="F49" s="1056"/>
      <c r="G49" s="1421"/>
      <c r="H49" s="723"/>
      <c r="I49" s="1417" t="s">
        <v>823</v>
      </c>
      <c r="J49" s="1422">
        <v>1998</v>
      </c>
      <c r="K49" s="1419" t="s">
        <v>824</v>
      </c>
      <c r="L49" s="1423"/>
      <c r="O49" s="1424" t="s">
        <v>405</v>
      </c>
      <c r="P49" s="1415" t="s">
        <v>825</v>
      </c>
      <c r="Q49" s="1416">
        <f ca="1">C29</f>
        <v>25424</v>
      </c>
      <c r="R49" s="1416" t="s">
        <v>818</v>
      </c>
    </row>
    <row r="50" spans="1:18" s="1380" customFormat="1" ht="13.5" thickBot="1">
      <c r="A50" s="972"/>
      <c r="B50" s="975"/>
      <c r="C50" s="1114"/>
      <c r="D50" s="949"/>
      <c r="E50" s="1052" t="s">
        <v>697</v>
      </c>
      <c r="F50" s="1053">
        <f ca="1">F7</f>
        <v>24230.799999999999</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34</v>
      </c>
      <c r="K51" s="1430" t="s">
        <v>830</v>
      </c>
      <c r="L51" s="1431">
        <f ca="1">ROUND(-PV(INDIRECT("'数据-取费表'!h"&amp;$G$1),J51,(C39-C13*C76),0),0)</f>
        <v>-1020</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c r="O52" s="1424" t="s">
        <v>408</v>
      </c>
      <c r="P52" s="1415" t="s">
        <v>834</v>
      </c>
      <c r="Q52" s="1416">
        <f ca="1">J53</f>
        <v>19.12</v>
      </c>
      <c r="R52" s="1416" t="s">
        <v>835</v>
      </c>
    </row>
    <row r="53" spans="1:18" s="1380" customFormat="1" ht="24.75" thickBot="1">
      <c r="A53" s="1148" t="s">
        <v>440</v>
      </c>
      <c r="B53" s="1369" t="s">
        <v>700</v>
      </c>
      <c r="C53" s="316">
        <f ca="1">ROUND(IF(F53="押一",C49/12*F11,IF(F53="押二",C49/12*2*F11,IF(F53="押三",C49/12*3*F11,C54*F11))),0)</f>
        <v>0</v>
      </c>
      <c r="D53" s="1362" t="s">
        <v>2116</v>
      </c>
      <c r="E53" s="313" t="s">
        <v>701</v>
      </c>
      <c r="F53" s="1112"/>
      <c r="I53" s="1435" t="s">
        <v>836</v>
      </c>
      <c r="J53" s="2164">
        <f ca="1">IF(M47="住宅",IF(D1="——",MAX(J51,L48),MAX(J51,L48-'数据-取费表'!B24)),IF(D1="——",MIN(J51,L48),MIN(J51,L48-'数据-取费表'!B24)))</f>
        <v>19.12</v>
      </c>
      <c r="K53" s="3635" t="s">
        <v>837</v>
      </c>
      <c r="L53" s="3636"/>
      <c r="O53" s="1414" t="s">
        <v>409</v>
      </c>
      <c r="P53" s="1415" t="s">
        <v>838</v>
      </c>
      <c r="Q53" s="1416">
        <f ca="1">Q47+Q48</f>
        <v>18374</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0.248</v>
      </c>
      <c r="K55" s="1441" t="s">
        <v>841</v>
      </c>
      <c r="L55" s="1442"/>
      <c r="O55" s="1407" t="s">
        <v>811</v>
      </c>
      <c r="P55" s="1408" t="s">
        <v>812</v>
      </c>
      <c r="Q55" s="1409" t="s">
        <v>813</v>
      </c>
      <c r="R55" s="1409" t="s">
        <v>814</v>
      </c>
    </row>
    <row r="56" spans="1:18" s="1380" customFormat="1" ht="25.5" thickTop="1" thickBot="1">
      <c r="A56" s="953">
        <v>2</v>
      </c>
      <c r="B56" s="954" t="s">
        <v>704</v>
      </c>
      <c r="C56" s="232">
        <f ca="1">C13</f>
        <v>17543</v>
      </c>
      <c r="D56" s="1443"/>
      <c r="E56" s="1444"/>
      <c r="F56" s="1436"/>
      <c r="I56" s="1445" t="s">
        <v>842</v>
      </c>
      <c r="J56" s="1446" t="s">
        <v>3387</v>
      </c>
      <c r="K56" s="1417" t="s">
        <v>843</v>
      </c>
      <c r="L56" s="1420" t="str">
        <f ca="1">IF(L48&lt;J51,"——",L48-J53)</f>
        <v>——</v>
      </c>
      <c r="O56" s="1414" t="s">
        <v>403</v>
      </c>
      <c r="P56" s="1415" t="s">
        <v>817</v>
      </c>
      <c r="Q56" s="1416">
        <f ca="1">C40+J29</f>
        <v>15823</v>
      </c>
      <c r="R56" s="1416" t="s">
        <v>818</v>
      </c>
    </row>
    <row r="57" spans="1:18" s="1380" customFormat="1" ht="24.75" thickBot="1">
      <c r="A57" s="1447"/>
      <c r="B57" s="946" t="s">
        <v>767</v>
      </c>
      <c r="C57" s="238">
        <f ca="1">C29</f>
        <v>25424</v>
      </c>
      <c r="D57" s="1448"/>
      <c r="E57" s="1449"/>
      <c r="F57" s="1450"/>
      <c r="I57" s="1451" t="s">
        <v>844</v>
      </c>
      <c r="J57" s="1452">
        <f ca="1">IF(OR(M47="住宅",J51&lt;L48,J56="是"),"——",J51-L48)</f>
        <v>14.879999999999999</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4" t="s">
        <v>714</v>
      </c>
      <c r="C58" s="316">
        <f ca="1">ROUND(C59+C64+C65+C66,0)</f>
        <v>146</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1</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10170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5.5000000000000007E-2</v>
      </c>
      <c r="I60" s="1454" t="s">
        <v>853</v>
      </c>
      <c r="J60" s="1455">
        <f ca="1">IF(OR(M47="住宅",J51&lt;L48,J56="是"),"0",ROUND(J59/(1+J52)^J53,0))</f>
        <v>2551</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3332</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1.1200000000000001</v>
      </c>
      <c r="D62" s="961" t="s">
        <v>786</v>
      </c>
      <c r="E62" s="946" t="s">
        <v>787</v>
      </c>
      <c r="F62" s="325">
        <f t="shared" si="0"/>
        <v>1.5</v>
      </c>
      <c r="I62" s="1458" t="s">
        <v>858</v>
      </c>
      <c r="J62" s="1459" t="s">
        <v>859</v>
      </c>
      <c r="K62" s="1459" t="s">
        <v>860</v>
      </c>
      <c r="L62" s="1459" t="s">
        <v>861</v>
      </c>
      <c r="M62" s="1460" t="s">
        <v>862</v>
      </c>
      <c r="O62" s="1414" t="s">
        <v>409</v>
      </c>
      <c r="P62" s="1415" t="s">
        <v>863</v>
      </c>
      <c r="Q62" s="1416">
        <f ca="1">Q56+Q57</f>
        <v>15823</v>
      </c>
      <c r="R62" s="1416" t="s">
        <v>410</v>
      </c>
    </row>
    <row r="63" spans="1:18" s="1380" customFormat="1" ht="13.5" thickBot="1">
      <c r="A63" s="326"/>
      <c r="B63" s="952"/>
      <c r="C63" s="26"/>
      <c r="D63" s="962"/>
      <c r="E63" s="946" t="s">
        <v>788</v>
      </c>
      <c r="F63" s="303">
        <f t="shared" ca="1" si="0"/>
        <v>7478.47</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127.12</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17.54</v>
      </c>
      <c r="D65" s="960" t="s">
        <v>743</v>
      </c>
      <c r="E65" s="946" t="s">
        <v>744</v>
      </c>
      <c r="F65" s="330">
        <f t="shared" ca="1" si="0"/>
        <v>1E-3</v>
      </c>
      <c r="I65" s="1458" t="s">
        <v>867</v>
      </c>
      <c r="J65" s="1459">
        <v>40</v>
      </c>
      <c r="K65" s="1459">
        <v>30</v>
      </c>
      <c r="L65" s="1459">
        <v>50</v>
      </c>
      <c r="M65" s="1461">
        <v>0.02</v>
      </c>
      <c r="O65" s="1414" t="s">
        <v>403</v>
      </c>
      <c r="P65" s="1415" t="s">
        <v>868</v>
      </c>
      <c r="Q65" s="1416">
        <f ca="1">C40+J29</f>
        <v>15823</v>
      </c>
      <c r="R65" s="1416" t="s">
        <v>818</v>
      </c>
    </row>
    <row r="66" spans="1:18" s="1380" customFormat="1" ht="16.5" thickBot="1">
      <c r="A66" s="978" t="s">
        <v>793</v>
      </c>
      <c r="B66" s="946" t="s">
        <v>728</v>
      </c>
      <c r="C66" s="21">
        <f ca="1">ROUND(C48*F66,2)</f>
        <v>0</v>
      </c>
      <c r="D66" s="960" t="s">
        <v>794</v>
      </c>
      <c r="E66" s="946" t="s">
        <v>712</v>
      </c>
      <c r="F66" s="312">
        <f t="shared" ca="1" si="0"/>
        <v>0.01</v>
      </c>
      <c r="O66" s="1414" t="s">
        <v>404</v>
      </c>
      <c r="P66" s="1415" t="s">
        <v>846</v>
      </c>
      <c r="Q66" s="1416">
        <f ca="1">L60</f>
        <v>0</v>
      </c>
      <c r="R66" s="1416" t="s">
        <v>869</v>
      </c>
    </row>
    <row r="67" spans="1:18" s="1380" customFormat="1" ht="16.5" thickBot="1">
      <c r="A67" s="953" t="s">
        <v>394</v>
      </c>
      <c r="B67" s="963" t="s">
        <v>752</v>
      </c>
      <c r="C67" s="316">
        <f ca="1">C48-C58</f>
        <v>-146</v>
      </c>
      <c r="D67" s="959" t="s">
        <v>753</v>
      </c>
      <c r="E67" s="964"/>
      <c r="F67" s="965"/>
      <c r="O67" s="1424" t="s">
        <v>405</v>
      </c>
      <c r="P67" s="1415" t="s">
        <v>850</v>
      </c>
      <c r="Q67" s="1462">
        <f ca="1">L51</f>
        <v>-1020</v>
      </c>
      <c r="R67" s="1416" t="s">
        <v>870</v>
      </c>
    </row>
    <row r="68" spans="1:18" s="1380" customFormat="1" ht="16.5" thickBot="1">
      <c r="A68" s="943" t="s">
        <v>395</v>
      </c>
      <c r="B68" s="944" t="s">
        <v>774</v>
      </c>
      <c r="C68" s="301">
        <f ca="1">ROUND(C67*(1-((1+F70)/(1+F68))^F69)/(F68-F70),0)</f>
        <v>-1701</v>
      </c>
      <c r="D68" s="961" t="s">
        <v>758</v>
      </c>
      <c r="E68" s="946" t="s">
        <v>759</v>
      </c>
      <c r="F68" s="312">
        <f ca="1">F40</f>
        <v>5.5E-2</v>
      </c>
      <c r="O68" s="1424" t="s">
        <v>406</v>
      </c>
      <c r="P68" s="1463" t="s">
        <v>871</v>
      </c>
      <c r="Q68" s="1416">
        <f ca="1">ROUND(Q69-Q70*Q71,0)</f>
        <v>-63</v>
      </c>
      <c r="R68" s="1416" t="s">
        <v>414</v>
      </c>
    </row>
    <row r="69" spans="1:18" s="1380" customFormat="1" ht="13.5" thickBot="1">
      <c r="A69" s="947"/>
      <c r="B69" s="948"/>
      <c r="C69" s="306"/>
      <c r="D69" s="966" t="s">
        <v>762</v>
      </c>
      <c r="E69" s="946" t="s">
        <v>763</v>
      </c>
      <c r="F69" s="333">
        <f ca="1">F41</f>
        <v>19.12</v>
      </c>
      <c r="O69" s="1424" t="s">
        <v>411</v>
      </c>
      <c r="P69" s="1463" t="s">
        <v>872</v>
      </c>
      <c r="Q69" s="1416">
        <f ca="1">C39</f>
        <v>1165</v>
      </c>
      <c r="R69" s="1416" t="s">
        <v>818</v>
      </c>
    </row>
    <row r="70" spans="1:18" s="1380" customFormat="1" ht="13.5" thickBot="1">
      <c r="A70" s="950"/>
      <c r="B70" s="951"/>
      <c r="C70" s="310"/>
      <c r="D70" s="962"/>
      <c r="E70" s="946" t="s">
        <v>766</v>
      </c>
      <c r="F70" s="1050"/>
      <c r="O70" s="1424" t="s">
        <v>412</v>
      </c>
      <c r="P70" s="1463" t="s">
        <v>873</v>
      </c>
      <c r="Q70" s="1416">
        <f ca="1">C13</f>
        <v>17543</v>
      </c>
      <c r="R70" s="1416" t="s">
        <v>818</v>
      </c>
    </row>
    <row r="71" spans="1:18" s="1380" customFormat="1" ht="13.5" thickBot="1">
      <c r="A71" s="967" t="s">
        <v>396</v>
      </c>
      <c r="B71" s="968" t="s">
        <v>776</v>
      </c>
      <c r="C71" s="336">
        <f ca="1">ROUND(C68*10000/F71,0)</f>
        <v>-702</v>
      </c>
      <c r="D71" s="969" t="s">
        <v>777</v>
      </c>
      <c r="E71" s="970" t="s">
        <v>778</v>
      </c>
      <c r="F71" s="339">
        <f ca="1">F43</f>
        <v>24230.799999999999</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1228</v>
      </c>
      <c r="D75" s="1380"/>
      <c r="E75" s="1380"/>
      <c r="F75" s="1380"/>
      <c r="K75" s="1398"/>
      <c r="L75" s="1380"/>
      <c r="O75" s="1414" t="s">
        <v>409</v>
      </c>
      <c r="P75" s="1415" t="s">
        <v>838</v>
      </c>
      <c r="Q75" s="1416">
        <f ca="1">Q65+Q66</f>
        <v>15823</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-5.4000000000000048E-2</v>
      </c>
    </row>
    <row r="80" spans="1:18">
      <c r="B80" s="340" t="s">
        <v>800</v>
      </c>
      <c r="C80" s="274">
        <f ca="1">ROUND(C75/C39,3)</f>
        <v>1.054</v>
      </c>
    </row>
    <row r="81" spans="2:3">
      <c r="B81" s="270" t="s">
        <v>801</v>
      </c>
      <c r="C81" s="238"/>
    </row>
    <row r="82" spans="2:3">
      <c r="B82" s="273" t="s">
        <v>802</v>
      </c>
      <c r="C82" s="275">
        <f ca="1">1-C83</f>
        <v>-0.10899999999999999</v>
      </c>
    </row>
    <row r="83" spans="2:3">
      <c r="B83" s="273" t="s">
        <v>803</v>
      </c>
      <c r="C83" s="274">
        <f ca="1">ROUND(C13/C40,3)</f>
        <v>1.109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51" sqref="F51"/>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2433</v>
      </c>
      <c r="B1" s="2828"/>
      <c r="C1" s="2840"/>
      <c r="D1" s="2840"/>
      <c r="E1" s="2829"/>
      <c r="F1" s="2830"/>
      <c r="G1" s="2831"/>
      <c r="J1" s="2834" t="s">
        <v>2318</v>
      </c>
      <c r="K1" s="2835"/>
      <c r="L1" s="2835"/>
      <c r="M1" s="2835"/>
      <c r="N1" s="2835"/>
      <c r="O1" s="2835"/>
      <c r="P1" s="2835"/>
      <c r="Q1" s="2835"/>
      <c r="R1" s="2836"/>
      <c r="S1" s="2837"/>
      <c r="T1" s="2837"/>
      <c r="U1" s="2837"/>
    </row>
    <row r="2" spans="1:22" s="2849" customFormat="1" ht="13.15" customHeight="1">
      <c r="A2" s="1381" t="s">
        <v>2319</v>
      </c>
      <c r="B2" s="2839">
        <f ca="1">IF(D2="——",C40,C40+E2)</f>
        <v>22393</v>
      </c>
      <c r="C2" s="2840" t="s">
        <v>2320</v>
      </c>
      <c r="D2" s="3439" t="s">
        <v>3355</v>
      </c>
      <c r="E2" s="3440">
        <f ca="1">收益法!J60</f>
        <v>2551</v>
      </c>
      <c r="F2" s="2842"/>
      <c r="G2" s="2843"/>
      <c r="H2" s="2844"/>
      <c r="I2" s="2845"/>
      <c r="J2" s="3643" t="s">
        <v>2321</v>
      </c>
      <c r="K2" s="3644"/>
      <c r="L2" s="2846" t="s">
        <v>2322</v>
      </c>
      <c r="M2" s="2846" t="s">
        <v>2323</v>
      </c>
      <c r="N2" s="2846" t="s">
        <v>2324</v>
      </c>
      <c r="O2" s="2846" t="s">
        <v>2325</v>
      </c>
      <c r="P2" s="2846" t="s">
        <v>2326</v>
      </c>
      <c r="Q2" s="2847" t="s">
        <v>2327</v>
      </c>
      <c r="R2" s="2848" t="s">
        <v>2328</v>
      </c>
      <c r="S2" s="2837"/>
      <c r="T2" s="2837"/>
      <c r="U2" s="2837"/>
      <c r="V2" s="2845"/>
    </row>
    <row r="3" spans="1:22" s="2849" customFormat="1" ht="13.15" customHeight="1">
      <c r="A3" s="2850" t="s">
        <v>2329</v>
      </c>
      <c r="B3" s="2851">
        <f ca="1">ROUND(B2*10000/B4,0)</f>
        <v>9242</v>
      </c>
      <c r="C3" s="2840" t="s">
        <v>2330</v>
      </c>
      <c r="D3" s="2840"/>
      <c r="E3" s="2841"/>
      <c r="F3" s="2842"/>
      <c r="G3" s="2843"/>
      <c r="H3" s="2844"/>
      <c r="I3" s="2845"/>
      <c r="J3" s="3645" t="s">
        <v>2331</v>
      </c>
      <c r="K3" s="3646"/>
      <c r="L3" s="2852"/>
      <c r="M3" s="2852"/>
      <c r="N3" s="2852"/>
      <c r="O3" s="2852"/>
      <c r="P3" s="2852"/>
      <c r="Q3" s="2853"/>
      <c r="R3" s="2854">
        <f>SUM(L3:Q3)</f>
        <v>0</v>
      </c>
      <c r="S3" s="2837"/>
      <c r="T3" s="2837"/>
      <c r="U3" s="2837"/>
      <c r="V3" s="2845"/>
    </row>
    <row r="4" spans="1:22" s="2849" customFormat="1" ht="13.15" customHeight="1">
      <c r="A4" s="2855" t="s">
        <v>2332</v>
      </c>
      <c r="B4" s="2856">
        <f>'数据-汇总表'!E3</f>
        <v>24230.799999999999</v>
      </c>
      <c r="C4" s="2840"/>
      <c r="D4" s="2840"/>
      <c r="E4" s="2841"/>
      <c r="F4" s="2842"/>
      <c r="G4" s="2843"/>
      <c r="H4" s="2844"/>
      <c r="I4" s="2845"/>
      <c r="J4" s="3645" t="s">
        <v>2333</v>
      </c>
      <c r="K4" s="3646"/>
      <c r="L4" s="2857"/>
      <c r="M4" s="2857"/>
      <c r="N4" s="2857"/>
      <c r="O4" s="2857"/>
      <c r="P4" s="2857"/>
      <c r="Q4" s="2858"/>
      <c r="R4" s="2859">
        <f>SUM(L4:Q4)</f>
        <v>0</v>
      </c>
      <c r="S4" s="2837"/>
      <c r="T4" s="2837"/>
      <c r="U4" s="2837"/>
      <c r="V4" s="2845"/>
    </row>
    <row r="5" spans="1:22" s="2849" customFormat="1" ht="13.15"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3383</v>
      </c>
      <c r="S5" s="2837"/>
      <c r="T5" s="2837" t="s">
        <v>2336</v>
      </c>
      <c r="U5" s="2837" t="e">
        <f>ROUND(R5*10000/365/R3,1)</f>
        <v>#DIV/0!</v>
      </c>
      <c r="V5" s="2845"/>
    </row>
    <row r="6" spans="1:22" s="2849" customFormat="1" ht="13.15" customHeight="1" thickBot="1">
      <c r="A6" s="3651" t="s">
        <v>2337</v>
      </c>
      <c r="B6" s="3652"/>
      <c r="C6" s="3653"/>
      <c r="D6" s="2866">
        <f>R5</f>
        <v>3383</v>
      </c>
      <c r="E6" s="2867"/>
      <c r="F6" s="2868"/>
      <c r="G6" s="2869"/>
      <c r="H6" s="2844"/>
      <c r="I6" s="2845"/>
      <c r="J6" s="3637">
        <v>1</v>
      </c>
      <c r="K6" s="3638"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15" customHeight="1">
      <c r="A7" s="2872" t="s">
        <v>2347</v>
      </c>
      <c r="B7" s="2873"/>
      <c r="C7" s="2874"/>
      <c r="D7" s="2875">
        <f ca="1">SUM(D9,D10,D11,D17,0)</f>
        <v>1753</v>
      </c>
      <c r="E7" s="2876">
        <f ca="1">E9+E10+E11+E17</f>
        <v>0.5182382500738989</v>
      </c>
      <c r="F7" s="2877"/>
      <c r="G7" s="2878"/>
      <c r="H7" s="2844"/>
      <c r="I7" s="2845"/>
      <c r="J7" s="3637"/>
      <c r="K7" s="3639"/>
      <c r="L7" s="2879" t="s">
        <v>3417</v>
      </c>
      <c r="M7" s="2880">
        <v>153</v>
      </c>
      <c r="N7" s="2856">
        <v>450</v>
      </c>
      <c r="O7" s="2881">
        <v>1</v>
      </c>
      <c r="P7" s="2881">
        <v>0.65</v>
      </c>
      <c r="Q7" s="2882">
        <v>365</v>
      </c>
      <c r="R7" s="2883">
        <f>ROUND(M7*N7*O7*P7*Q7/10000,0)</f>
        <v>1633</v>
      </c>
      <c r="S7" s="2837"/>
      <c r="T7" s="2837" t="s">
        <v>2348</v>
      </c>
      <c r="U7" s="2837"/>
      <c r="V7" s="2845"/>
    </row>
    <row r="8" spans="1:22" s="2849" customFormat="1" ht="13.15" customHeight="1">
      <c r="A8" s="2884" t="s">
        <v>2349</v>
      </c>
      <c r="B8" s="3654" t="s">
        <v>2350</v>
      </c>
      <c r="C8" s="3655"/>
      <c r="D8" s="2885" t="s">
        <v>2351</v>
      </c>
      <c r="E8" s="2886" t="s">
        <v>2352</v>
      </c>
      <c r="F8" s="2887" t="s">
        <v>2353</v>
      </c>
      <c r="G8" s="2888"/>
      <c r="H8" s="2844"/>
      <c r="I8" s="2845"/>
      <c r="J8" s="3637"/>
      <c r="K8" s="3639"/>
      <c r="L8" s="2879" t="s">
        <v>3418</v>
      </c>
      <c r="M8" s="2880">
        <v>11</v>
      </c>
      <c r="N8" s="2856">
        <v>450</v>
      </c>
      <c r="O8" s="2881">
        <v>1</v>
      </c>
      <c r="P8" s="2881">
        <f>P7</f>
        <v>0.65</v>
      </c>
      <c r="Q8" s="2882">
        <v>365</v>
      </c>
      <c r="R8" s="2883">
        <f t="shared" ref="R8:R13" si="0">ROUND(M8*N8*O8*P8*Q8/10000,0)</f>
        <v>117</v>
      </c>
      <c r="S8" s="2837"/>
      <c r="T8" s="2837" t="s">
        <v>2354</v>
      </c>
      <c r="U8" s="2837"/>
      <c r="V8" s="2845"/>
    </row>
    <row r="9" spans="1:22" s="2849" customFormat="1" ht="13.15" customHeight="1">
      <c r="A9" s="2884">
        <v>1</v>
      </c>
      <c r="B9" s="3654" t="s">
        <v>2355</v>
      </c>
      <c r="C9" s="3655"/>
      <c r="D9" s="2885">
        <f>ROUND(D6*E9,0)</f>
        <v>677</v>
      </c>
      <c r="E9" s="2889">
        <v>0.2</v>
      </c>
      <c r="F9" s="2890" t="s">
        <v>2356</v>
      </c>
      <c r="G9" s="2869"/>
      <c r="H9" s="2844"/>
      <c r="I9" s="2845"/>
      <c r="J9" s="3637"/>
      <c r="K9" s="3639"/>
      <c r="L9" s="2879" t="s">
        <v>3419</v>
      </c>
      <c r="M9" s="2880">
        <v>5</v>
      </c>
      <c r="N9" s="2856">
        <v>650</v>
      </c>
      <c r="O9" s="2881">
        <v>1</v>
      </c>
      <c r="P9" s="2881">
        <f>P7</f>
        <v>0.65</v>
      </c>
      <c r="Q9" s="2882">
        <v>365</v>
      </c>
      <c r="R9" s="2883">
        <f t="shared" si="0"/>
        <v>77</v>
      </c>
      <c r="S9" s="2837"/>
      <c r="T9" s="2837"/>
      <c r="U9" s="2837"/>
      <c r="V9" s="2845"/>
    </row>
    <row r="10" spans="1:22" s="2849" customFormat="1" ht="13.15" customHeight="1">
      <c r="A10" s="2884">
        <v>2</v>
      </c>
      <c r="B10" s="3654" t="s">
        <v>2357</v>
      </c>
      <c r="C10" s="3655"/>
      <c r="D10" s="2885">
        <f>ROUND(D6*E10,0)</f>
        <v>507</v>
      </c>
      <c r="E10" s="2889">
        <v>0.15</v>
      </c>
      <c r="F10" s="2890" t="s">
        <v>2358</v>
      </c>
      <c r="G10" s="2869"/>
      <c r="H10" s="2844"/>
      <c r="I10" s="2845"/>
      <c r="J10" s="3637"/>
      <c r="K10" s="3639"/>
      <c r="L10" s="2879" t="s">
        <v>3420</v>
      </c>
      <c r="M10" s="2880">
        <v>12</v>
      </c>
      <c r="N10" s="2856">
        <v>750</v>
      </c>
      <c r="O10" s="2881">
        <v>1</v>
      </c>
      <c r="P10" s="2881">
        <v>0.5</v>
      </c>
      <c r="Q10" s="2882">
        <v>365</v>
      </c>
      <c r="R10" s="2883">
        <f t="shared" si="0"/>
        <v>164</v>
      </c>
      <c r="S10" s="2837"/>
      <c r="T10" s="2837"/>
      <c r="U10" s="2837"/>
      <c r="V10" s="2845"/>
    </row>
    <row r="11" spans="1:22" s="2849" customFormat="1" ht="13.15" customHeight="1">
      <c r="A11" s="2884">
        <v>3</v>
      </c>
      <c r="B11" s="3654" t="s">
        <v>2359</v>
      </c>
      <c r="C11" s="3655"/>
      <c r="D11" s="2885">
        <f ca="1">D12+D14+D15+D16</f>
        <v>400</v>
      </c>
      <c r="E11" s="2891">
        <f ca="1">D11/D6</f>
        <v>0.1182382500738989</v>
      </c>
      <c r="F11" s="2887"/>
      <c r="G11" s="2888"/>
      <c r="H11" s="2844"/>
      <c r="I11" s="2845"/>
      <c r="J11" s="3637"/>
      <c r="K11" s="3639"/>
      <c r="L11" s="2879" t="s">
        <v>3421</v>
      </c>
      <c r="M11" s="2880">
        <v>4</v>
      </c>
      <c r="N11" s="2856">
        <v>1200</v>
      </c>
      <c r="O11" s="2881">
        <v>1</v>
      </c>
      <c r="P11" s="2881">
        <v>0.4</v>
      </c>
      <c r="Q11" s="2882">
        <v>365</v>
      </c>
      <c r="R11" s="2883">
        <f t="shared" si="0"/>
        <v>70</v>
      </c>
      <c r="S11" s="2837"/>
      <c r="T11" s="2837"/>
      <c r="U11" s="2837"/>
      <c r="V11" s="2845"/>
    </row>
    <row r="12" spans="1:22" s="2849" customFormat="1" ht="13.15" customHeight="1">
      <c r="A12" s="2892" t="s">
        <v>2360</v>
      </c>
      <c r="B12" s="3647" t="s">
        <v>2361</v>
      </c>
      <c r="C12" s="3648"/>
      <c r="D12" s="2893">
        <f ca="1">ROUND(D13*1.2%*(1-30%),0)</f>
        <v>214</v>
      </c>
      <c r="E12" s="2894">
        <v>1.2E-2</v>
      </c>
      <c r="F12" s="2887" t="s">
        <v>2362</v>
      </c>
      <c r="G12" s="2888"/>
      <c r="H12" s="2844"/>
      <c r="I12" s="2845"/>
      <c r="J12" s="3637"/>
      <c r="K12" s="3639"/>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f ca="1">成本法!C49</f>
        <v>25424</v>
      </c>
      <c r="E13" s="2898"/>
      <c r="F13" s="2887"/>
      <c r="G13" s="2888"/>
      <c r="H13" s="2844"/>
      <c r="I13" s="2845"/>
      <c r="J13" s="3637"/>
      <c r="K13" s="3639"/>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647" t="s">
        <v>2367</v>
      </c>
      <c r="C14" s="3648"/>
      <c r="D14" s="2893">
        <f>ROUND(E14*B5/10000,0)</f>
        <v>0</v>
      </c>
      <c r="E14" s="3786">
        <v>1.5</v>
      </c>
      <c r="F14" s="2887" t="s">
        <v>2368</v>
      </c>
      <c r="G14" s="2888"/>
      <c r="H14" s="2844"/>
      <c r="I14" s="2845"/>
      <c r="J14" s="3637"/>
      <c r="K14" s="3640"/>
      <c r="L14" s="2899" t="s">
        <v>2369</v>
      </c>
      <c r="M14" s="2900">
        <f>SUM(M7:M13)</f>
        <v>185</v>
      </c>
      <c r="N14" s="2900">
        <f>ROUND((N7*M7+N8*M8+N9*M9+N10*M10+N11*M11+N12*M12+N13*M13)/M14,0)</f>
        <v>491</v>
      </c>
      <c r="O14" s="2901"/>
      <c r="P14" s="2901"/>
      <c r="Q14" s="2902"/>
      <c r="R14" s="2848">
        <f>SUM(R7:R13)</f>
        <v>2061</v>
      </c>
      <c r="S14" s="2837"/>
      <c r="T14" s="2837"/>
      <c r="U14" s="2837"/>
      <c r="V14" s="2845"/>
    </row>
    <row r="15" spans="1:22" s="2849" customFormat="1" ht="13.15" customHeight="1">
      <c r="A15" s="2892" t="s">
        <v>2370</v>
      </c>
      <c r="B15" s="3647" t="s">
        <v>2371</v>
      </c>
      <c r="C15" s="3648"/>
      <c r="D15" s="2893">
        <f>ROUND(D6*E15,0)</f>
        <v>186</v>
      </c>
      <c r="E15" s="2894">
        <v>5.5E-2</v>
      </c>
      <c r="F15" s="2887" t="s">
        <v>2372</v>
      </c>
      <c r="G15" s="2869"/>
      <c r="H15" s="2844"/>
      <c r="I15" s="2845"/>
      <c r="J15" s="3637">
        <v>2</v>
      </c>
      <c r="K15" s="3638" t="s">
        <v>2373</v>
      </c>
      <c r="L15" s="2879" t="s">
        <v>2374</v>
      </c>
      <c r="M15" s="2880" t="s">
        <v>2375</v>
      </c>
      <c r="N15" s="2880" t="s">
        <v>2376</v>
      </c>
      <c r="O15" s="2881" t="s">
        <v>2377</v>
      </c>
      <c r="P15" s="2881" t="s">
        <v>2344</v>
      </c>
      <c r="Q15" s="2856" t="s">
        <v>2378</v>
      </c>
      <c r="R15" s="2903" t="s">
        <v>2345</v>
      </c>
      <c r="S15" s="2837"/>
      <c r="T15" s="2837"/>
      <c r="U15" s="2837"/>
      <c r="V15" s="2845"/>
    </row>
    <row r="16" spans="1:22" s="2849" customFormat="1" ht="13.15" customHeight="1">
      <c r="A16" s="2892" t="s">
        <v>2379</v>
      </c>
      <c r="B16" s="3647" t="s">
        <v>2380</v>
      </c>
      <c r="C16" s="3648"/>
      <c r="D16" s="2904">
        <f>D6*E16</f>
        <v>0</v>
      </c>
      <c r="E16" s="2905"/>
      <c r="F16" s="2890" t="s">
        <v>2381</v>
      </c>
      <c r="G16" s="2869"/>
      <c r="H16" s="2844"/>
      <c r="I16" s="2845"/>
      <c r="J16" s="3637"/>
      <c r="K16" s="3639"/>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649" t="s">
        <v>2383</v>
      </c>
      <c r="C17" s="3650"/>
      <c r="D17" s="2907">
        <f>ROUND(D6*E17,0)</f>
        <v>169</v>
      </c>
      <c r="E17" s="2908">
        <v>0.05</v>
      </c>
      <c r="F17" s="2909" t="s">
        <v>2384</v>
      </c>
      <c r="G17" s="2869"/>
      <c r="H17" s="2844"/>
      <c r="I17" s="2845"/>
      <c r="J17" s="3637"/>
      <c r="K17" s="3639"/>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169</v>
      </c>
      <c r="E18" s="2911">
        <v>0.05</v>
      </c>
      <c r="F18" s="2912" t="s">
        <v>2387</v>
      </c>
      <c r="G18" s="2869"/>
      <c r="H18" s="2844"/>
      <c r="I18" s="2845"/>
      <c r="J18" s="3637"/>
      <c r="K18" s="3639"/>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637"/>
      <c r="K19" s="3640"/>
      <c r="L19" s="2899" t="s">
        <v>2369</v>
      </c>
      <c r="M19" s="2900"/>
      <c r="N19" s="2900">
        <f>SUM(N16:N18)</f>
        <v>0</v>
      </c>
      <c r="O19" s="2901"/>
      <c r="P19" s="2914" t="s">
        <v>3422</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37">
        <v>3</v>
      </c>
      <c r="K20" s="3638"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637"/>
      <c r="K21" s="3639"/>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637"/>
      <c r="K22" s="3639"/>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3383</v>
      </c>
      <c r="D23" s="2930">
        <f>C23*(1+D24)</f>
        <v>3383</v>
      </c>
      <c r="E23" s="2931">
        <f>D23*(1+E24)</f>
        <v>3383</v>
      </c>
      <c r="F23" s="2932"/>
      <c r="G23" s="2933"/>
      <c r="H23" s="2844"/>
      <c r="I23" s="2845"/>
      <c r="J23" s="3637"/>
      <c r="K23" s="3639"/>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637"/>
      <c r="K24" s="3640"/>
      <c r="L24" s="2899" t="s">
        <v>2369</v>
      </c>
      <c r="M24" s="2900">
        <f>SUM(M21:M23)</f>
        <v>0</v>
      </c>
      <c r="N24" s="2900"/>
      <c r="O24" s="2901"/>
      <c r="P24" s="2914" t="s">
        <v>3422</v>
      </c>
      <c r="Q24" s="2881">
        <v>0.05</v>
      </c>
      <c r="R24" s="2915">
        <f>ROUND(IF(P24="按比例",R14*Q24,SUM(R21:R23)),0)</f>
        <v>103</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0.1</v>
      </c>
      <c r="R25" s="2915">
        <f>ROUND(R14*Q25,0)</f>
        <v>206</v>
      </c>
      <c r="S25" s="2837">
        <f>Sheet2!L10</f>
        <v>1012.77</v>
      </c>
      <c r="T25" s="2837"/>
      <c r="U25" s="2837"/>
      <c r="V25" s="2945"/>
    </row>
    <row r="26" spans="1:22" s="2946" customFormat="1" ht="13.15" customHeight="1">
      <c r="A26" s="2927">
        <v>2</v>
      </c>
      <c r="B26" s="2928" t="s">
        <v>2410</v>
      </c>
      <c r="C26" s="2929">
        <f ca="1">D7</f>
        <v>1753</v>
      </c>
      <c r="D26" s="2930">
        <f>D23*D27</f>
        <v>0</v>
      </c>
      <c r="E26" s="2931">
        <f>E23*E27</f>
        <v>0</v>
      </c>
      <c r="F26" s="2932"/>
      <c r="G26" s="2933"/>
      <c r="H26" s="2844"/>
      <c r="I26" s="2845"/>
      <c r="J26" s="3641">
        <v>5</v>
      </c>
      <c r="K26" s="2947" t="s">
        <v>2411</v>
      </c>
      <c r="L26" s="2948"/>
      <c r="M26" s="2949"/>
      <c r="N26" s="2950" t="s">
        <v>2412</v>
      </c>
      <c r="O26" s="2950" t="s">
        <v>2413</v>
      </c>
      <c r="P26" s="2951" t="s">
        <v>2414</v>
      </c>
      <c r="Q26" s="2951" t="s">
        <v>2415</v>
      </c>
      <c r="R26" s="2854" t="s">
        <v>2345</v>
      </c>
      <c r="S26" s="2952"/>
      <c r="T26" s="2952"/>
      <c r="U26" s="2952"/>
      <c r="V26" s="2945"/>
    </row>
    <row r="27" spans="1:22" s="2849" customFormat="1" ht="13.15" customHeight="1">
      <c r="A27" s="2934"/>
      <c r="B27" s="2935" t="s">
        <v>2416</v>
      </c>
      <c r="C27" s="2953">
        <f ca="1">E7</f>
        <v>0.5182382500738989</v>
      </c>
      <c r="D27" s="2937"/>
      <c r="E27" s="2938"/>
      <c r="F27" s="2939"/>
      <c r="G27" s="2933"/>
      <c r="H27" s="2954"/>
      <c r="I27" s="2945"/>
      <c r="J27" s="364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f>ROUND(S25,0)</f>
        <v>1013</v>
      </c>
      <c r="S28" s="2918"/>
      <c r="T28" s="2918"/>
      <c r="U28" s="2918"/>
      <c r="V28" s="2945"/>
    </row>
    <row r="29" spans="1:22" s="2946" customFormat="1" ht="13.15" customHeight="1">
      <c r="A29" s="2927">
        <v>3</v>
      </c>
      <c r="B29" s="2928" t="s">
        <v>2422</v>
      </c>
      <c r="C29" s="2929">
        <f>C23*C30</f>
        <v>169.15</v>
      </c>
      <c r="D29" s="2930">
        <f>D23*C30</f>
        <v>169.15</v>
      </c>
      <c r="E29" s="2931">
        <f>E23*C30</f>
        <v>169.15</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0.05</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 ca="1">C23-C26-C29</f>
        <v>1460.85</v>
      </c>
      <c r="D32" s="2930">
        <f>D23-D26-D29</f>
        <v>3213.85</v>
      </c>
      <c r="E32" s="2931">
        <f>E23-E26-E29</f>
        <v>3213.85</v>
      </c>
      <c r="F32" s="2932"/>
      <c r="G32" s="2926"/>
      <c r="H32" s="2844"/>
      <c r="I32" s="2845"/>
      <c r="J32" s="3643" t="s">
        <v>2321</v>
      </c>
      <c r="K32" s="3644"/>
      <c r="L32" s="2846" t="s">
        <v>2322</v>
      </c>
      <c r="M32" s="2846" t="s">
        <v>2323</v>
      </c>
      <c r="N32" s="2846" t="s">
        <v>2324</v>
      </c>
      <c r="O32" s="2846" t="s">
        <v>2325</v>
      </c>
      <c r="P32" s="2846" t="s">
        <v>2326</v>
      </c>
      <c r="Q32" s="2847" t="s">
        <v>2327</v>
      </c>
      <c r="R32" s="2969" t="s">
        <v>2328</v>
      </c>
      <c r="S32" s="2918"/>
      <c r="T32" s="2837"/>
      <c r="U32" s="2837"/>
      <c r="V32" s="2945"/>
    </row>
    <row r="33" spans="1:23" s="2849" customFormat="1" ht="13.15" customHeight="1">
      <c r="A33" s="2927"/>
      <c r="B33" s="2928"/>
      <c r="C33" s="2929"/>
      <c r="D33" s="2970"/>
      <c r="E33" s="2971"/>
      <c r="F33" s="2932"/>
      <c r="G33" s="2926"/>
      <c r="H33" s="2954"/>
      <c r="I33" s="2945"/>
      <c r="J33" s="3645" t="s">
        <v>2331</v>
      </c>
      <c r="K33" s="3646"/>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v>5.5E-2</v>
      </c>
      <c r="D34" s="2974"/>
      <c r="E34" s="2975"/>
      <c r="F34" s="2932"/>
      <c r="G34" s="2926"/>
      <c r="H34" s="2954"/>
      <c r="I34" s="2945"/>
      <c r="J34" s="3645" t="s">
        <v>2333</v>
      </c>
      <c r="K34" s="3646"/>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v>0.02</v>
      </c>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15" customHeight="1" thickBot="1">
      <c r="A36" s="2927">
        <v>7</v>
      </c>
      <c r="B36" s="2982" t="s">
        <v>2427</v>
      </c>
      <c r="C36" s="2983">
        <f>'数据-取费表'!F6</f>
        <v>19.12</v>
      </c>
      <c r="D36" s="2984"/>
      <c r="E36" s="2985"/>
      <c r="F36" s="2986">
        <f>C36+D36+E36</f>
        <v>19.12</v>
      </c>
      <c r="G36" s="2926"/>
      <c r="H36" s="2844"/>
      <c r="I36" s="2845"/>
      <c r="J36" s="3637">
        <v>1</v>
      </c>
      <c r="K36" s="3638" t="s">
        <v>2428</v>
      </c>
      <c r="L36" s="2870"/>
      <c r="M36" s="2871"/>
      <c r="N36" s="2871"/>
      <c r="O36" s="2871"/>
      <c r="P36" s="2871"/>
      <c r="Q36" s="2871"/>
      <c r="R36" s="2854" t="s">
        <v>2345</v>
      </c>
      <c r="S36" s="2918"/>
      <c r="T36" s="2837" t="s">
        <v>2346</v>
      </c>
      <c r="U36" s="2837"/>
      <c r="V36" s="2845"/>
    </row>
    <row r="37" spans="1:23" s="2849" customFormat="1" ht="13.15" customHeight="1">
      <c r="A37" s="2927"/>
      <c r="B37" s="2928"/>
      <c r="C37" s="2928"/>
      <c r="D37" s="2928"/>
      <c r="E37" s="2928"/>
      <c r="F37" s="2932"/>
      <c r="G37" s="2926"/>
      <c r="H37" s="2844"/>
      <c r="I37" s="2845"/>
      <c r="J37" s="3637"/>
      <c r="K37" s="3639"/>
      <c r="L37" s="2879"/>
      <c r="M37" s="2880"/>
      <c r="N37" s="2856"/>
      <c r="O37" s="2881"/>
      <c r="P37" s="2881"/>
      <c r="Q37" s="2882"/>
      <c r="R37" s="2883"/>
      <c r="S37" s="2918"/>
      <c r="T37" s="2837" t="s">
        <v>2348</v>
      </c>
      <c r="U37" s="2837"/>
      <c r="V37" s="2845"/>
    </row>
    <row r="38" spans="1:23" s="2849" customFormat="1" ht="13.15" customHeight="1">
      <c r="A38" s="2927">
        <v>8</v>
      </c>
      <c r="B38" s="2928"/>
      <c r="C38" s="2885">
        <f ca="1">ROUND(C32*(1-((1+C35)/(1+C34))^C36)/(C34-C35),0)</f>
        <v>19842</v>
      </c>
      <c r="D38" s="2885"/>
      <c r="E38" s="2885"/>
      <c r="F38" s="2932"/>
      <c r="G38" s="2926"/>
      <c r="H38" s="2844"/>
      <c r="I38" s="2845"/>
      <c r="J38" s="3637"/>
      <c r="K38" s="3639"/>
      <c r="L38" s="2879"/>
      <c r="M38" s="2880"/>
      <c r="N38" s="2856"/>
      <c r="O38" s="2881"/>
      <c r="P38" s="2881"/>
      <c r="Q38" s="2882"/>
      <c r="R38" s="2883"/>
      <c r="S38" s="2918"/>
      <c r="T38" s="2837" t="s">
        <v>2354</v>
      </c>
      <c r="U38" s="2837"/>
      <c r="V38" s="2845"/>
    </row>
    <row r="39" spans="1:23" s="2849" customFormat="1" ht="13.15" customHeight="1">
      <c r="A39" s="2927">
        <v>9</v>
      </c>
      <c r="B39" s="2928" t="s">
        <v>2429</v>
      </c>
      <c r="C39" s="2893">
        <f ca="1">C38</f>
        <v>19842</v>
      </c>
      <c r="D39" s="2928"/>
      <c r="E39" s="2928"/>
      <c r="F39" s="2932"/>
      <c r="G39" s="2987"/>
      <c r="H39" s="2844"/>
      <c r="I39" s="2845"/>
      <c r="J39" s="3637"/>
      <c r="K39" s="3639"/>
      <c r="L39" s="2879"/>
      <c r="M39" s="2880"/>
      <c r="N39" s="2856"/>
      <c r="O39" s="2881"/>
      <c r="P39" s="2881"/>
      <c r="Q39" s="2882"/>
      <c r="R39" s="2883"/>
      <c r="S39" s="2918"/>
      <c r="T39" s="2837"/>
      <c r="U39" s="2837"/>
      <c r="V39" s="2845"/>
    </row>
    <row r="40" spans="1:23" s="2849" customFormat="1" ht="13.15" customHeight="1">
      <c r="A40" s="2988">
        <v>10</v>
      </c>
      <c r="B40" s="2928" t="s">
        <v>2430</v>
      </c>
      <c r="C40" s="2989">
        <f ca="1">C39+D39+E39</f>
        <v>19842</v>
      </c>
      <c r="D40" s="2990"/>
      <c r="E40" s="2990"/>
      <c r="F40" s="2991"/>
      <c r="G40" s="2926"/>
      <c r="H40" s="2844"/>
      <c r="I40" s="2845"/>
      <c r="J40" s="3637"/>
      <c r="K40" s="3640"/>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f ca="1">ROUND(C40*10000/B4,0)</f>
        <v>8189</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641">
        <v>3</v>
      </c>
      <c r="K42" s="2947" t="s">
        <v>2411</v>
      </c>
      <c r="L42" s="2948"/>
      <c r="M42" s="2949"/>
      <c r="N42" s="2950" t="s">
        <v>2412</v>
      </c>
      <c r="O42" s="2950" t="s">
        <v>2413</v>
      </c>
      <c r="P42" s="2951" t="s">
        <v>2414</v>
      </c>
      <c r="Q42" s="2951" t="s">
        <v>2415</v>
      </c>
      <c r="R42" s="2854" t="s">
        <v>2345</v>
      </c>
      <c r="S42" s="2952"/>
      <c r="T42" s="2952"/>
      <c r="U42" s="2837"/>
      <c r="V42" s="2845"/>
    </row>
    <row r="43" spans="1:23" ht="13.15" customHeight="1">
      <c r="A43" s="2849"/>
      <c r="B43" s="2849"/>
      <c r="C43" s="2849"/>
      <c r="D43" s="2849"/>
      <c r="E43" s="2849"/>
      <c r="F43" s="2849"/>
      <c r="I43" s="2832"/>
      <c r="J43" s="364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18374</v>
      </c>
      <c r="C2" s="1868" t="s">
        <v>1651</v>
      </c>
      <c r="D2" s="1869" t="s">
        <v>1652</v>
      </c>
      <c r="E2" s="2603">
        <f>SUM(E6:E13)</f>
        <v>24230.799999999999</v>
      </c>
      <c r="F2" s="2703"/>
      <c r="G2" s="1485"/>
      <c r="H2" s="1485"/>
      <c r="I2" s="1485"/>
      <c r="J2" s="1485"/>
      <c r="K2" s="1485"/>
      <c r="L2" s="1485"/>
      <c r="M2" s="1485"/>
      <c r="N2" s="1485"/>
      <c r="O2" s="1485"/>
      <c r="P2" s="1485"/>
      <c r="Q2" s="1485"/>
      <c r="R2" s="1485"/>
      <c r="S2" s="1485"/>
    </row>
    <row r="3" spans="1:22" ht="15.75">
      <c r="A3" s="1866" t="s">
        <v>686</v>
      </c>
      <c r="B3" s="2597">
        <f ca="1">ROUND(B2*10000/E2,0)</f>
        <v>7583</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656" t="s">
        <v>1654</v>
      </c>
      <c r="C5" s="3657"/>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v>
      </c>
      <c r="B6" s="2598">
        <f ca="1">IF(F6="是",'数据-取费表'!AO6,0)</f>
        <v>18374</v>
      </c>
      <c r="C6" s="1868" t="s">
        <v>1651</v>
      </c>
      <c r="D6" s="2705"/>
      <c r="E6" s="2602">
        <f>IF(OR(A6=0,F6="否"),0,'数据-取费表'!K6+'数据-取费表'!S6)</f>
        <v>24230.799999999999</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2"/>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24230.799999999999</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5" t="s">
        <v>1666</v>
      </c>
      <c r="B4" s="356"/>
      <c r="C4" s="3676" t="s">
        <v>1667</v>
      </c>
      <c r="D4" s="3677"/>
      <c r="E4" s="3678" t="s">
        <v>1668</v>
      </c>
      <c r="F4" s="3679"/>
      <c r="G4" s="3676" t="s">
        <v>1669</v>
      </c>
      <c r="H4" s="3677"/>
      <c r="I4" s="3676" t="s">
        <v>1670</v>
      </c>
      <c r="J4" s="3677"/>
      <c r="K4" s="1885" t="s">
        <v>1671</v>
      </c>
      <c r="L4" s="2711"/>
      <c r="M4" s="2712"/>
      <c r="N4" s="2712"/>
      <c r="O4" s="2712"/>
      <c r="P4" s="3680" t="s">
        <v>1672</v>
      </c>
      <c r="Q4" s="3681"/>
      <c r="R4" s="3686" t="s">
        <v>1668</v>
      </c>
      <c r="S4" s="3687"/>
      <c r="T4" s="3686" t="s">
        <v>1669</v>
      </c>
      <c r="U4" s="3687"/>
      <c r="V4" s="3692" t="s">
        <v>1670</v>
      </c>
      <c r="W4" s="3692"/>
      <c r="X4" s="1351"/>
      <c r="Y4" s="3686" t="s">
        <v>1672</v>
      </c>
      <c r="Z4" s="3687"/>
      <c r="AA4" s="3673" t="s">
        <v>1668</v>
      </c>
      <c r="AB4" s="3673" t="s">
        <v>1669</v>
      </c>
      <c r="AC4" s="3673" t="s">
        <v>1670</v>
      </c>
    </row>
    <row r="5" spans="1:29" ht="15">
      <c r="A5" s="358"/>
      <c r="B5" s="359"/>
      <c r="C5" s="3695" t="s">
        <v>1673</v>
      </c>
      <c r="D5" s="3696"/>
      <c r="E5" s="3702" t="s">
        <v>1674</v>
      </c>
      <c r="F5" s="3703"/>
      <c r="G5" s="3695" t="s">
        <v>1675</v>
      </c>
      <c r="H5" s="3696"/>
      <c r="I5" s="3695" t="s">
        <v>1676</v>
      </c>
      <c r="J5" s="3696"/>
      <c r="K5" s="1886"/>
      <c r="L5" s="2711"/>
      <c r="M5" s="2712"/>
      <c r="N5" s="2712"/>
      <c r="O5" s="2712"/>
      <c r="P5" s="3682"/>
      <c r="Q5" s="3683"/>
      <c r="R5" s="3688"/>
      <c r="S5" s="3689"/>
      <c r="T5" s="3688"/>
      <c r="U5" s="3689"/>
      <c r="V5" s="3692"/>
      <c r="W5" s="3692"/>
      <c r="X5" s="1351"/>
      <c r="Y5" s="3688"/>
      <c r="Z5" s="3689"/>
      <c r="AA5" s="3674"/>
      <c r="AB5" s="3674"/>
      <c r="AC5" s="3674"/>
    </row>
    <row r="6" spans="1:29" ht="15.75" thickBot="1">
      <c r="A6" s="360"/>
      <c r="B6" s="361"/>
      <c r="C6" s="3693" t="s">
        <v>1677</v>
      </c>
      <c r="D6" s="3694"/>
      <c r="E6" s="3700" t="s">
        <v>1677</v>
      </c>
      <c r="F6" s="3701"/>
      <c r="G6" s="3693" t="s">
        <v>1677</v>
      </c>
      <c r="H6" s="3694"/>
      <c r="I6" s="3693" t="s">
        <v>1677</v>
      </c>
      <c r="J6" s="3694"/>
      <c r="K6" s="1886" t="s">
        <v>1678</v>
      </c>
      <c r="L6" s="2711"/>
      <c r="M6" s="2712"/>
      <c r="N6" s="2712"/>
      <c r="O6" s="2712"/>
      <c r="P6" s="3684"/>
      <c r="Q6" s="3685"/>
      <c r="R6" s="3688"/>
      <c r="S6" s="3689"/>
      <c r="T6" s="3690"/>
      <c r="U6" s="3691"/>
      <c r="V6" s="3692"/>
      <c r="W6" s="3692"/>
      <c r="X6" s="1351"/>
      <c r="Y6" s="3690"/>
      <c r="Z6" s="3691"/>
      <c r="AA6" s="3675"/>
      <c r="AB6" s="3675"/>
      <c r="AC6" s="3675"/>
    </row>
    <row r="7" spans="1:29" s="108" customFormat="1" ht="15.75" thickBot="1">
      <c r="A7" s="362" t="s">
        <v>1679</v>
      </c>
      <c r="B7" s="363"/>
      <c r="C7" s="364">
        <f>'数据-取费表'!B2</f>
        <v>45491</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697" t="s">
        <v>1680</v>
      </c>
      <c r="Q7" s="3699"/>
      <c r="R7" s="701" t="s">
        <v>20</v>
      </c>
      <c r="S7" s="702">
        <f t="shared" ref="S7:S15" si="0">F7</f>
        <v>0</v>
      </c>
      <c r="T7" s="701" t="s">
        <v>20</v>
      </c>
      <c r="U7" s="702">
        <f t="shared" ref="U7:U15" si="1">H7</f>
        <v>0</v>
      </c>
      <c r="V7" s="701" t="s">
        <v>20</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697" t="s">
        <v>1683</v>
      </c>
      <c r="Q8" s="3698"/>
      <c r="R8" s="701" t="s">
        <v>20</v>
      </c>
      <c r="S8" s="702">
        <f t="shared" si="0"/>
        <v>100</v>
      </c>
      <c r="T8" s="701" t="s">
        <v>20</v>
      </c>
      <c r="U8" s="702">
        <f t="shared" si="1"/>
        <v>100</v>
      </c>
      <c r="V8" s="701" t="s">
        <v>20</v>
      </c>
      <c r="W8" s="702">
        <f t="shared" si="2"/>
        <v>100</v>
      </c>
      <c r="X8" s="703"/>
      <c r="Y8" s="3697" t="s">
        <v>1683</v>
      </c>
      <c r="Z8" s="369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672" t="s">
        <v>1686</v>
      </c>
      <c r="Q9" s="1339" t="str">
        <f t="shared" ref="Q9:Q15" si="6">B9</f>
        <v>用途</v>
      </c>
      <c r="R9" s="701" t="s">
        <v>14</v>
      </c>
      <c r="S9" s="702">
        <f t="shared" si="0"/>
        <v>100</v>
      </c>
      <c r="T9" s="701" t="s">
        <v>14</v>
      </c>
      <c r="U9" s="702">
        <f t="shared" si="1"/>
        <v>100</v>
      </c>
      <c r="V9" s="701" t="s">
        <v>14</v>
      </c>
      <c r="W9" s="702">
        <f t="shared" si="2"/>
        <v>100</v>
      </c>
      <c r="X9" s="703"/>
      <c r="Y9" s="3536"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672"/>
      <c r="Q10" s="1339" t="str">
        <f t="shared" si="6"/>
        <v>土地使用年限（年）</v>
      </c>
      <c r="R10" s="701" t="s">
        <v>14</v>
      </c>
      <c r="S10" s="702">
        <f t="shared" si="0"/>
        <v>100</v>
      </c>
      <c r="T10" s="701" t="s">
        <v>14</v>
      </c>
      <c r="U10" s="702">
        <f t="shared" si="1"/>
        <v>100</v>
      </c>
      <c r="V10" s="701" t="s">
        <v>14</v>
      </c>
      <c r="W10" s="702">
        <f t="shared" si="2"/>
        <v>100</v>
      </c>
      <c r="X10" s="703"/>
      <c r="Y10" s="353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72"/>
      <c r="Q11" s="1339" t="str">
        <f t="shared" si="6"/>
        <v>容积率</v>
      </c>
      <c r="R11" s="701" t="s">
        <v>18</v>
      </c>
      <c r="S11" s="702" t="e">
        <f t="shared" si="0"/>
        <v>#N/A</v>
      </c>
      <c r="T11" s="701" t="s">
        <v>18</v>
      </c>
      <c r="U11" s="702" t="e">
        <f t="shared" si="1"/>
        <v>#N/A</v>
      </c>
      <c r="V11" s="701" t="s">
        <v>18</v>
      </c>
      <c r="W11" s="702" t="e">
        <f t="shared" si="2"/>
        <v>#N/A</v>
      </c>
      <c r="X11" s="703"/>
      <c r="Y11" s="3536"/>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672"/>
      <c r="Q12" s="1339">
        <f t="shared" si="6"/>
        <v>111</v>
      </c>
      <c r="R12" s="701" t="s">
        <v>18</v>
      </c>
      <c r="S12" s="702">
        <f t="shared" si="0"/>
        <v>100</v>
      </c>
      <c r="T12" s="701" t="s">
        <v>18</v>
      </c>
      <c r="U12" s="702">
        <f t="shared" si="1"/>
        <v>100</v>
      </c>
      <c r="V12" s="701" t="s">
        <v>18</v>
      </c>
      <c r="W12" s="702">
        <f t="shared" si="2"/>
        <v>100</v>
      </c>
      <c r="X12" s="703"/>
      <c r="Y12" s="3536"/>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672"/>
      <c r="Q13" s="1339">
        <f t="shared" si="6"/>
        <v>111</v>
      </c>
      <c r="R13" s="701" t="s">
        <v>18</v>
      </c>
      <c r="S13" s="702">
        <f t="shared" si="0"/>
        <v>100</v>
      </c>
      <c r="T13" s="701" t="s">
        <v>18</v>
      </c>
      <c r="U13" s="702">
        <f t="shared" si="1"/>
        <v>100</v>
      </c>
      <c r="V13" s="701" t="s">
        <v>18</v>
      </c>
      <c r="W13" s="702">
        <f t="shared" si="2"/>
        <v>100</v>
      </c>
      <c r="X13" s="703"/>
      <c r="Y13" s="3536"/>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672"/>
      <c r="Q14" s="1339">
        <f t="shared" si="6"/>
        <v>111</v>
      </c>
      <c r="R14" s="701" t="s">
        <v>18</v>
      </c>
      <c r="S14" s="702">
        <f t="shared" si="0"/>
        <v>100</v>
      </c>
      <c r="T14" s="701" t="s">
        <v>18</v>
      </c>
      <c r="U14" s="702">
        <f t="shared" si="1"/>
        <v>100</v>
      </c>
      <c r="V14" s="701" t="s">
        <v>18</v>
      </c>
      <c r="W14" s="702">
        <f t="shared" si="2"/>
        <v>100</v>
      </c>
      <c r="X14" s="703"/>
      <c r="Y14" s="3536"/>
      <c r="Z14" s="52">
        <f t="shared" si="7"/>
        <v>111</v>
      </c>
      <c r="AA14" s="704">
        <f t="shared" si="3"/>
        <v>1</v>
      </c>
      <c r="AB14" s="704">
        <f t="shared" si="4"/>
        <v>1</v>
      </c>
      <c r="AC14" s="704">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70" t="s">
        <v>1691</v>
      </c>
      <c r="Q15" s="1348" t="str">
        <f t="shared" si="6"/>
        <v>居住社区成熟度</v>
      </c>
      <c r="R15" s="705" t="s">
        <v>18</v>
      </c>
      <c r="S15" s="706">
        <f t="shared" si="0"/>
        <v>100</v>
      </c>
      <c r="T15" s="705" t="s">
        <v>18</v>
      </c>
      <c r="U15" s="706">
        <f t="shared" si="1"/>
        <v>100</v>
      </c>
      <c r="V15" s="705" t="s">
        <v>18</v>
      </c>
      <c r="W15" s="706">
        <f t="shared" si="2"/>
        <v>100</v>
      </c>
      <c r="X15" s="1351"/>
      <c r="Y15" s="3663"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671"/>
      <c r="Q16" s="1348"/>
      <c r="R16" s="705"/>
      <c r="S16" s="706"/>
      <c r="T16" s="705"/>
      <c r="U16" s="706"/>
      <c r="V16" s="705"/>
      <c r="W16" s="706"/>
      <c r="X16" s="1351"/>
      <c r="Y16" s="3664"/>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71"/>
      <c r="Q17" s="1348" t="str">
        <f>B17</f>
        <v>交通便捷度</v>
      </c>
      <c r="R17" s="705" t="s">
        <v>18</v>
      </c>
      <c r="S17" s="706">
        <f>F17</f>
        <v>100</v>
      </c>
      <c r="T17" s="705" t="s">
        <v>18</v>
      </c>
      <c r="U17" s="706">
        <f>H17</f>
        <v>100</v>
      </c>
      <c r="V17" s="705" t="s">
        <v>18</v>
      </c>
      <c r="W17" s="706">
        <f>J17</f>
        <v>100</v>
      </c>
      <c r="X17" s="1351"/>
      <c r="Y17" s="3664"/>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671"/>
      <c r="Q18" s="1348"/>
      <c r="R18" s="705"/>
      <c r="S18" s="706"/>
      <c r="T18" s="705"/>
      <c r="U18" s="706"/>
      <c r="V18" s="705"/>
      <c r="W18" s="706"/>
      <c r="X18" s="1351"/>
      <c r="Y18" s="3664"/>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71"/>
      <c r="Q19" s="1348" t="str">
        <f>B19</f>
        <v>公共配套设施</v>
      </c>
      <c r="R19" s="705" t="s">
        <v>18</v>
      </c>
      <c r="S19" s="706">
        <f>F19</f>
        <v>100</v>
      </c>
      <c r="T19" s="705" t="s">
        <v>18</v>
      </c>
      <c r="U19" s="706">
        <f>H19</f>
        <v>100</v>
      </c>
      <c r="V19" s="705" t="s">
        <v>18</v>
      </c>
      <c r="W19" s="706">
        <f>J19</f>
        <v>100</v>
      </c>
      <c r="X19" s="1351"/>
      <c r="Y19" s="3664"/>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671"/>
      <c r="Q20" s="1348"/>
      <c r="R20" s="705"/>
      <c r="S20" s="706"/>
      <c r="T20" s="705"/>
      <c r="U20" s="706"/>
      <c r="V20" s="705"/>
      <c r="W20" s="706"/>
      <c r="X20" s="1351"/>
      <c r="Y20" s="3664"/>
      <c r="Z20" s="1352"/>
      <c r="AA20" s="1349">
        <v>1</v>
      </c>
      <c r="AB20" s="1349">
        <v>1</v>
      </c>
      <c r="AC20" s="1349">
        <v>1</v>
      </c>
    </row>
    <row r="21" spans="1:29" ht="28.5">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71"/>
      <c r="Q21" s="1348" t="str">
        <f>B21</f>
        <v>基础设施水平</v>
      </c>
      <c r="R21" s="705" t="s">
        <v>14</v>
      </c>
      <c r="S21" s="706">
        <f>F21</f>
        <v>100</v>
      </c>
      <c r="T21" s="705" t="s">
        <v>14</v>
      </c>
      <c r="U21" s="706">
        <f>H21</f>
        <v>100</v>
      </c>
      <c r="V21" s="705" t="s">
        <v>14</v>
      </c>
      <c r="W21" s="706">
        <f>J21</f>
        <v>100</v>
      </c>
      <c r="X21" s="1351"/>
      <c r="Y21" s="3664"/>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671"/>
      <c r="Q22" s="1348"/>
      <c r="R22" s="705"/>
      <c r="S22" s="706"/>
      <c r="T22" s="705"/>
      <c r="U22" s="706"/>
      <c r="V22" s="705"/>
      <c r="W22" s="706"/>
      <c r="X22" s="1351"/>
      <c r="Y22" s="3664"/>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71"/>
      <c r="Q23" s="1348" t="str">
        <f>B23</f>
        <v>自然及人文环境</v>
      </c>
      <c r="R23" s="705" t="s">
        <v>18</v>
      </c>
      <c r="S23" s="706">
        <f>F23</f>
        <v>100</v>
      </c>
      <c r="T23" s="705" t="s">
        <v>18</v>
      </c>
      <c r="U23" s="706">
        <f>H23</f>
        <v>100</v>
      </c>
      <c r="V23" s="705" t="s">
        <v>18</v>
      </c>
      <c r="W23" s="706">
        <f>J23</f>
        <v>100</v>
      </c>
      <c r="X23" s="1351"/>
      <c r="Y23" s="3664"/>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671"/>
      <c r="Q24" s="1348"/>
      <c r="R24" s="705"/>
      <c r="S24" s="706"/>
      <c r="T24" s="705"/>
      <c r="U24" s="706"/>
      <c r="V24" s="705"/>
      <c r="W24" s="706"/>
      <c r="X24" s="1351"/>
      <c r="Y24" s="3664"/>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671"/>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664"/>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671"/>
      <c r="Q26" s="1348" t="str">
        <f t="shared" si="11"/>
        <v>朝向</v>
      </c>
      <c r="R26" s="705" t="s">
        <v>18</v>
      </c>
      <c r="S26" s="706">
        <f t="shared" si="12"/>
        <v>100</v>
      </c>
      <c r="T26" s="705" t="s">
        <v>18</v>
      </c>
      <c r="U26" s="706">
        <f t="shared" si="13"/>
        <v>100</v>
      </c>
      <c r="V26" s="705" t="s">
        <v>18</v>
      </c>
      <c r="W26" s="706">
        <f t="shared" si="14"/>
        <v>100</v>
      </c>
      <c r="X26" s="1351"/>
      <c r="Y26" s="3664"/>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671"/>
      <c r="Q27" s="1339">
        <f t="shared" si="11"/>
        <v>111</v>
      </c>
      <c r="R27" s="701" t="s">
        <v>18</v>
      </c>
      <c r="S27" s="702">
        <f t="shared" si="12"/>
        <v>100</v>
      </c>
      <c r="T27" s="701" t="s">
        <v>18</v>
      </c>
      <c r="U27" s="702">
        <f t="shared" si="13"/>
        <v>100</v>
      </c>
      <c r="V27" s="701" t="s">
        <v>18</v>
      </c>
      <c r="W27" s="702">
        <f t="shared" si="14"/>
        <v>100</v>
      </c>
      <c r="X27" s="703"/>
      <c r="Y27" s="3664"/>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671"/>
      <c r="Q28" s="1348">
        <f t="shared" si="11"/>
        <v>111</v>
      </c>
      <c r="R28" s="705" t="s">
        <v>18</v>
      </c>
      <c r="S28" s="706">
        <f t="shared" si="12"/>
        <v>100</v>
      </c>
      <c r="T28" s="705" t="s">
        <v>18</v>
      </c>
      <c r="U28" s="706">
        <f t="shared" si="13"/>
        <v>100</v>
      </c>
      <c r="V28" s="705" t="s">
        <v>18</v>
      </c>
      <c r="W28" s="706">
        <f t="shared" si="14"/>
        <v>100</v>
      </c>
      <c r="X28" s="1351"/>
      <c r="Y28" s="3664"/>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671"/>
      <c r="Q29" s="1348">
        <f t="shared" si="11"/>
        <v>111</v>
      </c>
      <c r="R29" s="705" t="s">
        <v>18</v>
      </c>
      <c r="S29" s="706">
        <f t="shared" si="12"/>
        <v>100</v>
      </c>
      <c r="T29" s="705" t="s">
        <v>18</v>
      </c>
      <c r="U29" s="706">
        <f t="shared" si="13"/>
        <v>100</v>
      </c>
      <c r="V29" s="705" t="s">
        <v>18</v>
      </c>
      <c r="W29" s="706">
        <f t="shared" si="14"/>
        <v>100</v>
      </c>
      <c r="X29" s="1351"/>
      <c r="Y29" s="3664"/>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671"/>
      <c r="Q30" s="1348">
        <f t="shared" si="11"/>
        <v>111</v>
      </c>
      <c r="R30" s="705" t="s">
        <v>18</v>
      </c>
      <c r="S30" s="706">
        <f t="shared" si="12"/>
        <v>100</v>
      </c>
      <c r="T30" s="705" t="s">
        <v>18</v>
      </c>
      <c r="U30" s="706">
        <f t="shared" si="13"/>
        <v>100</v>
      </c>
      <c r="V30" s="705" t="s">
        <v>18</v>
      </c>
      <c r="W30" s="706">
        <f t="shared" si="14"/>
        <v>100</v>
      </c>
      <c r="X30" s="1351"/>
      <c r="Y30" s="3664"/>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671"/>
      <c r="Q31" s="1348">
        <f t="shared" si="11"/>
        <v>111</v>
      </c>
      <c r="R31" s="705" t="s">
        <v>18</v>
      </c>
      <c r="S31" s="706">
        <f t="shared" si="12"/>
        <v>100</v>
      </c>
      <c r="T31" s="705" t="s">
        <v>18</v>
      </c>
      <c r="U31" s="706">
        <f t="shared" si="13"/>
        <v>100</v>
      </c>
      <c r="V31" s="705" t="s">
        <v>18</v>
      </c>
      <c r="W31" s="706">
        <f t="shared" si="14"/>
        <v>100</v>
      </c>
      <c r="X31" s="1351"/>
      <c r="Y31" s="3664"/>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665" t="s">
        <v>1696</v>
      </c>
      <c r="Q32" s="1348" t="str">
        <f t="shared" si="11"/>
        <v>建筑类型</v>
      </c>
      <c r="R32" s="705" t="s">
        <v>18</v>
      </c>
      <c r="S32" s="706">
        <f t="shared" si="12"/>
        <v>100</v>
      </c>
      <c r="T32" s="705" t="s">
        <v>18</v>
      </c>
      <c r="U32" s="706">
        <f t="shared" si="13"/>
        <v>100</v>
      </c>
      <c r="V32" s="705" t="s">
        <v>18</v>
      </c>
      <c r="W32" s="706">
        <f t="shared" si="14"/>
        <v>100</v>
      </c>
      <c r="X32" s="1351"/>
      <c r="Y32" s="3668"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666"/>
      <c r="Q33" s="707" t="str">
        <f t="shared" si="11"/>
        <v>项目建筑规模</v>
      </c>
      <c r="R33" s="708" t="s">
        <v>18</v>
      </c>
      <c r="S33" s="709" t="e">
        <f t="shared" si="12"/>
        <v>#N/A</v>
      </c>
      <c r="T33" s="708" t="s">
        <v>18</v>
      </c>
      <c r="U33" s="709" t="e">
        <f t="shared" si="13"/>
        <v>#N/A</v>
      </c>
      <c r="V33" s="708" t="s">
        <v>18</v>
      </c>
      <c r="W33" s="709" t="e">
        <f t="shared" si="14"/>
        <v>#N/A</v>
      </c>
      <c r="X33" s="710"/>
      <c r="Y33" s="3668"/>
      <c r="Z33" s="711"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666"/>
      <c r="Q34" s="1348" t="str">
        <f t="shared" si="11"/>
        <v>建筑结构</v>
      </c>
      <c r="R34" s="705" t="s">
        <v>18</v>
      </c>
      <c r="S34" s="706">
        <f t="shared" si="12"/>
        <v>100</v>
      </c>
      <c r="T34" s="705" t="s">
        <v>18</v>
      </c>
      <c r="U34" s="706">
        <f t="shared" si="13"/>
        <v>100</v>
      </c>
      <c r="V34" s="705" t="s">
        <v>18</v>
      </c>
      <c r="W34" s="706">
        <f t="shared" si="14"/>
        <v>100</v>
      </c>
      <c r="X34" s="1351"/>
      <c r="Y34" s="3668"/>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666"/>
      <c r="Q35" s="1348" t="str">
        <f t="shared" si="11"/>
        <v>建筑品质</v>
      </c>
      <c r="R35" s="705" t="s">
        <v>18</v>
      </c>
      <c r="S35" s="706">
        <f t="shared" si="12"/>
        <v>100</v>
      </c>
      <c r="T35" s="705" t="s">
        <v>18</v>
      </c>
      <c r="U35" s="706">
        <f t="shared" si="13"/>
        <v>100</v>
      </c>
      <c r="V35" s="705" t="s">
        <v>18</v>
      </c>
      <c r="W35" s="706">
        <f t="shared" si="14"/>
        <v>100</v>
      </c>
      <c r="X35" s="1351"/>
      <c r="Y35" s="3668"/>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666"/>
      <c r="Q36" s="1348" t="str">
        <f t="shared" si="11"/>
        <v>公共部分装修</v>
      </c>
      <c r="R36" s="705" t="s">
        <v>18</v>
      </c>
      <c r="S36" s="706">
        <f t="shared" si="12"/>
        <v>100</v>
      </c>
      <c r="T36" s="705" t="s">
        <v>18</v>
      </c>
      <c r="U36" s="706">
        <f t="shared" si="13"/>
        <v>100</v>
      </c>
      <c r="V36" s="705" t="s">
        <v>18</v>
      </c>
      <c r="W36" s="706">
        <f t="shared" si="14"/>
        <v>100</v>
      </c>
      <c r="X36" s="1351"/>
      <c r="Y36" s="3668"/>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66"/>
      <c r="Q37" s="1339" t="str">
        <f t="shared" si="11"/>
        <v>成新度</v>
      </c>
      <c r="R37" s="701" t="s">
        <v>18</v>
      </c>
      <c r="S37" s="702" t="e">
        <f t="shared" si="12"/>
        <v>#N/A</v>
      </c>
      <c r="T37" s="701" t="s">
        <v>18</v>
      </c>
      <c r="U37" s="702" t="e">
        <f t="shared" si="13"/>
        <v>#N/A</v>
      </c>
      <c r="V37" s="701" t="s">
        <v>18</v>
      </c>
      <c r="W37" s="702" t="e">
        <f t="shared" si="14"/>
        <v>#N/A</v>
      </c>
      <c r="X37" s="703"/>
      <c r="Y37" s="3668"/>
      <c r="Z37" s="52" t="str">
        <f t="shared" si="18"/>
        <v>成新度</v>
      </c>
      <c r="AA37" s="704" t="e">
        <f t="shared" si="15"/>
        <v>#N/A</v>
      </c>
      <c r="AB37" s="704" t="e">
        <f t="shared" si="16"/>
        <v>#N/A</v>
      </c>
      <c r="AC37" s="704"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666" t="s">
        <v>1696</v>
      </c>
      <c r="Q38" s="1348" t="str">
        <f t="shared" si="11"/>
        <v>物业管理</v>
      </c>
      <c r="R38" s="705" t="s">
        <v>18</v>
      </c>
      <c r="S38" s="706">
        <f t="shared" si="12"/>
        <v>100</v>
      </c>
      <c r="T38" s="705" t="s">
        <v>18</v>
      </c>
      <c r="U38" s="706">
        <f t="shared" si="13"/>
        <v>100</v>
      </c>
      <c r="V38" s="705" t="s">
        <v>18</v>
      </c>
      <c r="W38" s="706">
        <f t="shared" si="14"/>
        <v>100</v>
      </c>
      <c r="X38" s="1351"/>
      <c r="Y38" s="3668"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666"/>
      <c r="Q39" s="1348" t="str">
        <f t="shared" si="11"/>
        <v>市政基础设施</v>
      </c>
      <c r="R39" s="705" t="s">
        <v>18</v>
      </c>
      <c r="S39" s="706">
        <f t="shared" si="12"/>
        <v>100</v>
      </c>
      <c r="T39" s="705" t="s">
        <v>18</v>
      </c>
      <c r="U39" s="706">
        <f t="shared" si="13"/>
        <v>100</v>
      </c>
      <c r="V39" s="705" t="s">
        <v>18</v>
      </c>
      <c r="W39" s="706">
        <f t="shared" si="14"/>
        <v>100</v>
      </c>
      <c r="X39" s="1351"/>
      <c r="Y39" s="3668"/>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666"/>
      <c r="Q40" s="1348" t="str">
        <f t="shared" si="11"/>
        <v>房型</v>
      </c>
      <c r="R40" s="705" t="s">
        <v>18</v>
      </c>
      <c r="S40" s="706">
        <f t="shared" si="12"/>
        <v>100</v>
      </c>
      <c r="T40" s="705" t="s">
        <v>18</v>
      </c>
      <c r="U40" s="706">
        <f t="shared" si="13"/>
        <v>100</v>
      </c>
      <c r="V40" s="705" t="s">
        <v>18</v>
      </c>
      <c r="W40" s="706">
        <f t="shared" si="14"/>
        <v>100</v>
      </c>
      <c r="X40" s="1351"/>
      <c r="Y40" s="3668"/>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666"/>
      <c r="Q41" s="707" t="str">
        <f t="shared" si="11"/>
        <v>单套/主力户型建筑面积</v>
      </c>
      <c r="R41" s="708" t="s">
        <v>18</v>
      </c>
      <c r="S41" s="709">
        <f t="shared" si="12"/>
        <v>100</v>
      </c>
      <c r="T41" s="708" t="s">
        <v>18</v>
      </c>
      <c r="U41" s="709">
        <f t="shared" si="13"/>
        <v>100</v>
      </c>
      <c r="V41" s="708" t="s">
        <v>18</v>
      </c>
      <c r="W41" s="709">
        <f t="shared" si="14"/>
        <v>100</v>
      </c>
      <c r="X41" s="710"/>
      <c r="Y41" s="3668"/>
      <c r="Z41" s="711"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666"/>
      <c r="Q42" s="1348" t="str">
        <f t="shared" si="11"/>
        <v>内部装修</v>
      </c>
      <c r="R42" s="705" t="s">
        <v>18</v>
      </c>
      <c r="S42" s="706">
        <f t="shared" si="12"/>
        <v>100</v>
      </c>
      <c r="T42" s="705" t="s">
        <v>18</v>
      </c>
      <c r="U42" s="706">
        <f t="shared" si="13"/>
        <v>100</v>
      </c>
      <c r="V42" s="705" t="s">
        <v>18</v>
      </c>
      <c r="W42" s="706">
        <f t="shared" si="14"/>
        <v>100</v>
      </c>
      <c r="X42" s="1351"/>
      <c r="Y42" s="3668"/>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666"/>
      <c r="Q43" s="1348" t="str">
        <f t="shared" si="11"/>
        <v>内部装修维护情况</v>
      </c>
      <c r="R43" s="705" t="s">
        <v>18</v>
      </c>
      <c r="S43" s="706">
        <f t="shared" si="12"/>
        <v>100</v>
      </c>
      <c r="T43" s="705" t="s">
        <v>18</v>
      </c>
      <c r="U43" s="706">
        <f t="shared" si="13"/>
        <v>100</v>
      </c>
      <c r="V43" s="705" t="s">
        <v>18</v>
      </c>
      <c r="W43" s="706">
        <f t="shared" si="14"/>
        <v>100</v>
      </c>
      <c r="X43" s="1351"/>
      <c r="Y43" s="3668"/>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666"/>
      <c r="Q44" s="1339">
        <f t="shared" si="11"/>
        <v>111</v>
      </c>
      <c r="R44" s="701" t="s">
        <v>18</v>
      </c>
      <c r="S44" s="702">
        <f t="shared" si="12"/>
        <v>100</v>
      </c>
      <c r="T44" s="701" t="s">
        <v>18</v>
      </c>
      <c r="U44" s="702">
        <f t="shared" si="13"/>
        <v>100</v>
      </c>
      <c r="V44" s="701" t="s">
        <v>18</v>
      </c>
      <c r="W44" s="702">
        <f t="shared" si="14"/>
        <v>100</v>
      </c>
      <c r="X44" s="703"/>
      <c r="Y44" s="3668"/>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666"/>
      <c r="Q45" s="1348">
        <f t="shared" si="11"/>
        <v>111</v>
      </c>
      <c r="R45" s="705" t="s">
        <v>18</v>
      </c>
      <c r="S45" s="706">
        <f t="shared" si="12"/>
        <v>100</v>
      </c>
      <c r="T45" s="705" t="s">
        <v>18</v>
      </c>
      <c r="U45" s="706">
        <f t="shared" si="13"/>
        <v>100</v>
      </c>
      <c r="V45" s="705" t="s">
        <v>18</v>
      </c>
      <c r="W45" s="706">
        <f t="shared" si="14"/>
        <v>100</v>
      </c>
      <c r="X45" s="1351"/>
      <c r="Y45" s="3668"/>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667"/>
      <c r="Q46" s="1348">
        <f t="shared" si="11"/>
        <v>111</v>
      </c>
      <c r="R46" s="705" t="s">
        <v>17</v>
      </c>
      <c r="S46" s="706">
        <f t="shared" si="12"/>
        <v>100</v>
      </c>
      <c r="T46" s="705" t="s">
        <v>17</v>
      </c>
      <c r="U46" s="706">
        <f t="shared" si="13"/>
        <v>100</v>
      </c>
      <c r="V46" s="705" t="s">
        <v>17</v>
      </c>
      <c r="W46" s="706">
        <f t="shared" si="14"/>
        <v>100</v>
      </c>
      <c r="X46" s="1351"/>
      <c r="Y46" s="3669"/>
      <c r="Z46" s="1352">
        <f t="shared" si="18"/>
        <v>111</v>
      </c>
      <c r="AA46" s="1349">
        <f t="shared" si="15"/>
        <v>1</v>
      </c>
      <c r="AB46" s="1349">
        <f t="shared" si="16"/>
        <v>1</v>
      </c>
      <c r="AC46" s="1349">
        <f t="shared" si="17"/>
        <v>1</v>
      </c>
    </row>
    <row r="47" spans="1:29" ht="15">
      <c r="A47" s="430" t="s">
        <v>1708</v>
      </c>
      <c r="B47" s="431"/>
      <c r="C47" s="1150" t="s">
        <v>16</v>
      </c>
      <c r="D47" s="1151"/>
      <c r="E47" s="1152"/>
      <c r="F47" s="1153"/>
      <c r="G47" s="1154"/>
      <c r="H47" s="1155"/>
      <c r="I47" s="1152"/>
      <c r="J47" s="1155"/>
      <c r="K47" s="1910"/>
      <c r="L47" s="2720"/>
      <c r="M47" s="2721"/>
      <c r="N47" s="2712"/>
      <c r="O47" s="2721"/>
      <c r="P47" s="3661" t="str">
        <f>A47</f>
        <v>成交单价（元/平方米）</v>
      </c>
      <c r="Q47" s="3661"/>
      <c r="R47" s="3662">
        <f>E47</f>
        <v>0</v>
      </c>
      <c r="S47" s="3662"/>
      <c r="T47" s="3662">
        <f>G47</f>
        <v>0</v>
      </c>
      <c r="U47" s="3662"/>
      <c r="V47" s="3662">
        <f>I47</f>
        <v>0</v>
      </c>
      <c r="W47" s="3662"/>
      <c r="X47" s="690"/>
      <c r="Y47" s="712"/>
      <c r="Z47" s="690"/>
      <c r="AA47" s="690"/>
      <c r="AB47" s="690"/>
      <c r="AC47" s="690"/>
    </row>
    <row r="48" spans="1:29" ht="15.75" thickBot="1">
      <c r="A48" s="437" t="s">
        <v>1709</v>
      </c>
      <c r="B48" s="438"/>
      <c r="C48" s="1156" t="e">
        <f>R49</f>
        <v>#DIV/0!</v>
      </c>
      <c r="D48" s="2313" t="s">
        <v>2138</v>
      </c>
      <c r="E48" s="1157" t="e">
        <f>R48</f>
        <v>#DIV/0!</v>
      </c>
      <c r="F48" s="2314"/>
      <c r="G48" s="1156" t="e">
        <f>T48</f>
        <v>#DIV/0!</v>
      </c>
      <c r="H48" s="2314"/>
      <c r="I48" s="1157" t="e">
        <f>V48</f>
        <v>#DIV/0!</v>
      </c>
      <c r="J48" s="2314"/>
      <c r="K48" s="2315">
        <f>F48+H48+J48</f>
        <v>0</v>
      </c>
      <c r="L48" s="2720"/>
      <c r="M48" s="2721"/>
      <c r="N48" s="2721"/>
      <c r="O48" s="2721"/>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90"/>
      <c r="Y48" s="690"/>
      <c r="Z48" s="690"/>
      <c r="AA48" s="690"/>
      <c r="AB48" s="690"/>
      <c r="AC48" s="690"/>
    </row>
    <row r="49" spans="1:29" ht="15.75" thickBot="1">
      <c r="A49" s="441" t="s">
        <v>1710</v>
      </c>
      <c r="B49" s="442"/>
      <c r="C49" s="1158" t="e">
        <f>R49</f>
        <v>#DIV/0!</v>
      </c>
      <c r="D49" s="1159"/>
      <c r="E49" s="1159"/>
      <c r="F49" s="1159"/>
      <c r="G49" s="1159"/>
      <c r="H49" s="1159"/>
      <c r="I49" s="1159"/>
      <c r="J49" s="1159"/>
      <c r="K49" s="1911"/>
      <c r="L49" s="2720"/>
      <c r="M49" s="2721"/>
      <c r="N49" s="2721"/>
      <c r="O49" s="2721"/>
      <c r="P49" s="3658" t="str">
        <f>A49</f>
        <v>估价对象XX用房的比较价值（楼面单价，元/平方米）</v>
      </c>
      <c r="Q49" s="3659"/>
      <c r="R49" s="3660" t="e">
        <f>IF(F1="售价",ROUND(IF(D48="简单平均",AVERAGE(R48:V48),R48*F48+T48*H48+V48*J48),0),ROUND(IF(D48="简单平均",AVERAGE(R48:V48),R48*F48+T48*H48+V48*J48),1))</f>
        <v>#DIV/0!</v>
      </c>
      <c r="S49" s="3660"/>
      <c r="T49" s="3660"/>
      <c r="U49" s="3660"/>
      <c r="V49" s="3660"/>
      <c r="W49" s="366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37"/>
      <c r="L57" s="938"/>
      <c r="M57" s="936"/>
      <c r="N57" s="936"/>
      <c r="O57" s="936"/>
      <c r="P57" s="1914"/>
      <c r="Q57" s="453"/>
    </row>
    <row r="58" spans="1:29" s="457" customFormat="1" ht="15">
      <c r="A58" s="454" t="s">
        <v>1715</v>
      </c>
      <c r="B58" s="455"/>
      <c r="C58" s="1182" t="str">
        <f>YEAR(C7)&amp;"-"&amp;MONTH(C7)</f>
        <v>2024-7</v>
      </c>
      <c r="D58" s="1181">
        <f>EDATE(C58,-1)</f>
        <v>45444</v>
      </c>
      <c r="E58" s="1181">
        <f>EDATE(D58,-1)</f>
        <v>45413</v>
      </c>
      <c r="F58" s="1181">
        <f t="shared" ref="F58:O58" si="19">EDATE(E58,-1)</f>
        <v>45383</v>
      </c>
      <c r="G58" s="1181">
        <f t="shared" si="19"/>
        <v>45352</v>
      </c>
      <c r="H58" s="1181">
        <f t="shared" si="19"/>
        <v>45323</v>
      </c>
      <c r="I58" s="1181">
        <f t="shared" si="19"/>
        <v>45292</v>
      </c>
      <c r="J58" s="1181">
        <f t="shared" si="19"/>
        <v>45261</v>
      </c>
      <c r="K58" s="1181">
        <f t="shared" si="19"/>
        <v>45231</v>
      </c>
      <c r="L58" s="1181">
        <f t="shared" si="19"/>
        <v>45200</v>
      </c>
      <c r="M58" s="1181">
        <f t="shared" si="19"/>
        <v>45170</v>
      </c>
      <c r="N58" s="1181">
        <f t="shared" si="19"/>
        <v>45139</v>
      </c>
      <c r="O58" s="1181">
        <f t="shared" si="19"/>
        <v>45108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1719</v>
      </c>
      <c r="B63" s="477" t="s">
        <v>1685</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1688</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1734</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1735</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1694</v>
      </c>
      <c r="B100" s="477" t="s">
        <v>1736</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3">
        <v>6</v>
      </c>
      <c r="C139" s="864">
        <v>96</v>
      </c>
      <c r="D139" s="1936" t="s">
        <v>1755</v>
      </c>
      <c r="E139" s="865">
        <v>100</v>
      </c>
      <c r="F139" s="866">
        <v>102.5</v>
      </c>
      <c r="G139" s="1936" t="s">
        <v>1755</v>
      </c>
      <c r="H139" s="867">
        <v>105</v>
      </c>
      <c r="I139" s="1937" t="s">
        <v>1756</v>
      </c>
      <c r="J139" s="864">
        <v>20</v>
      </c>
      <c r="K139" s="868">
        <f>C145/(J139-2)</f>
        <v>4.0555555555555553E-3</v>
      </c>
    </row>
    <row r="140" spans="1:17" ht="15">
      <c r="B140" s="869">
        <v>5</v>
      </c>
      <c r="C140" s="870">
        <v>100</v>
      </c>
      <c r="D140" s="870"/>
      <c r="E140" s="871"/>
      <c r="F140" s="872">
        <v>102</v>
      </c>
      <c r="G140" s="870"/>
      <c r="H140" s="873"/>
      <c r="I140" s="1938" t="s">
        <v>1757</v>
      </c>
      <c r="J140" s="271">
        <f>ROUNDUP((J139-1)/2,0)</f>
        <v>10</v>
      </c>
      <c r="K140" s="874">
        <v>100</v>
      </c>
    </row>
    <row r="141" spans="1:17" ht="15">
      <c r="B141" s="869">
        <v>4</v>
      </c>
      <c r="C141" s="870">
        <v>102</v>
      </c>
      <c r="D141" s="870"/>
      <c r="E141" s="871"/>
      <c r="F141" s="872">
        <v>101.5</v>
      </c>
      <c r="G141" s="870"/>
      <c r="H141" s="873"/>
      <c r="I141" s="1938" t="s">
        <v>1758</v>
      </c>
      <c r="J141" s="271">
        <v>1</v>
      </c>
      <c r="K141" s="875">
        <f>ROUND(100+(J141-J140)*K139*100,1)</f>
        <v>96.4</v>
      </c>
    </row>
    <row r="142" spans="1:17" ht="15">
      <c r="B142" s="869">
        <v>3</v>
      </c>
      <c r="C142" s="870">
        <v>103</v>
      </c>
      <c r="D142" s="870"/>
      <c r="E142" s="871"/>
      <c r="F142" s="872">
        <v>101</v>
      </c>
      <c r="G142" s="870"/>
      <c r="H142" s="873"/>
      <c r="I142" s="1938" t="s">
        <v>1759</v>
      </c>
      <c r="J142" s="271">
        <f>J139</f>
        <v>20</v>
      </c>
      <c r="K142" s="876">
        <v>95</v>
      </c>
    </row>
    <row r="143" spans="1:17" ht="15">
      <c r="B143" s="869">
        <v>2</v>
      </c>
      <c r="C143" s="870">
        <v>100</v>
      </c>
      <c r="D143" s="870"/>
      <c r="E143" s="871"/>
      <c r="F143" s="872">
        <v>100.5</v>
      </c>
      <c r="G143" s="870"/>
      <c r="H143" s="873"/>
      <c r="I143" s="1938" t="s">
        <v>1760</v>
      </c>
      <c r="J143" s="870">
        <v>15</v>
      </c>
      <c r="K143" s="875">
        <f>ROUND(100+(J143-J140)*K139*100,1)</f>
        <v>102</v>
      </c>
    </row>
    <row r="144" spans="1:17" ht="15">
      <c r="B144" s="869">
        <v>1</v>
      </c>
      <c r="C144" s="870">
        <v>98</v>
      </c>
      <c r="D144" s="1939" t="s">
        <v>1761</v>
      </c>
      <c r="E144" s="871">
        <v>102</v>
      </c>
      <c r="F144" s="877">
        <v>100</v>
      </c>
      <c r="G144" s="1939" t="s">
        <v>1761</v>
      </c>
      <c r="H144" s="873">
        <v>105</v>
      </c>
      <c r="I144" s="1938" t="s">
        <v>1760</v>
      </c>
      <c r="J144" s="870">
        <v>18</v>
      </c>
      <c r="K144" s="875">
        <f>ROUND(100+(J144-J140)*K139*100,1)</f>
        <v>103.2</v>
      </c>
    </row>
    <row r="145" spans="2:11" ht="15.75" thickBot="1">
      <c r="B145" s="1940" t="s">
        <v>1762</v>
      </c>
      <c r="C145" s="878">
        <f>ROUND(MAX(C139:C144)/MIN(C139:C144)-1,3)</f>
        <v>7.2999999999999995E-2</v>
      </c>
      <c r="D145" s="879"/>
      <c r="E145" s="879"/>
      <c r="F145" s="1941" t="s">
        <v>1763</v>
      </c>
      <c r="G145" s="1942"/>
      <c r="H145" s="1943"/>
      <c r="I145" s="1944" t="s">
        <v>1760</v>
      </c>
      <c r="J145" s="880">
        <v>8</v>
      </c>
      <c r="K145" s="881">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48" activeCellId="1" sqref="F39:F48 N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c r="E1" s="3422"/>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24230.799999999999</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5" t="s">
        <v>1769</v>
      </c>
      <c r="B4" s="356"/>
      <c r="C4" s="3676" t="s">
        <v>1770</v>
      </c>
      <c r="D4" s="3677"/>
      <c r="E4" s="3678" t="s">
        <v>1771</v>
      </c>
      <c r="F4" s="3679"/>
      <c r="G4" s="3676" t="s">
        <v>1772</v>
      </c>
      <c r="H4" s="3677"/>
      <c r="I4" s="3676" t="s">
        <v>1773</v>
      </c>
      <c r="J4" s="3677"/>
      <c r="K4" s="559" t="s">
        <v>1774</v>
      </c>
      <c r="L4" s="2711"/>
      <c r="M4" s="2712"/>
      <c r="N4" s="2712"/>
      <c r="O4" s="2712"/>
      <c r="P4" s="3680" t="s">
        <v>1775</v>
      </c>
      <c r="Q4" s="3681"/>
      <c r="R4" s="3686" t="s">
        <v>1771</v>
      </c>
      <c r="S4" s="3687"/>
      <c r="T4" s="3686" t="s">
        <v>1772</v>
      </c>
      <c r="U4" s="3687"/>
      <c r="V4" s="3692" t="s">
        <v>1773</v>
      </c>
      <c r="W4" s="3692"/>
      <c r="X4" s="1351"/>
      <c r="Y4" s="3686" t="s">
        <v>1775</v>
      </c>
      <c r="Z4" s="3687"/>
      <c r="AA4" s="3673" t="s">
        <v>1771</v>
      </c>
      <c r="AB4" s="3692" t="s">
        <v>1772</v>
      </c>
      <c r="AC4" s="3673" t="s">
        <v>1773</v>
      </c>
    </row>
    <row r="5" spans="1:29" ht="15">
      <c r="A5" s="358"/>
      <c r="B5" s="359"/>
      <c r="C5" s="3695" t="s">
        <v>1673</v>
      </c>
      <c r="D5" s="3696"/>
      <c r="E5" s="3702" t="s">
        <v>1674</v>
      </c>
      <c r="F5" s="3703"/>
      <c r="G5" s="3695" t="s">
        <v>1675</v>
      </c>
      <c r="H5" s="3696"/>
      <c r="I5" s="3695" t="s">
        <v>1676</v>
      </c>
      <c r="J5" s="3696"/>
      <c r="K5" s="559"/>
      <c r="L5" s="2711"/>
      <c r="M5" s="2712"/>
      <c r="N5" s="2712"/>
      <c r="O5" s="2712"/>
      <c r="P5" s="3682"/>
      <c r="Q5" s="3683"/>
      <c r="R5" s="3688"/>
      <c r="S5" s="3689"/>
      <c r="T5" s="3688"/>
      <c r="U5" s="3689"/>
      <c r="V5" s="3692"/>
      <c r="W5" s="3692"/>
      <c r="X5" s="1351"/>
      <c r="Y5" s="3688"/>
      <c r="Z5" s="3689"/>
      <c r="AA5" s="3674"/>
      <c r="AB5" s="3692"/>
      <c r="AC5" s="3674"/>
    </row>
    <row r="6" spans="1:29" ht="15.75" thickBot="1">
      <c r="A6" s="360"/>
      <c r="B6" s="361"/>
      <c r="C6" s="3693" t="s">
        <v>1677</v>
      </c>
      <c r="D6" s="3694"/>
      <c r="E6" s="3700" t="s">
        <v>1677</v>
      </c>
      <c r="F6" s="3701"/>
      <c r="G6" s="3693" t="s">
        <v>1677</v>
      </c>
      <c r="H6" s="3694"/>
      <c r="I6" s="3693" t="s">
        <v>1677</v>
      </c>
      <c r="J6" s="3694"/>
      <c r="K6" s="559" t="s">
        <v>1678</v>
      </c>
      <c r="L6" s="2711"/>
      <c r="M6" s="2712"/>
      <c r="N6" s="2712"/>
      <c r="O6" s="2712"/>
      <c r="P6" s="3684"/>
      <c r="Q6" s="3685"/>
      <c r="R6" s="3688"/>
      <c r="S6" s="3689"/>
      <c r="T6" s="3690"/>
      <c r="U6" s="3691"/>
      <c r="V6" s="3692"/>
      <c r="W6" s="3692"/>
      <c r="X6" s="1351"/>
      <c r="Y6" s="3690"/>
      <c r="Z6" s="3691"/>
      <c r="AA6" s="3675"/>
      <c r="AB6" s="3692"/>
      <c r="AC6" s="3675"/>
    </row>
    <row r="7" spans="1:29" s="108" customFormat="1" ht="15.75" thickBot="1">
      <c r="A7" s="362" t="s">
        <v>1679</v>
      </c>
      <c r="B7" s="363"/>
      <c r="C7" s="364">
        <f>'数据-取费表'!B2</f>
        <v>45491</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97"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97" t="s">
        <v>1683</v>
      </c>
      <c r="Q8" s="3698"/>
      <c r="R8" s="701" t="s">
        <v>14</v>
      </c>
      <c r="S8" s="702">
        <f t="shared" si="0"/>
        <v>100</v>
      </c>
      <c r="T8" s="701" t="s">
        <v>14</v>
      </c>
      <c r="U8" s="702">
        <f t="shared" si="1"/>
        <v>100</v>
      </c>
      <c r="V8" s="701" t="s">
        <v>14</v>
      </c>
      <c r="W8" s="702">
        <f t="shared" si="2"/>
        <v>100</v>
      </c>
      <c r="X8" s="703"/>
      <c r="Y8" s="3697" t="s">
        <v>1683</v>
      </c>
      <c r="Z8" s="369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72" t="s">
        <v>1686</v>
      </c>
      <c r="Q9" s="1339" t="str">
        <f t="shared" ref="Q9:Q15" si="6">B9</f>
        <v>用途</v>
      </c>
      <c r="R9" s="701" t="s">
        <v>14</v>
      </c>
      <c r="S9" s="702">
        <f t="shared" si="0"/>
        <v>100</v>
      </c>
      <c r="T9" s="701" t="s">
        <v>14</v>
      </c>
      <c r="U9" s="702">
        <f t="shared" si="1"/>
        <v>100</v>
      </c>
      <c r="V9" s="701" t="s">
        <v>14</v>
      </c>
      <c r="W9" s="702">
        <f t="shared" si="2"/>
        <v>100</v>
      </c>
      <c r="X9" s="703"/>
      <c r="Y9" s="3536"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72"/>
      <c r="Q10" s="1339" t="str">
        <f t="shared" si="6"/>
        <v>土地使用年限（年）</v>
      </c>
      <c r="R10" s="701" t="s">
        <v>14</v>
      </c>
      <c r="S10" s="702">
        <f t="shared" si="0"/>
        <v>100</v>
      </c>
      <c r="T10" s="701" t="s">
        <v>14</v>
      </c>
      <c r="U10" s="702">
        <f t="shared" si="1"/>
        <v>100</v>
      </c>
      <c r="V10" s="701" t="s">
        <v>14</v>
      </c>
      <c r="W10" s="702">
        <f t="shared" si="2"/>
        <v>100</v>
      </c>
      <c r="X10" s="703"/>
      <c r="Y10" s="353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72"/>
      <c r="Q11" s="1339" t="str">
        <f t="shared" si="6"/>
        <v>容积率</v>
      </c>
      <c r="R11" s="701" t="s">
        <v>14</v>
      </c>
      <c r="S11" s="702" t="e">
        <f t="shared" si="0"/>
        <v>#N/A</v>
      </c>
      <c r="T11" s="701" t="s">
        <v>14</v>
      </c>
      <c r="U11" s="702" t="e">
        <f t="shared" si="1"/>
        <v>#N/A</v>
      </c>
      <c r="V11" s="701" t="s">
        <v>14</v>
      </c>
      <c r="W11" s="702" t="e">
        <f t="shared" si="2"/>
        <v>#N/A</v>
      </c>
      <c r="X11" s="703"/>
      <c r="Y11" s="3536"/>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72"/>
      <c r="Q12" s="1339">
        <f t="shared" si="6"/>
        <v>111</v>
      </c>
      <c r="R12" s="701" t="s">
        <v>14</v>
      </c>
      <c r="S12" s="702">
        <f t="shared" si="0"/>
        <v>100</v>
      </c>
      <c r="T12" s="701" t="s">
        <v>14</v>
      </c>
      <c r="U12" s="702">
        <f t="shared" si="1"/>
        <v>100</v>
      </c>
      <c r="V12" s="701" t="s">
        <v>14</v>
      </c>
      <c r="W12" s="702">
        <f t="shared" si="2"/>
        <v>100</v>
      </c>
      <c r="X12" s="703"/>
      <c r="Y12" s="3536"/>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72"/>
      <c r="Q13" s="1339">
        <f t="shared" si="6"/>
        <v>111</v>
      </c>
      <c r="R13" s="701" t="s">
        <v>14</v>
      </c>
      <c r="S13" s="702">
        <f t="shared" si="0"/>
        <v>100</v>
      </c>
      <c r="T13" s="701" t="s">
        <v>14</v>
      </c>
      <c r="U13" s="702">
        <f t="shared" si="1"/>
        <v>100</v>
      </c>
      <c r="V13" s="701" t="s">
        <v>14</v>
      </c>
      <c r="W13" s="702">
        <f t="shared" si="2"/>
        <v>100</v>
      </c>
      <c r="X13" s="703"/>
      <c r="Y13" s="3536"/>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72"/>
      <c r="Q14" s="1339">
        <f t="shared" si="6"/>
        <v>111</v>
      </c>
      <c r="R14" s="701" t="s">
        <v>14</v>
      </c>
      <c r="S14" s="702">
        <f t="shared" si="0"/>
        <v>100</v>
      </c>
      <c r="T14" s="701" t="s">
        <v>14</v>
      </c>
      <c r="U14" s="702">
        <f t="shared" si="1"/>
        <v>100</v>
      </c>
      <c r="V14" s="701" t="s">
        <v>14</v>
      </c>
      <c r="W14" s="702">
        <f t="shared" si="2"/>
        <v>100</v>
      </c>
      <c r="X14" s="703"/>
      <c r="Y14" s="3536"/>
      <c r="Z14" s="52">
        <f t="shared" si="7"/>
        <v>111</v>
      </c>
      <c r="AA14" s="704">
        <f t="shared" si="3"/>
        <v>1</v>
      </c>
      <c r="AB14" s="704">
        <f t="shared" si="4"/>
        <v>1</v>
      </c>
      <c r="AC14" s="704">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70" t="s">
        <v>1691</v>
      </c>
      <c r="Q15" s="1348" t="str">
        <f t="shared" si="6"/>
        <v>商业繁华度</v>
      </c>
      <c r="R15" s="705" t="s">
        <v>14</v>
      </c>
      <c r="S15" s="706">
        <f t="shared" si="0"/>
        <v>100</v>
      </c>
      <c r="T15" s="705" t="s">
        <v>14</v>
      </c>
      <c r="U15" s="706">
        <f t="shared" si="1"/>
        <v>100</v>
      </c>
      <c r="V15" s="705" t="s">
        <v>14</v>
      </c>
      <c r="W15" s="706">
        <f t="shared" si="2"/>
        <v>100</v>
      </c>
      <c r="X15" s="1351"/>
      <c r="Y15" s="3663"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8"/>
      <c r="M16" s="2712"/>
      <c r="N16" s="2712"/>
      <c r="O16" s="2712"/>
      <c r="P16" s="3671"/>
      <c r="Q16" s="1348"/>
      <c r="R16" s="705"/>
      <c r="S16" s="706"/>
      <c r="T16" s="705"/>
      <c r="U16" s="706"/>
      <c r="V16" s="705"/>
      <c r="W16" s="706"/>
      <c r="X16" s="1351"/>
      <c r="Y16" s="3664"/>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671"/>
      <c r="Q17" s="1348" t="str">
        <f>B17</f>
        <v>交通便捷度</v>
      </c>
      <c r="R17" s="705" t="s">
        <v>14</v>
      </c>
      <c r="S17" s="706">
        <f>F17</f>
        <v>100</v>
      </c>
      <c r="T17" s="705" t="s">
        <v>14</v>
      </c>
      <c r="U17" s="706">
        <f>H17</f>
        <v>100</v>
      </c>
      <c r="V17" s="705" t="s">
        <v>14</v>
      </c>
      <c r="W17" s="706">
        <f>J17</f>
        <v>100</v>
      </c>
      <c r="X17" s="1351"/>
      <c r="Y17" s="3664"/>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8"/>
      <c r="M18" s="2712"/>
      <c r="N18" s="2712"/>
      <c r="O18" s="2712"/>
      <c r="P18" s="3671"/>
      <c r="Q18" s="1348"/>
      <c r="R18" s="705"/>
      <c r="S18" s="706"/>
      <c r="T18" s="705"/>
      <c r="U18" s="706"/>
      <c r="V18" s="705"/>
      <c r="W18" s="706"/>
      <c r="X18" s="1351"/>
      <c r="Y18" s="3664"/>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71"/>
      <c r="Q19" s="1348" t="str">
        <f>B19</f>
        <v>公共配套设施</v>
      </c>
      <c r="R19" s="705" t="s">
        <v>14</v>
      </c>
      <c r="S19" s="706">
        <f>F19</f>
        <v>100</v>
      </c>
      <c r="T19" s="705" t="s">
        <v>14</v>
      </c>
      <c r="U19" s="706">
        <f>H19</f>
        <v>100</v>
      </c>
      <c r="V19" s="705" t="s">
        <v>14</v>
      </c>
      <c r="W19" s="706">
        <f>J19</f>
        <v>100</v>
      </c>
      <c r="X19" s="1351"/>
      <c r="Y19" s="3664"/>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8"/>
      <c r="M20" s="2712"/>
      <c r="N20" s="2712"/>
      <c r="O20" s="2712"/>
      <c r="P20" s="3671"/>
      <c r="Q20" s="1348"/>
      <c r="R20" s="705"/>
      <c r="S20" s="706"/>
      <c r="T20" s="705"/>
      <c r="U20" s="706"/>
      <c r="V20" s="705"/>
      <c r="W20" s="706"/>
      <c r="X20" s="1351"/>
      <c r="Y20" s="3664"/>
      <c r="Z20" s="1352"/>
      <c r="AA20" s="1349">
        <v>1</v>
      </c>
      <c r="AB20" s="1349">
        <v>1</v>
      </c>
      <c r="AC20" s="1349">
        <v>1</v>
      </c>
    </row>
    <row r="21" spans="1:29" ht="28.5">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71"/>
      <c r="Q21" s="1348" t="str">
        <f>B21</f>
        <v>基础设施水平</v>
      </c>
      <c r="R21" s="705" t="s">
        <v>14</v>
      </c>
      <c r="S21" s="706">
        <f>F21</f>
        <v>100</v>
      </c>
      <c r="T21" s="705" t="s">
        <v>14</v>
      </c>
      <c r="U21" s="706">
        <f>H21</f>
        <v>100</v>
      </c>
      <c r="V21" s="705" t="s">
        <v>14</v>
      </c>
      <c r="W21" s="706">
        <f>J21</f>
        <v>100</v>
      </c>
      <c r="X21" s="1351"/>
      <c r="Y21" s="3664"/>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8"/>
      <c r="M22" s="2712"/>
      <c r="N22" s="2712"/>
      <c r="O22" s="2712"/>
      <c r="P22" s="3671"/>
      <c r="Q22" s="1348"/>
      <c r="R22" s="705"/>
      <c r="S22" s="706"/>
      <c r="T22" s="705"/>
      <c r="U22" s="706"/>
      <c r="V22" s="705"/>
      <c r="W22" s="706"/>
      <c r="X22" s="1351"/>
      <c r="Y22" s="3664"/>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71"/>
      <c r="Q23" s="1348" t="str">
        <f>B23</f>
        <v>自然及人文环境</v>
      </c>
      <c r="R23" s="705" t="s">
        <v>14</v>
      </c>
      <c r="S23" s="706">
        <f>F23</f>
        <v>100</v>
      </c>
      <c r="T23" s="705" t="s">
        <v>14</v>
      </c>
      <c r="U23" s="706">
        <f>H23</f>
        <v>100</v>
      </c>
      <c r="V23" s="705" t="s">
        <v>14</v>
      </c>
      <c r="W23" s="706">
        <f>J23</f>
        <v>100</v>
      </c>
      <c r="X23" s="1351"/>
      <c r="Y23" s="3664"/>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8"/>
      <c r="M24" s="2712"/>
      <c r="N24" s="2712"/>
      <c r="O24" s="2712"/>
      <c r="P24" s="3671"/>
      <c r="Q24" s="1348"/>
      <c r="R24" s="705"/>
      <c r="S24" s="706"/>
      <c r="T24" s="705"/>
      <c r="U24" s="706"/>
      <c r="V24" s="705"/>
      <c r="W24" s="706"/>
      <c r="X24" s="1351"/>
      <c r="Y24" s="3664"/>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71"/>
      <c r="Q25" s="1348" t="str">
        <f t="shared" ref="Q25:Q46" si="11">B25</f>
        <v>临街状况</v>
      </c>
      <c r="R25" s="705" t="s">
        <v>14</v>
      </c>
      <c r="S25" s="706">
        <f>F25</f>
        <v>100</v>
      </c>
      <c r="T25" s="705" t="s">
        <v>14</v>
      </c>
      <c r="U25" s="706">
        <f>H25</f>
        <v>100</v>
      </c>
      <c r="V25" s="705" t="s">
        <v>14</v>
      </c>
      <c r="W25" s="706">
        <f>J25</f>
        <v>100</v>
      </c>
      <c r="X25" s="1351"/>
      <c r="Y25" s="3664"/>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71"/>
      <c r="Q26" s="1348" t="str">
        <f t="shared" si="11"/>
        <v>平面位置/可视性</v>
      </c>
      <c r="R26" s="705" t="s">
        <v>14</v>
      </c>
      <c r="S26" s="706">
        <f>F26</f>
        <v>100</v>
      </c>
      <c r="T26" s="705" t="s">
        <v>14</v>
      </c>
      <c r="U26" s="706">
        <f>H26</f>
        <v>100</v>
      </c>
      <c r="V26" s="705" t="s">
        <v>14</v>
      </c>
      <c r="W26" s="706">
        <f>J26</f>
        <v>100</v>
      </c>
      <c r="X26" s="1351"/>
      <c r="Y26" s="3664"/>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671"/>
      <c r="Q27" s="1339" t="str">
        <f t="shared" si="11"/>
        <v>人流量</v>
      </c>
      <c r="R27" s="701" t="s">
        <v>14</v>
      </c>
      <c r="S27" s="702">
        <f>F27</f>
        <v>100</v>
      </c>
      <c r="T27" s="701" t="s">
        <v>14</v>
      </c>
      <c r="U27" s="702">
        <f>H27</f>
        <v>100</v>
      </c>
      <c r="V27" s="701" t="s">
        <v>14</v>
      </c>
      <c r="W27" s="702">
        <f>J27</f>
        <v>100</v>
      </c>
      <c r="X27" s="703"/>
      <c r="Y27" s="3664"/>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71"/>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664"/>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71"/>
      <c r="Q29" s="1348">
        <f t="shared" si="11"/>
        <v>111</v>
      </c>
      <c r="R29" s="705" t="s">
        <v>14</v>
      </c>
      <c r="S29" s="706">
        <f t="shared" si="12"/>
        <v>100</v>
      </c>
      <c r="T29" s="705" t="s">
        <v>14</v>
      </c>
      <c r="U29" s="706">
        <f t="shared" si="13"/>
        <v>100</v>
      </c>
      <c r="V29" s="705" t="s">
        <v>14</v>
      </c>
      <c r="W29" s="706">
        <f t="shared" si="14"/>
        <v>100</v>
      </c>
      <c r="X29" s="1351"/>
      <c r="Y29" s="3664"/>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71"/>
      <c r="Q30" s="1348">
        <f t="shared" si="11"/>
        <v>111</v>
      </c>
      <c r="R30" s="705" t="s">
        <v>14</v>
      </c>
      <c r="S30" s="706">
        <f t="shared" si="12"/>
        <v>100</v>
      </c>
      <c r="T30" s="705" t="s">
        <v>14</v>
      </c>
      <c r="U30" s="706">
        <f t="shared" si="13"/>
        <v>100</v>
      </c>
      <c r="V30" s="705" t="s">
        <v>14</v>
      </c>
      <c r="W30" s="706">
        <f t="shared" si="14"/>
        <v>100</v>
      </c>
      <c r="X30" s="1351"/>
      <c r="Y30" s="3664"/>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71"/>
      <c r="Q31" s="1348">
        <f t="shared" si="11"/>
        <v>111</v>
      </c>
      <c r="R31" s="705" t="s">
        <v>14</v>
      </c>
      <c r="S31" s="706">
        <f t="shared" si="12"/>
        <v>100</v>
      </c>
      <c r="T31" s="705" t="s">
        <v>14</v>
      </c>
      <c r="U31" s="706">
        <f t="shared" si="13"/>
        <v>100</v>
      </c>
      <c r="V31" s="705" t="s">
        <v>14</v>
      </c>
      <c r="W31" s="706">
        <f t="shared" si="14"/>
        <v>100</v>
      </c>
      <c r="X31" s="1351"/>
      <c r="Y31" s="3664"/>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8"/>
      <c r="M32" s="2712"/>
      <c r="N32" s="2712"/>
      <c r="O32" s="2712"/>
      <c r="P32" s="3665" t="s">
        <v>1696</v>
      </c>
      <c r="Q32" s="1348" t="str">
        <f t="shared" si="11"/>
        <v>商业类型</v>
      </c>
      <c r="R32" s="705" t="s">
        <v>14</v>
      </c>
      <c r="S32" s="706">
        <f t="shared" si="12"/>
        <v>100</v>
      </c>
      <c r="T32" s="705" t="s">
        <v>14</v>
      </c>
      <c r="U32" s="706">
        <f t="shared" si="13"/>
        <v>100</v>
      </c>
      <c r="V32" s="705" t="s">
        <v>14</v>
      </c>
      <c r="W32" s="706">
        <f t="shared" si="14"/>
        <v>100</v>
      </c>
      <c r="X32" s="1351"/>
      <c r="Y32" s="3668"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66"/>
      <c r="Q33" s="707" t="str">
        <f t="shared" si="11"/>
        <v>项目建筑规模</v>
      </c>
      <c r="R33" s="708" t="s">
        <v>14</v>
      </c>
      <c r="S33" s="709" t="e">
        <f t="shared" si="12"/>
        <v>#N/A</v>
      </c>
      <c r="T33" s="708" t="s">
        <v>14</v>
      </c>
      <c r="U33" s="709" t="e">
        <f t="shared" si="13"/>
        <v>#N/A</v>
      </c>
      <c r="V33" s="708" t="s">
        <v>14</v>
      </c>
      <c r="W33" s="709" t="e">
        <f t="shared" si="14"/>
        <v>#N/A</v>
      </c>
      <c r="X33" s="710"/>
      <c r="Y33" s="3668"/>
      <c r="Z33" s="711"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666"/>
      <c r="Q34" s="1348" t="str">
        <f t="shared" si="11"/>
        <v>建筑结构</v>
      </c>
      <c r="R34" s="705" t="s">
        <v>14</v>
      </c>
      <c r="S34" s="706">
        <f t="shared" si="12"/>
        <v>100</v>
      </c>
      <c r="T34" s="705" t="s">
        <v>14</v>
      </c>
      <c r="U34" s="706">
        <f t="shared" si="13"/>
        <v>100</v>
      </c>
      <c r="V34" s="705" t="s">
        <v>14</v>
      </c>
      <c r="W34" s="706">
        <f t="shared" si="14"/>
        <v>100</v>
      </c>
      <c r="X34" s="1351"/>
      <c r="Y34" s="3668"/>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666"/>
      <c r="Q35" s="1348" t="str">
        <f t="shared" si="11"/>
        <v>公共部分装修</v>
      </c>
      <c r="R35" s="705" t="s">
        <v>14</v>
      </c>
      <c r="S35" s="706">
        <f t="shared" si="12"/>
        <v>100</v>
      </c>
      <c r="T35" s="705" t="s">
        <v>14</v>
      </c>
      <c r="U35" s="706">
        <f t="shared" si="13"/>
        <v>100</v>
      </c>
      <c r="V35" s="705" t="s">
        <v>14</v>
      </c>
      <c r="W35" s="706">
        <f t="shared" si="14"/>
        <v>100</v>
      </c>
      <c r="X35" s="1351"/>
      <c r="Y35" s="3668"/>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66"/>
      <c r="Q36" s="1348" t="str">
        <f t="shared" si="11"/>
        <v>成新度</v>
      </c>
      <c r="R36" s="705" t="s">
        <v>14</v>
      </c>
      <c r="S36" s="706" t="e">
        <f t="shared" si="12"/>
        <v>#N/A</v>
      </c>
      <c r="T36" s="705" t="s">
        <v>14</v>
      </c>
      <c r="U36" s="706" t="e">
        <f t="shared" si="13"/>
        <v>#N/A</v>
      </c>
      <c r="V36" s="705" t="s">
        <v>14</v>
      </c>
      <c r="W36" s="706" t="e">
        <f t="shared" si="14"/>
        <v>#N/A</v>
      </c>
      <c r="X36" s="1351"/>
      <c r="Y36" s="3668"/>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666"/>
      <c r="Q37" s="1339" t="str">
        <f t="shared" si="11"/>
        <v>市政基础设施</v>
      </c>
      <c r="R37" s="701" t="s">
        <v>14</v>
      </c>
      <c r="S37" s="702">
        <f t="shared" si="12"/>
        <v>100</v>
      </c>
      <c r="T37" s="701" t="s">
        <v>14</v>
      </c>
      <c r="U37" s="702">
        <f t="shared" si="13"/>
        <v>100</v>
      </c>
      <c r="V37" s="701" t="s">
        <v>14</v>
      </c>
      <c r="W37" s="702">
        <f t="shared" si="14"/>
        <v>100</v>
      </c>
      <c r="X37" s="703"/>
      <c r="Y37" s="3668"/>
      <c r="Z37" s="52" t="str">
        <f t="shared" si="15"/>
        <v>市政基础设施</v>
      </c>
      <c r="AA37" s="704">
        <f t="shared" si="3"/>
        <v>1</v>
      </c>
      <c r="AB37" s="704">
        <f t="shared" si="4"/>
        <v>1</v>
      </c>
      <c r="AC37" s="704">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666" t="s">
        <v>1696</v>
      </c>
      <c r="Q38" s="1348" t="str">
        <f t="shared" si="11"/>
        <v>业态</v>
      </c>
      <c r="R38" s="705" t="s">
        <v>14</v>
      </c>
      <c r="S38" s="706">
        <f t="shared" si="12"/>
        <v>100</v>
      </c>
      <c r="T38" s="705" t="s">
        <v>14</v>
      </c>
      <c r="U38" s="706">
        <f t="shared" si="13"/>
        <v>100</v>
      </c>
      <c r="V38" s="705" t="s">
        <v>14</v>
      </c>
      <c r="W38" s="706">
        <f t="shared" si="14"/>
        <v>100</v>
      </c>
      <c r="X38" s="1351"/>
      <c r="Y38" s="3668"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666"/>
      <c r="Q39" s="1348" t="str">
        <f t="shared" si="11"/>
        <v>层高</v>
      </c>
      <c r="R39" s="705" t="s">
        <v>14</v>
      </c>
      <c r="S39" s="706">
        <f t="shared" si="12"/>
        <v>100</v>
      </c>
      <c r="T39" s="705" t="s">
        <v>14</v>
      </c>
      <c r="U39" s="706">
        <f t="shared" si="13"/>
        <v>100</v>
      </c>
      <c r="V39" s="705" t="s">
        <v>14</v>
      </c>
      <c r="W39" s="706">
        <f t="shared" si="14"/>
        <v>100</v>
      </c>
      <c r="X39" s="1351"/>
      <c r="Y39" s="3668"/>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66"/>
      <c r="Q40" s="1348" t="str">
        <f t="shared" si="11"/>
        <v>单套建筑面积</v>
      </c>
      <c r="R40" s="705" t="s">
        <v>14</v>
      </c>
      <c r="S40" s="706">
        <f t="shared" si="12"/>
        <v>100</v>
      </c>
      <c r="T40" s="705" t="s">
        <v>14</v>
      </c>
      <c r="U40" s="706">
        <f t="shared" si="13"/>
        <v>100</v>
      </c>
      <c r="V40" s="705" t="s">
        <v>14</v>
      </c>
      <c r="W40" s="706">
        <f t="shared" si="14"/>
        <v>100</v>
      </c>
      <c r="X40" s="1351"/>
      <c r="Y40" s="3668"/>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66"/>
      <c r="Q41" s="707" t="str">
        <f t="shared" si="11"/>
        <v>进深比</v>
      </c>
      <c r="R41" s="708" t="s">
        <v>14</v>
      </c>
      <c r="S41" s="709">
        <f t="shared" si="12"/>
        <v>100</v>
      </c>
      <c r="T41" s="708" t="s">
        <v>14</v>
      </c>
      <c r="U41" s="709">
        <f t="shared" si="13"/>
        <v>100</v>
      </c>
      <c r="V41" s="708" t="s">
        <v>14</v>
      </c>
      <c r="W41" s="709">
        <f t="shared" si="14"/>
        <v>100</v>
      </c>
      <c r="X41" s="710"/>
      <c r="Y41" s="3668"/>
      <c r="Z41" s="711"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666"/>
      <c r="Q42" s="1348" t="str">
        <f t="shared" si="11"/>
        <v>内部装修</v>
      </c>
      <c r="R42" s="705" t="s">
        <v>14</v>
      </c>
      <c r="S42" s="706">
        <f t="shared" si="12"/>
        <v>100</v>
      </c>
      <c r="T42" s="705" t="s">
        <v>14</v>
      </c>
      <c r="U42" s="706">
        <f t="shared" si="13"/>
        <v>100</v>
      </c>
      <c r="V42" s="705" t="s">
        <v>14</v>
      </c>
      <c r="W42" s="706">
        <f t="shared" si="14"/>
        <v>100</v>
      </c>
      <c r="X42" s="1351"/>
      <c r="Y42" s="3668"/>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666"/>
      <c r="Q43" s="1348" t="str">
        <f t="shared" si="11"/>
        <v>内部装修维护情况</v>
      </c>
      <c r="R43" s="705" t="s">
        <v>14</v>
      </c>
      <c r="S43" s="706">
        <f t="shared" si="12"/>
        <v>100</v>
      </c>
      <c r="T43" s="705" t="s">
        <v>14</v>
      </c>
      <c r="U43" s="706">
        <f t="shared" si="13"/>
        <v>100</v>
      </c>
      <c r="V43" s="705" t="s">
        <v>14</v>
      </c>
      <c r="W43" s="706">
        <f t="shared" si="14"/>
        <v>100</v>
      </c>
      <c r="X43" s="1351"/>
      <c r="Y43" s="3668"/>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66"/>
      <c r="Q44" s="1339">
        <f t="shared" si="11"/>
        <v>111</v>
      </c>
      <c r="R44" s="701" t="s">
        <v>14</v>
      </c>
      <c r="S44" s="702">
        <f t="shared" si="12"/>
        <v>100</v>
      </c>
      <c r="T44" s="701" t="s">
        <v>14</v>
      </c>
      <c r="U44" s="702">
        <f t="shared" si="13"/>
        <v>100</v>
      </c>
      <c r="V44" s="701" t="s">
        <v>14</v>
      </c>
      <c r="W44" s="702">
        <f t="shared" si="14"/>
        <v>100</v>
      </c>
      <c r="X44" s="703"/>
      <c r="Y44" s="3668"/>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66"/>
      <c r="Q45" s="1348">
        <f t="shared" si="11"/>
        <v>111</v>
      </c>
      <c r="R45" s="705" t="s">
        <v>14</v>
      </c>
      <c r="S45" s="706">
        <f t="shared" si="12"/>
        <v>100</v>
      </c>
      <c r="T45" s="705" t="s">
        <v>14</v>
      </c>
      <c r="U45" s="706">
        <f t="shared" si="13"/>
        <v>100</v>
      </c>
      <c r="V45" s="705" t="s">
        <v>14</v>
      </c>
      <c r="W45" s="706">
        <f t="shared" si="14"/>
        <v>100</v>
      </c>
      <c r="X45" s="1351"/>
      <c r="Y45" s="3668"/>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67"/>
      <c r="Q46" s="1348">
        <f t="shared" si="11"/>
        <v>111</v>
      </c>
      <c r="R46" s="705" t="s">
        <v>14</v>
      </c>
      <c r="S46" s="706">
        <f t="shared" si="12"/>
        <v>100</v>
      </c>
      <c r="T46" s="705" t="s">
        <v>14</v>
      </c>
      <c r="U46" s="706">
        <f t="shared" si="13"/>
        <v>100</v>
      </c>
      <c r="V46" s="705" t="s">
        <v>14</v>
      </c>
      <c r="W46" s="706">
        <f t="shared" si="14"/>
        <v>100</v>
      </c>
      <c r="X46" s="1351"/>
      <c r="Y46" s="3669"/>
      <c r="Z46" s="1352">
        <f t="shared" si="15"/>
        <v>111</v>
      </c>
      <c r="AA46" s="1349">
        <f t="shared" si="3"/>
        <v>1</v>
      </c>
      <c r="AB46" s="1349">
        <f t="shared" si="4"/>
        <v>1</v>
      </c>
      <c r="AC46" s="1349">
        <f t="shared" si="5"/>
        <v>1</v>
      </c>
    </row>
    <row r="47" spans="1:29" ht="15">
      <c r="A47" s="430" t="s">
        <v>1708</v>
      </c>
      <c r="B47" s="431"/>
      <c r="C47" s="1150" t="s">
        <v>0</v>
      </c>
      <c r="D47" s="1151"/>
      <c r="E47" s="1152"/>
      <c r="F47" s="1153"/>
      <c r="G47" s="1154"/>
      <c r="H47" s="1155"/>
      <c r="I47" s="1152"/>
      <c r="J47" s="1155"/>
      <c r="K47" s="714"/>
      <c r="L47" s="2720"/>
      <c r="M47" s="2721"/>
      <c r="N47" s="2712"/>
      <c r="O47" s="2721"/>
      <c r="P47" s="3661" t="str">
        <f>A47</f>
        <v>成交单价（元/平方米）</v>
      </c>
      <c r="Q47" s="3661"/>
      <c r="R47" s="3692">
        <f>E47</f>
        <v>0</v>
      </c>
      <c r="S47" s="3692"/>
      <c r="T47" s="3692">
        <f>G47</f>
        <v>0</v>
      </c>
      <c r="U47" s="3692"/>
      <c r="V47" s="3692">
        <f>I47</f>
        <v>0</v>
      </c>
      <c r="W47" s="3692"/>
      <c r="X47" s="690"/>
      <c r="Y47" s="712"/>
      <c r="Z47" s="690"/>
      <c r="AA47" s="690"/>
      <c r="AB47" s="690"/>
      <c r="AC47" s="690"/>
    </row>
    <row r="48" spans="1:29" ht="15.75" thickBot="1">
      <c r="A48" s="437" t="s">
        <v>1793</v>
      </c>
      <c r="B48" s="438"/>
      <c r="C48" s="1156" t="e">
        <f>R49</f>
        <v>#DIV/0!</v>
      </c>
      <c r="D48" s="2313" t="s">
        <v>2138</v>
      </c>
      <c r="E48" s="1157" t="e">
        <f>R48</f>
        <v>#DIV/0!</v>
      </c>
      <c r="F48" s="2314"/>
      <c r="G48" s="1156" t="e">
        <f>T48</f>
        <v>#DIV/0!</v>
      </c>
      <c r="H48" s="2314"/>
      <c r="I48" s="1157" t="e">
        <f>V48</f>
        <v>#DIV/0!</v>
      </c>
      <c r="J48" s="2314"/>
      <c r="K48" s="2316">
        <f>F48+H48+J48</f>
        <v>0</v>
      </c>
      <c r="L48" s="2720"/>
      <c r="M48" s="2721"/>
      <c r="N48" s="2712"/>
      <c r="O48" s="2721"/>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90"/>
      <c r="Y48" s="690"/>
      <c r="Z48" s="690"/>
      <c r="AA48" s="690"/>
      <c r="AB48" s="690"/>
      <c r="AC48" s="690"/>
    </row>
    <row r="49" spans="1:29" ht="15.75" thickBot="1">
      <c r="A49" s="441" t="s">
        <v>1794</v>
      </c>
      <c r="B49" s="442"/>
      <c r="C49" s="1159" t="e">
        <f>R49</f>
        <v>#DIV/0!</v>
      </c>
      <c r="D49" s="1159"/>
      <c r="E49" s="1159"/>
      <c r="F49" s="1159"/>
      <c r="G49" s="1159"/>
      <c r="H49" s="1159"/>
      <c r="I49" s="1159"/>
      <c r="J49" s="1159"/>
      <c r="K49" s="715"/>
      <c r="L49" s="2720"/>
      <c r="M49" s="2721"/>
      <c r="N49" s="2712"/>
      <c r="O49" s="2721"/>
      <c r="P49" s="3658" t="str">
        <f>A49</f>
        <v>估价对象XX用房的比较价值（楼面单价，元/平方米）</v>
      </c>
      <c r="Q49" s="3659"/>
      <c r="R49" s="3660" t="e">
        <f>IF(F1="售价",ROUND(IF(D48="简单平均",AVERAGE(R48:V48),R48*F48+T48*H48+V48*J48),0),ROUND(IF(D48="简单平均",AVERAGE(R48:V48),R48*F48+T48*H48+V48*J48),1))</f>
        <v>#DIV/0!</v>
      </c>
      <c r="S49" s="3660"/>
      <c r="T49" s="3660"/>
      <c r="U49" s="3660"/>
      <c r="V49" s="3660"/>
      <c r="W49" s="366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38"/>
      <c r="M57" s="936"/>
      <c r="N57" s="936"/>
      <c r="O57" s="936"/>
      <c r="P57" s="2734"/>
      <c r="Q57" s="2735"/>
      <c r="R57" s="2721"/>
      <c r="S57" s="2721"/>
      <c r="T57" s="2721"/>
      <c r="U57" s="2721"/>
      <c r="V57" s="2721"/>
      <c r="W57" s="2721"/>
      <c r="X57" s="2721"/>
      <c r="Y57" s="2721"/>
      <c r="Z57" s="2721"/>
      <c r="AA57" s="2721"/>
      <c r="AB57" s="2721"/>
      <c r="AC57" s="2721"/>
    </row>
    <row r="58" spans="1:29" s="457" customFormat="1" ht="15">
      <c r="A58" s="454" t="s">
        <v>1679</v>
      </c>
      <c r="B58" s="455"/>
      <c r="C58" s="1180" t="str">
        <f>YEAR(C7)&amp;"-"&amp;MONTH(C7)</f>
        <v>2024-7</v>
      </c>
      <c r="D58" s="1181">
        <f>EDATE(C58,-1)</f>
        <v>45444</v>
      </c>
      <c r="E58" s="1181">
        <f t="shared" ref="E58:N58" si="16">EDATE(D58,-1)</f>
        <v>45413</v>
      </c>
      <c r="F58" s="1181">
        <f t="shared" si="16"/>
        <v>45383</v>
      </c>
      <c r="G58" s="1181">
        <f t="shared" si="16"/>
        <v>45352</v>
      </c>
      <c r="H58" s="1181">
        <f t="shared" si="16"/>
        <v>45323</v>
      </c>
      <c r="I58" s="1181">
        <f t="shared" si="16"/>
        <v>45292</v>
      </c>
      <c r="J58" s="1181">
        <f t="shared" si="16"/>
        <v>45261</v>
      </c>
      <c r="K58" s="1181">
        <f t="shared" si="16"/>
        <v>45231</v>
      </c>
      <c r="L58" s="1181">
        <f t="shared" si="16"/>
        <v>45200</v>
      </c>
      <c r="M58" s="1181">
        <f t="shared" si="16"/>
        <v>45170</v>
      </c>
      <c r="N58" s="1181">
        <f t="shared" si="16"/>
        <v>45139</v>
      </c>
      <c r="O58" s="1181">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N48" activeCellId="1" sqref="F39:F48 N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24230.799999999999</v>
      </c>
      <c r="E3" s="1950"/>
      <c r="F3" s="905"/>
      <c r="G3" s="904"/>
      <c r="H3" s="904"/>
      <c r="I3" s="904"/>
      <c r="J3" s="904"/>
      <c r="K3" s="906"/>
      <c r="L3" s="2730"/>
      <c r="M3" s="2731"/>
      <c r="N3" s="2731"/>
      <c r="O3" s="2731"/>
      <c r="P3" s="699"/>
      <c r="Q3" s="699"/>
      <c r="R3" s="699"/>
      <c r="S3" s="699"/>
      <c r="T3" s="699"/>
      <c r="U3" s="699"/>
      <c r="V3" s="699"/>
      <c r="W3" s="699"/>
      <c r="X3" s="699"/>
      <c r="Y3" s="699"/>
      <c r="Z3" s="699"/>
      <c r="AA3" s="699"/>
      <c r="AB3" s="699"/>
      <c r="AC3" s="700"/>
    </row>
    <row r="4" spans="1:29" ht="15">
      <c r="A4" s="355" t="s">
        <v>1769</v>
      </c>
      <c r="B4" s="356"/>
      <c r="C4" s="3676" t="s">
        <v>1770</v>
      </c>
      <c r="D4" s="3677"/>
      <c r="E4" s="3678" t="s">
        <v>1771</v>
      </c>
      <c r="F4" s="3679"/>
      <c r="G4" s="3676" t="s">
        <v>1772</v>
      </c>
      <c r="H4" s="3677"/>
      <c r="I4" s="3676" t="s">
        <v>1773</v>
      </c>
      <c r="J4" s="3677"/>
      <c r="K4" s="559" t="s">
        <v>1774</v>
      </c>
      <c r="L4" s="2711"/>
      <c r="M4" s="2712"/>
      <c r="N4" s="2712"/>
      <c r="O4" s="2712"/>
      <c r="P4" s="3710" t="s">
        <v>1775</v>
      </c>
      <c r="Q4" s="3711"/>
      <c r="R4" s="3714" t="s">
        <v>1771</v>
      </c>
      <c r="S4" s="3715"/>
      <c r="T4" s="3714" t="s">
        <v>1772</v>
      </c>
      <c r="U4" s="3715"/>
      <c r="V4" s="3716" t="s">
        <v>1773</v>
      </c>
      <c r="W4" s="3716"/>
      <c r="X4" s="1954"/>
      <c r="Y4" s="3714" t="s">
        <v>1775</v>
      </c>
      <c r="Z4" s="3715"/>
      <c r="AA4" s="3718" t="s">
        <v>1771</v>
      </c>
      <c r="AB4" s="3718" t="s">
        <v>1772</v>
      </c>
      <c r="AC4" s="3707" t="s">
        <v>1773</v>
      </c>
    </row>
    <row r="5" spans="1:29" ht="15">
      <c r="A5" s="358"/>
      <c r="B5" s="359"/>
      <c r="C5" s="3695" t="s">
        <v>1673</v>
      </c>
      <c r="D5" s="3696"/>
      <c r="E5" s="3702" t="s">
        <v>1674</v>
      </c>
      <c r="F5" s="3703"/>
      <c r="G5" s="3695" t="s">
        <v>1675</v>
      </c>
      <c r="H5" s="3696"/>
      <c r="I5" s="3695" t="s">
        <v>1676</v>
      </c>
      <c r="J5" s="3696"/>
      <c r="K5" s="559"/>
      <c r="L5" s="2711"/>
      <c r="M5" s="2712"/>
      <c r="N5" s="2712"/>
      <c r="O5" s="2712"/>
      <c r="P5" s="3712"/>
      <c r="Q5" s="3683"/>
      <c r="R5" s="3688"/>
      <c r="S5" s="3689"/>
      <c r="T5" s="3688"/>
      <c r="U5" s="3689"/>
      <c r="V5" s="3692"/>
      <c r="W5" s="3692"/>
      <c r="X5" s="1351"/>
      <c r="Y5" s="3688"/>
      <c r="Z5" s="3689"/>
      <c r="AA5" s="3674"/>
      <c r="AB5" s="3674"/>
      <c r="AC5" s="3708"/>
    </row>
    <row r="6" spans="1:29" ht="15.75" thickBot="1">
      <c r="A6" s="360"/>
      <c r="B6" s="361"/>
      <c r="C6" s="3693" t="s">
        <v>1677</v>
      </c>
      <c r="D6" s="3694"/>
      <c r="E6" s="3700" t="s">
        <v>1677</v>
      </c>
      <c r="F6" s="3701"/>
      <c r="G6" s="3693" t="s">
        <v>1677</v>
      </c>
      <c r="H6" s="3694"/>
      <c r="I6" s="3693" t="s">
        <v>1677</v>
      </c>
      <c r="J6" s="3694"/>
      <c r="K6" s="559" t="s">
        <v>1678</v>
      </c>
      <c r="L6" s="2711"/>
      <c r="M6" s="2712"/>
      <c r="N6" s="2712"/>
      <c r="O6" s="2712"/>
      <c r="P6" s="3713"/>
      <c r="Q6" s="3685"/>
      <c r="R6" s="3688"/>
      <c r="S6" s="3689"/>
      <c r="T6" s="3690"/>
      <c r="U6" s="3691"/>
      <c r="V6" s="3692"/>
      <c r="W6" s="3692"/>
      <c r="X6" s="1351"/>
      <c r="Y6" s="3690"/>
      <c r="Z6" s="3691"/>
      <c r="AA6" s="3675"/>
      <c r="AB6" s="3675"/>
      <c r="AC6" s="3709"/>
    </row>
    <row r="7" spans="1:29" s="108" customFormat="1" ht="15.75" thickBot="1">
      <c r="A7" s="362" t="s">
        <v>1679</v>
      </c>
      <c r="B7" s="363"/>
      <c r="C7" s="364">
        <f>'数据-取费表'!B2</f>
        <v>45491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17"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17" t="s">
        <v>1683</v>
      </c>
      <c r="Q8" s="3698"/>
      <c r="R8" s="701" t="s">
        <v>14</v>
      </c>
      <c r="S8" s="702">
        <f t="shared" si="0"/>
        <v>100</v>
      </c>
      <c r="T8" s="701" t="s">
        <v>14</v>
      </c>
      <c r="U8" s="702">
        <f t="shared" si="1"/>
        <v>100</v>
      </c>
      <c r="V8" s="701" t="s">
        <v>14</v>
      </c>
      <c r="W8" s="702">
        <f t="shared" si="2"/>
        <v>100</v>
      </c>
      <c r="X8" s="703"/>
      <c r="Y8" s="3697" t="s">
        <v>1683</v>
      </c>
      <c r="Z8" s="3698"/>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72" t="s">
        <v>1686</v>
      </c>
      <c r="Q9" s="1339" t="str">
        <f t="shared" ref="Q9:Q15" si="6">B9</f>
        <v>用途</v>
      </c>
      <c r="R9" s="701" t="s">
        <v>14</v>
      </c>
      <c r="S9" s="702">
        <f t="shared" si="0"/>
        <v>100</v>
      </c>
      <c r="T9" s="701" t="s">
        <v>14</v>
      </c>
      <c r="U9" s="702">
        <f t="shared" si="1"/>
        <v>100</v>
      </c>
      <c r="V9" s="701" t="s">
        <v>14</v>
      </c>
      <c r="W9" s="702">
        <f t="shared" si="2"/>
        <v>100</v>
      </c>
      <c r="X9" s="703"/>
      <c r="Y9" s="3536" t="s">
        <v>1687</v>
      </c>
      <c r="Z9" s="52" t="str">
        <f t="shared" ref="Z9:Z15" si="7">Q9</f>
        <v>用途</v>
      </c>
      <c r="AA9" s="704">
        <f t="shared" si="3"/>
        <v>1</v>
      </c>
      <c r="AB9" s="704">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72"/>
      <c r="Q10" s="1339" t="str">
        <f t="shared" si="6"/>
        <v>土地使用年限（年）</v>
      </c>
      <c r="R10" s="701" t="s">
        <v>14</v>
      </c>
      <c r="S10" s="702">
        <f t="shared" si="0"/>
        <v>100</v>
      </c>
      <c r="T10" s="701" t="s">
        <v>14</v>
      </c>
      <c r="U10" s="702">
        <f t="shared" si="1"/>
        <v>100</v>
      </c>
      <c r="V10" s="701" t="s">
        <v>14</v>
      </c>
      <c r="W10" s="702">
        <f t="shared" si="2"/>
        <v>100</v>
      </c>
      <c r="X10" s="703"/>
      <c r="Y10" s="3536"/>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72"/>
      <c r="Q11" s="1339" t="str">
        <f t="shared" si="6"/>
        <v>容积率</v>
      </c>
      <c r="R11" s="701" t="s">
        <v>14</v>
      </c>
      <c r="S11" s="702">
        <f t="shared" si="0"/>
        <v>100</v>
      </c>
      <c r="T11" s="701" t="s">
        <v>14</v>
      </c>
      <c r="U11" s="702">
        <f t="shared" si="1"/>
        <v>100</v>
      </c>
      <c r="V11" s="701" t="s">
        <v>14</v>
      </c>
      <c r="W11" s="702">
        <f t="shared" si="2"/>
        <v>100</v>
      </c>
      <c r="X11" s="703"/>
      <c r="Y11" s="3536"/>
      <c r="Z11" s="52" t="str">
        <f t="shared" si="7"/>
        <v>容积率</v>
      </c>
      <c r="AA11" s="704">
        <f t="shared" si="3"/>
        <v>1</v>
      </c>
      <c r="AB11" s="704">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672"/>
      <c r="Q12" s="1339">
        <f t="shared" si="6"/>
        <v>111</v>
      </c>
      <c r="R12" s="701" t="s">
        <v>14</v>
      </c>
      <c r="S12" s="702">
        <f t="shared" si="0"/>
        <v>100</v>
      </c>
      <c r="T12" s="701" t="s">
        <v>14</v>
      </c>
      <c r="U12" s="702">
        <f t="shared" si="1"/>
        <v>100</v>
      </c>
      <c r="V12" s="701" t="s">
        <v>14</v>
      </c>
      <c r="W12" s="702">
        <f t="shared" si="2"/>
        <v>100</v>
      </c>
      <c r="X12" s="703"/>
      <c r="Y12" s="3536"/>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672"/>
      <c r="Q13" s="1339">
        <f t="shared" si="6"/>
        <v>111</v>
      </c>
      <c r="R13" s="701" t="s">
        <v>14</v>
      </c>
      <c r="S13" s="702">
        <f t="shared" si="0"/>
        <v>100</v>
      </c>
      <c r="T13" s="701" t="s">
        <v>14</v>
      </c>
      <c r="U13" s="702">
        <f t="shared" si="1"/>
        <v>100</v>
      </c>
      <c r="V13" s="701" t="s">
        <v>14</v>
      </c>
      <c r="W13" s="702">
        <f t="shared" si="2"/>
        <v>100</v>
      </c>
      <c r="X13" s="703"/>
      <c r="Y13" s="3536"/>
      <c r="Z13" s="52">
        <f t="shared" si="7"/>
        <v>111</v>
      </c>
      <c r="AA13" s="704">
        <f t="shared" si="3"/>
        <v>1</v>
      </c>
      <c r="AB13" s="704">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672"/>
      <c r="Q14" s="1339">
        <f t="shared" si="6"/>
        <v>111</v>
      </c>
      <c r="R14" s="701" t="s">
        <v>14</v>
      </c>
      <c r="S14" s="702">
        <f t="shared" si="0"/>
        <v>100</v>
      </c>
      <c r="T14" s="701" t="s">
        <v>14</v>
      </c>
      <c r="U14" s="702">
        <f t="shared" si="1"/>
        <v>100</v>
      </c>
      <c r="V14" s="701" t="s">
        <v>14</v>
      </c>
      <c r="W14" s="702">
        <f t="shared" si="2"/>
        <v>100</v>
      </c>
      <c r="X14" s="703"/>
      <c r="Y14" s="3536"/>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70" t="s">
        <v>1691</v>
      </c>
      <c r="Q15" s="1348" t="str">
        <f t="shared" si="6"/>
        <v>办公集聚程度</v>
      </c>
      <c r="R15" s="705" t="s">
        <v>14</v>
      </c>
      <c r="S15" s="706">
        <f t="shared" si="0"/>
        <v>100</v>
      </c>
      <c r="T15" s="705" t="s">
        <v>14</v>
      </c>
      <c r="U15" s="706">
        <f t="shared" si="1"/>
        <v>100</v>
      </c>
      <c r="V15" s="705" t="s">
        <v>14</v>
      </c>
      <c r="W15" s="706">
        <f t="shared" si="2"/>
        <v>100</v>
      </c>
      <c r="X15" s="1351"/>
      <c r="Y15" s="3663" t="s">
        <v>1691</v>
      </c>
      <c r="Z15" s="1352" t="str">
        <f t="shared" si="7"/>
        <v>办公集聚程度</v>
      </c>
      <c r="AA15" s="1349">
        <f t="shared" si="3"/>
        <v>1</v>
      </c>
      <c r="AB15" s="1349">
        <f t="shared" si="4"/>
        <v>1</v>
      </c>
      <c r="AC15" s="1958">
        <f t="shared" si="5"/>
        <v>1</v>
      </c>
    </row>
    <row r="16" spans="1:29" ht="15">
      <c r="A16" s="379"/>
      <c r="B16" s="578"/>
      <c r="C16" s="1900"/>
      <c r="D16" s="399"/>
      <c r="E16" s="398"/>
      <c r="F16" s="399"/>
      <c r="G16" s="1900"/>
      <c r="H16" s="401"/>
      <c r="I16" s="398"/>
      <c r="J16" s="399"/>
      <c r="K16" s="564"/>
      <c r="L16" s="2718"/>
      <c r="M16" s="2712"/>
      <c r="N16" s="2712"/>
      <c r="O16" s="2712"/>
      <c r="P16" s="3671"/>
      <c r="Q16" s="1348"/>
      <c r="R16" s="705"/>
      <c r="S16" s="706"/>
      <c r="T16" s="705"/>
      <c r="U16" s="706"/>
      <c r="V16" s="705"/>
      <c r="W16" s="706"/>
      <c r="X16" s="1351"/>
      <c r="Y16" s="3664"/>
      <c r="Z16" s="1352"/>
      <c r="AA16" s="1349">
        <v>1</v>
      </c>
      <c r="AB16" s="13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71"/>
      <c r="Q17" s="1348" t="str">
        <f>B17</f>
        <v>交通便捷度</v>
      </c>
      <c r="R17" s="705" t="s">
        <v>14</v>
      </c>
      <c r="S17" s="706">
        <f>F17</f>
        <v>100</v>
      </c>
      <c r="T17" s="705" t="s">
        <v>14</v>
      </c>
      <c r="U17" s="706">
        <f>H17</f>
        <v>100</v>
      </c>
      <c r="V17" s="705" t="s">
        <v>14</v>
      </c>
      <c r="W17" s="706">
        <f>J17</f>
        <v>100</v>
      </c>
      <c r="X17" s="1351"/>
      <c r="Y17" s="3664"/>
      <c r="Z17" s="1352" t="str">
        <f>Q17</f>
        <v>交通便捷度</v>
      </c>
      <c r="AA17" s="1349">
        <f t="shared" si="3"/>
        <v>1</v>
      </c>
      <c r="AB17" s="1349">
        <f t="shared" si="4"/>
        <v>1</v>
      </c>
      <c r="AC17" s="1958">
        <f t="shared" si="5"/>
        <v>1</v>
      </c>
    </row>
    <row r="18" spans="1:29" ht="15">
      <c r="A18" s="379"/>
      <c r="B18" s="580"/>
      <c r="C18" s="1960"/>
      <c r="D18" s="401"/>
      <c r="E18" s="1898"/>
      <c r="F18" s="401"/>
      <c r="G18" s="1899"/>
      <c r="H18" s="399"/>
      <c r="I18" s="1899"/>
      <c r="J18" s="399"/>
      <c r="K18" s="564"/>
      <c r="L18" s="2718"/>
      <c r="M18" s="2712"/>
      <c r="N18" s="2712"/>
      <c r="O18" s="2712"/>
      <c r="P18" s="3671"/>
      <c r="Q18" s="1348"/>
      <c r="R18" s="705"/>
      <c r="S18" s="706"/>
      <c r="T18" s="705"/>
      <c r="U18" s="706"/>
      <c r="V18" s="705"/>
      <c r="W18" s="706"/>
      <c r="X18" s="1351"/>
      <c r="Y18" s="3664"/>
      <c r="Z18" s="1352"/>
      <c r="AA18" s="1349">
        <v>1</v>
      </c>
      <c r="AB18" s="13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71"/>
      <c r="Q19" s="1348" t="str">
        <f>B19</f>
        <v>公共配套设施</v>
      </c>
      <c r="R19" s="705" t="s">
        <v>14</v>
      </c>
      <c r="S19" s="706">
        <f>F19</f>
        <v>100</v>
      </c>
      <c r="T19" s="705" t="s">
        <v>14</v>
      </c>
      <c r="U19" s="706">
        <f>H19</f>
        <v>100</v>
      </c>
      <c r="V19" s="705" t="s">
        <v>14</v>
      </c>
      <c r="W19" s="706">
        <f>J19</f>
        <v>100</v>
      </c>
      <c r="X19" s="1351"/>
      <c r="Y19" s="3664"/>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8"/>
      <c r="M20" s="2712"/>
      <c r="N20" s="2712"/>
      <c r="O20" s="2712"/>
      <c r="P20" s="3671"/>
      <c r="Q20" s="1348"/>
      <c r="R20" s="705"/>
      <c r="S20" s="706"/>
      <c r="T20" s="705"/>
      <c r="U20" s="706"/>
      <c r="V20" s="705"/>
      <c r="W20" s="706"/>
      <c r="X20" s="1351"/>
      <c r="Y20" s="3664"/>
      <c r="Z20" s="1352"/>
      <c r="AA20" s="1349">
        <v>1</v>
      </c>
      <c r="AB20" s="13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71"/>
      <c r="Q21" s="1348" t="str">
        <f>B21</f>
        <v>基础设施水平</v>
      </c>
      <c r="R21" s="705" t="s">
        <v>14</v>
      </c>
      <c r="S21" s="706">
        <f>F21</f>
        <v>100</v>
      </c>
      <c r="T21" s="705" t="s">
        <v>14</v>
      </c>
      <c r="U21" s="706">
        <f>H21</f>
        <v>100</v>
      </c>
      <c r="V21" s="705" t="s">
        <v>14</v>
      </c>
      <c r="W21" s="706">
        <f>J21</f>
        <v>100</v>
      </c>
      <c r="X21" s="1351"/>
      <c r="Y21" s="3664"/>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6"/>
      <c r="L22" s="2718"/>
      <c r="M22" s="2712"/>
      <c r="N22" s="2712"/>
      <c r="O22" s="2712"/>
      <c r="P22" s="3671"/>
      <c r="Q22" s="1348"/>
      <c r="R22" s="705"/>
      <c r="S22" s="706"/>
      <c r="T22" s="705"/>
      <c r="U22" s="706"/>
      <c r="V22" s="705"/>
      <c r="W22" s="706"/>
      <c r="X22" s="1351"/>
      <c r="Y22" s="3664"/>
      <c r="Z22" s="1352"/>
      <c r="AA22" s="1349">
        <v>1</v>
      </c>
      <c r="AB22" s="13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71"/>
      <c r="Q23" s="1348" t="str">
        <f>B23</f>
        <v>环境质量</v>
      </c>
      <c r="R23" s="705" t="s">
        <v>14</v>
      </c>
      <c r="S23" s="706">
        <f>F23</f>
        <v>100</v>
      </c>
      <c r="T23" s="705" t="s">
        <v>14</v>
      </c>
      <c r="U23" s="706">
        <f>H23</f>
        <v>100</v>
      </c>
      <c r="V23" s="705" t="s">
        <v>14</v>
      </c>
      <c r="W23" s="706">
        <f>J23</f>
        <v>100</v>
      </c>
      <c r="X23" s="1351"/>
      <c r="Y23" s="3664"/>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8"/>
      <c r="M24" s="2712"/>
      <c r="N24" s="2712"/>
      <c r="O24" s="2712"/>
      <c r="P24" s="3671"/>
      <c r="Q24" s="1348"/>
      <c r="R24" s="705"/>
      <c r="S24" s="706"/>
      <c r="T24" s="705"/>
      <c r="U24" s="706"/>
      <c r="V24" s="705"/>
      <c r="W24" s="706"/>
      <c r="X24" s="1351"/>
      <c r="Y24" s="3664"/>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671"/>
      <c r="Q25" s="1348" t="str">
        <f>B25</f>
        <v>毗邻道路的类型与等级</v>
      </c>
      <c r="R25" s="705" t="s">
        <v>14</v>
      </c>
      <c r="S25" s="706">
        <f>F25</f>
        <v>100</v>
      </c>
      <c r="T25" s="705" t="s">
        <v>14</v>
      </c>
      <c r="U25" s="706">
        <f>H25</f>
        <v>100</v>
      </c>
      <c r="V25" s="705" t="s">
        <v>14</v>
      </c>
      <c r="W25" s="706">
        <f>J25</f>
        <v>100</v>
      </c>
      <c r="X25" s="1351"/>
      <c r="Y25" s="3664"/>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671"/>
      <c r="Q26" s="1348"/>
      <c r="R26" s="705"/>
      <c r="S26" s="706"/>
      <c r="T26" s="705"/>
      <c r="U26" s="706"/>
      <c r="V26" s="705"/>
      <c r="W26" s="706"/>
      <c r="X26" s="1351"/>
      <c r="Y26" s="3664"/>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71"/>
      <c r="Q27" s="1348" t="str">
        <f t="shared" ref="Q27:Q47" si="11">B27</f>
        <v>楼层</v>
      </c>
      <c r="R27" s="705" t="s">
        <v>14</v>
      </c>
      <c r="S27" s="706">
        <f>F27</f>
        <v>100</v>
      </c>
      <c r="T27" s="705" t="s">
        <v>14</v>
      </c>
      <c r="U27" s="706">
        <f>H27</f>
        <v>100</v>
      </c>
      <c r="V27" s="705" t="s">
        <v>14</v>
      </c>
      <c r="W27" s="706">
        <f>J27</f>
        <v>100</v>
      </c>
      <c r="X27" s="1351"/>
      <c r="Y27" s="3664"/>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671"/>
      <c r="Q28" s="1339" t="str">
        <f t="shared" si="11"/>
        <v>朝向</v>
      </c>
      <c r="R28" s="701" t="s">
        <v>14</v>
      </c>
      <c r="S28" s="702">
        <f>F28</f>
        <v>100</v>
      </c>
      <c r="T28" s="701" t="s">
        <v>14</v>
      </c>
      <c r="U28" s="702">
        <f>H28</f>
        <v>100</v>
      </c>
      <c r="V28" s="701" t="s">
        <v>14</v>
      </c>
      <c r="W28" s="702">
        <f>J28</f>
        <v>100</v>
      </c>
      <c r="X28" s="703"/>
      <c r="Y28" s="3664"/>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671"/>
      <c r="Q29" s="1348">
        <f t="shared" si="11"/>
        <v>111</v>
      </c>
      <c r="R29" s="705" t="s">
        <v>14</v>
      </c>
      <c r="S29" s="706">
        <f t="shared" ref="S29:S47" si="12">F29</f>
        <v>100</v>
      </c>
      <c r="T29" s="705" t="s">
        <v>14</v>
      </c>
      <c r="U29" s="706">
        <f t="shared" ref="U29:U47" si="13">H29</f>
        <v>100</v>
      </c>
      <c r="V29" s="705" t="s">
        <v>14</v>
      </c>
      <c r="W29" s="706">
        <f t="shared" ref="W29:W47" si="14">J29</f>
        <v>100</v>
      </c>
      <c r="X29" s="1351"/>
      <c r="Y29" s="3664"/>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671"/>
      <c r="Q30" s="1348">
        <f t="shared" si="11"/>
        <v>111</v>
      </c>
      <c r="R30" s="705" t="s">
        <v>14</v>
      </c>
      <c r="S30" s="706">
        <f t="shared" si="12"/>
        <v>100</v>
      </c>
      <c r="T30" s="705" t="s">
        <v>14</v>
      </c>
      <c r="U30" s="706">
        <f t="shared" si="13"/>
        <v>100</v>
      </c>
      <c r="V30" s="705" t="s">
        <v>14</v>
      </c>
      <c r="W30" s="706">
        <f t="shared" si="14"/>
        <v>100</v>
      </c>
      <c r="X30" s="1351"/>
      <c r="Y30" s="3664"/>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671"/>
      <c r="Q31" s="1348">
        <f t="shared" si="11"/>
        <v>111</v>
      </c>
      <c r="R31" s="705" t="s">
        <v>14</v>
      </c>
      <c r="S31" s="706">
        <f t="shared" si="12"/>
        <v>100</v>
      </c>
      <c r="T31" s="705" t="s">
        <v>14</v>
      </c>
      <c r="U31" s="706">
        <f t="shared" si="13"/>
        <v>100</v>
      </c>
      <c r="V31" s="705" t="s">
        <v>14</v>
      </c>
      <c r="W31" s="706">
        <f t="shared" si="14"/>
        <v>100</v>
      </c>
      <c r="X31" s="1351"/>
      <c r="Y31" s="3664"/>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671"/>
      <c r="Q32" s="1348">
        <f t="shared" si="11"/>
        <v>111</v>
      </c>
      <c r="R32" s="705" t="s">
        <v>14</v>
      </c>
      <c r="S32" s="706">
        <f t="shared" si="12"/>
        <v>100</v>
      </c>
      <c r="T32" s="705" t="s">
        <v>14</v>
      </c>
      <c r="U32" s="706">
        <f t="shared" si="13"/>
        <v>100</v>
      </c>
      <c r="V32" s="705" t="s">
        <v>14</v>
      </c>
      <c r="W32" s="706">
        <f t="shared" si="14"/>
        <v>100</v>
      </c>
      <c r="X32" s="1351"/>
      <c r="Y32" s="3664"/>
      <c r="Z32" s="1352">
        <f t="shared" si="15"/>
        <v>111</v>
      </c>
      <c r="AA32" s="1349">
        <f t="shared" si="3"/>
        <v>1</v>
      </c>
      <c r="AB32" s="1349">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665" t="s">
        <v>1696</v>
      </c>
      <c r="Q33" s="1348" t="str">
        <f t="shared" si="11"/>
        <v>建筑类型</v>
      </c>
      <c r="R33" s="705" t="s">
        <v>14</v>
      </c>
      <c r="S33" s="706">
        <f t="shared" si="12"/>
        <v>100</v>
      </c>
      <c r="T33" s="705" t="s">
        <v>14</v>
      </c>
      <c r="U33" s="706">
        <f t="shared" si="13"/>
        <v>100</v>
      </c>
      <c r="V33" s="705" t="s">
        <v>14</v>
      </c>
      <c r="W33" s="706">
        <f t="shared" si="14"/>
        <v>100</v>
      </c>
      <c r="X33" s="1351"/>
      <c r="Y33" s="3668" t="s">
        <v>1696</v>
      </c>
      <c r="Z33" s="1352" t="str">
        <f t="shared" si="15"/>
        <v>建筑类型</v>
      </c>
      <c r="AA33" s="1349">
        <f t="shared" si="3"/>
        <v>1</v>
      </c>
      <c r="AB33" s="1349">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66"/>
      <c r="Q34" s="707" t="str">
        <f t="shared" si="11"/>
        <v>项目建筑规模</v>
      </c>
      <c r="R34" s="708" t="s">
        <v>14</v>
      </c>
      <c r="S34" s="709" t="e">
        <f t="shared" si="12"/>
        <v>#N/A</v>
      </c>
      <c r="T34" s="708" t="s">
        <v>14</v>
      </c>
      <c r="U34" s="709" t="e">
        <f t="shared" si="13"/>
        <v>#N/A</v>
      </c>
      <c r="V34" s="708" t="s">
        <v>14</v>
      </c>
      <c r="W34" s="709" t="e">
        <f t="shared" si="14"/>
        <v>#N/A</v>
      </c>
      <c r="X34" s="710"/>
      <c r="Y34" s="3668"/>
      <c r="Z34" s="711" t="str">
        <f t="shared" si="15"/>
        <v>项目建筑规模</v>
      </c>
      <c r="AA34" s="1349" t="e">
        <f t="shared" si="3"/>
        <v>#N/A</v>
      </c>
      <c r="AB34" s="1349"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66"/>
      <c r="Q35" s="1348" t="str">
        <f t="shared" si="11"/>
        <v>建筑结构</v>
      </c>
      <c r="R35" s="705" t="s">
        <v>14</v>
      </c>
      <c r="S35" s="706">
        <f t="shared" si="12"/>
        <v>100</v>
      </c>
      <c r="T35" s="705" t="s">
        <v>14</v>
      </c>
      <c r="U35" s="706">
        <f t="shared" si="13"/>
        <v>100</v>
      </c>
      <c r="V35" s="705" t="s">
        <v>14</v>
      </c>
      <c r="W35" s="706">
        <f t="shared" si="14"/>
        <v>100</v>
      </c>
      <c r="X35" s="1351"/>
      <c r="Y35" s="3668"/>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66"/>
      <c r="Q36" s="1348" t="str">
        <f t="shared" si="11"/>
        <v>公共部分装修</v>
      </c>
      <c r="R36" s="705" t="s">
        <v>14</v>
      </c>
      <c r="S36" s="706">
        <f t="shared" si="12"/>
        <v>100</v>
      </c>
      <c r="T36" s="705" t="s">
        <v>14</v>
      </c>
      <c r="U36" s="706">
        <f t="shared" si="13"/>
        <v>100</v>
      </c>
      <c r="V36" s="705" t="s">
        <v>14</v>
      </c>
      <c r="W36" s="706">
        <f t="shared" si="14"/>
        <v>100</v>
      </c>
      <c r="X36" s="1351"/>
      <c r="Y36" s="3668"/>
      <c r="Z36" s="1352" t="str">
        <f t="shared" si="15"/>
        <v>公共部分装修</v>
      </c>
      <c r="AA36" s="1349">
        <f t="shared" si="3"/>
        <v>1</v>
      </c>
      <c r="AB36" s="1349">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66"/>
      <c r="Q37" s="1348" t="str">
        <f t="shared" si="11"/>
        <v>成新度</v>
      </c>
      <c r="R37" s="705" t="s">
        <v>14</v>
      </c>
      <c r="S37" s="706" t="e">
        <f t="shared" si="12"/>
        <v>#N/A</v>
      </c>
      <c r="T37" s="705" t="s">
        <v>14</v>
      </c>
      <c r="U37" s="706" t="e">
        <f t="shared" si="13"/>
        <v>#N/A</v>
      </c>
      <c r="V37" s="705" t="s">
        <v>14</v>
      </c>
      <c r="W37" s="706" t="e">
        <f t="shared" si="14"/>
        <v>#N/A</v>
      </c>
      <c r="X37" s="1351"/>
      <c r="Y37" s="3668"/>
      <c r="Z37" s="1352" t="str">
        <f t="shared" si="15"/>
        <v>成新度</v>
      </c>
      <c r="AA37" s="1349" t="e">
        <f t="shared" si="3"/>
        <v>#N/A</v>
      </c>
      <c r="AB37" s="1349"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66"/>
      <c r="Q38" s="1339" t="str">
        <f t="shared" si="11"/>
        <v>写字楼等级</v>
      </c>
      <c r="R38" s="701" t="s">
        <v>14</v>
      </c>
      <c r="S38" s="702">
        <f t="shared" si="12"/>
        <v>100</v>
      </c>
      <c r="T38" s="701" t="s">
        <v>14</v>
      </c>
      <c r="U38" s="702">
        <f t="shared" si="13"/>
        <v>100</v>
      </c>
      <c r="V38" s="701" t="s">
        <v>14</v>
      </c>
      <c r="W38" s="702">
        <f t="shared" si="14"/>
        <v>100</v>
      </c>
      <c r="X38" s="703"/>
      <c r="Y38" s="3668"/>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66" t="s">
        <v>1696</v>
      </c>
      <c r="Q39" s="1348" t="str">
        <f t="shared" si="11"/>
        <v>物业管理</v>
      </c>
      <c r="R39" s="705" t="s">
        <v>14</v>
      </c>
      <c r="S39" s="706">
        <f t="shared" si="12"/>
        <v>100</v>
      </c>
      <c r="T39" s="705" t="s">
        <v>14</v>
      </c>
      <c r="U39" s="706">
        <f t="shared" si="13"/>
        <v>100</v>
      </c>
      <c r="V39" s="705" t="s">
        <v>14</v>
      </c>
      <c r="W39" s="706">
        <f t="shared" si="14"/>
        <v>100</v>
      </c>
      <c r="X39" s="1351"/>
      <c r="Y39" s="3668"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66"/>
      <c r="Q40" s="1348" t="str">
        <f t="shared" si="11"/>
        <v>市政基础设施</v>
      </c>
      <c r="R40" s="705" t="s">
        <v>14</v>
      </c>
      <c r="S40" s="706">
        <f t="shared" si="12"/>
        <v>100</v>
      </c>
      <c r="T40" s="705" t="s">
        <v>14</v>
      </c>
      <c r="U40" s="706">
        <f t="shared" si="13"/>
        <v>100</v>
      </c>
      <c r="V40" s="705" t="s">
        <v>14</v>
      </c>
      <c r="W40" s="706">
        <f t="shared" si="14"/>
        <v>100</v>
      </c>
      <c r="X40" s="1351"/>
      <c r="Y40" s="3668"/>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66"/>
      <c r="Q41" s="1348" t="str">
        <f t="shared" si="11"/>
        <v>层高</v>
      </c>
      <c r="R41" s="705" t="s">
        <v>14</v>
      </c>
      <c r="S41" s="706">
        <f t="shared" si="12"/>
        <v>100</v>
      </c>
      <c r="T41" s="705" t="s">
        <v>14</v>
      </c>
      <c r="U41" s="706">
        <f t="shared" si="13"/>
        <v>100</v>
      </c>
      <c r="V41" s="705" t="s">
        <v>14</v>
      </c>
      <c r="W41" s="706">
        <f t="shared" si="14"/>
        <v>100</v>
      </c>
      <c r="X41" s="1351"/>
      <c r="Y41" s="3668"/>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66"/>
      <c r="Q42" s="707" t="str">
        <f t="shared" si="11"/>
        <v>单套建筑面积</v>
      </c>
      <c r="R42" s="708" t="s">
        <v>14</v>
      </c>
      <c r="S42" s="709">
        <f t="shared" si="12"/>
        <v>100</v>
      </c>
      <c r="T42" s="708" t="s">
        <v>14</v>
      </c>
      <c r="U42" s="709">
        <f t="shared" si="13"/>
        <v>100</v>
      </c>
      <c r="V42" s="708" t="s">
        <v>14</v>
      </c>
      <c r="W42" s="709">
        <f t="shared" si="14"/>
        <v>100</v>
      </c>
      <c r="X42" s="710"/>
      <c r="Y42" s="3668"/>
      <c r="Z42" s="711"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66"/>
      <c r="Q43" s="1348" t="str">
        <f t="shared" si="11"/>
        <v>内部装修</v>
      </c>
      <c r="R43" s="705" t="s">
        <v>14</v>
      </c>
      <c r="S43" s="706">
        <f t="shared" si="12"/>
        <v>100</v>
      </c>
      <c r="T43" s="705" t="s">
        <v>14</v>
      </c>
      <c r="U43" s="706">
        <f t="shared" si="13"/>
        <v>100</v>
      </c>
      <c r="V43" s="705" t="s">
        <v>14</v>
      </c>
      <c r="W43" s="706">
        <f t="shared" si="14"/>
        <v>100</v>
      </c>
      <c r="X43" s="1351"/>
      <c r="Y43" s="3668"/>
      <c r="Z43" s="1352" t="str">
        <f t="shared" si="15"/>
        <v>内部装修</v>
      </c>
      <c r="AA43" s="1349">
        <f t="shared" si="3"/>
        <v>1</v>
      </c>
      <c r="AB43" s="1349">
        <f t="shared" si="4"/>
        <v>1</v>
      </c>
      <c r="AC43" s="1958">
        <f t="shared" si="5"/>
        <v>1</v>
      </c>
    </row>
    <row r="44" spans="1:29" ht="15">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666"/>
      <c r="Q44" s="1348" t="str">
        <f t="shared" si="11"/>
        <v>内部装修维护情况</v>
      </c>
      <c r="R44" s="705" t="s">
        <v>14</v>
      </c>
      <c r="S44" s="706">
        <f t="shared" si="12"/>
        <v>100</v>
      </c>
      <c r="T44" s="705" t="s">
        <v>14</v>
      </c>
      <c r="U44" s="706">
        <f t="shared" si="13"/>
        <v>100</v>
      </c>
      <c r="V44" s="705" t="s">
        <v>14</v>
      </c>
      <c r="W44" s="706">
        <f t="shared" si="14"/>
        <v>100</v>
      </c>
      <c r="X44" s="1351"/>
      <c r="Y44" s="3668"/>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66"/>
      <c r="Q45" s="1339">
        <f t="shared" si="11"/>
        <v>111</v>
      </c>
      <c r="R45" s="701" t="s">
        <v>14</v>
      </c>
      <c r="S45" s="702">
        <f t="shared" si="12"/>
        <v>100</v>
      </c>
      <c r="T45" s="701" t="s">
        <v>14</v>
      </c>
      <c r="U45" s="702">
        <f t="shared" si="13"/>
        <v>100</v>
      </c>
      <c r="V45" s="701" t="s">
        <v>14</v>
      </c>
      <c r="W45" s="702">
        <f t="shared" si="14"/>
        <v>100</v>
      </c>
      <c r="X45" s="703"/>
      <c r="Y45" s="3668"/>
      <c r="Z45" s="52">
        <f t="shared" si="15"/>
        <v>111</v>
      </c>
      <c r="AA45" s="704">
        <f t="shared" si="3"/>
        <v>1</v>
      </c>
      <c r="AB45" s="704">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66"/>
      <c r="Q46" s="1348">
        <f t="shared" si="11"/>
        <v>111</v>
      </c>
      <c r="R46" s="705" t="s">
        <v>14</v>
      </c>
      <c r="S46" s="706">
        <f t="shared" si="12"/>
        <v>100</v>
      </c>
      <c r="T46" s="705" t="s">
        <v>14</v>
      </c>
      <c r="U46" s="706">
        <f t="shared" si="13"/>
        <v>100</v>
      </c>
      <c r="V46" s="705" t="s">
        <v>14</v>
      </c>
      <c r="W46" s="706">
        <f t="shared" si="14"/>
        <v>100</v>
      </c>
      <c r="X46" s="1351"/>
      <c r="Y46" s="3668"/>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67"/>
      <c r="Q47" s="1348">
        <f t="shared" si="11"/>
        <v>111</v>
      </c>
      <c r="R47" s="705" t="s">
        <v>14</v>
      </c>
      <c r="S47" s="706">
        <f t="shared" si="12"/>
        <v>100</v>
      </c>
      <c r="T47" s="705" t="s">
        <v>14</v>
      </c>
      <c r="U47" s="706">
        <f t="shared" si="13"/>
        <v>100</v>
      </c>
      <c r="V47" s="705" t="s">
        <v>14</v>
      </c>
      <c r="W47" s="706">
        <f t="shared" si="14"/>
        <v>100</v>
      </c>
      <c r="X47" s="1351"/>
      <c r="Y47" s="3669"/>
      <c r="Z47" s="1352">
        <f t="shared" si="15"/>
        <v>111</v>
      </c>
      <c r="AA47" s="1349">
        <f t="shared" si="3"/>
        <v>1</v>
      </c>
      <c r="AB47" s="1349">
        <f t="shared" si="4"/>
        <v>1</v>
      </c>
      <c r="AC47" s="1958">
        <f t="shared" si="5"/>
        <v>1</v>
      </c>
    </row>
    <row r="48" spans="1:29" ht="15">
      <c r="A48" s="430" t="s">
        <v>1708</v>
      </c>
      <c r="B48" s="431"/>
      <c r="C48" s="1150" t="s">
        <v>0</v>
      </c>
      <c r="D48" s="1151"/>
      <c r="E48" s="1152"/>
      <c r="F48" s="1153"/>
      <c r="G48" s="1154"/>
      <c r="H48" s="1155"/>
      <c r="I48" s="1152"/>
      <c r="J48" s="436"/>
      <c r="K48" s="714"/>
      <c r="L48" s="2720"/>
      <c r="M48" s="2712"/>
      <c r="N48" s="2712"/>
      <c r="O48" s="2712"/>
      <c r="P48" s="3672" t="str">
        <f>A48</f>
        <v>成交单价（元/平方米）</v>
      </c>
      <c r="Q48" s="3661"/>
      <c r="R48" s="3662">
        <f>E48</f>
        <v>0</v>
      </c>
      <c r="S48" s="3662"/>
      <c r="T48" s="3662">
        <f>G48</f>
        <v>0</v>
      </c>
      <c r="U48" s="3662"/>
      <c r="V48" s="3662">
        <f>I48</f>
        <v>0</v>
      </c>
      <c r="W48" s="3662"/>
      <c r="X48" s="397"/>
      <c r="Y48" s="712"/>
      <c r="Z48" s="397"/>
      <c r="AA48" s="397"/>
      <c r="AB48" s="397"/>
      <c r="AC48" s="578"/>
    </row>
    <row r="49" spans="1:29" ht="15.75" thickBot="1">
      <c r="A49" s="437" t="s">
        <v>1793</v>
      </c>
      <c r="B49" s="438"/>
      <c r="C49" s="1156" t="e">
        <f>R50</f>
        <v>#DIV/0!</v>
      </c>
      <c r="D49" s="2313" t="s">
        <v>2138</v>
      </c>
      <c r="E49" s="1157" t="e">
        <f>R49</f>
        <v>#DIV/0!</v>
      </c>
      <c r="F49" s="2314"/>
      <c r="G49" s="1156" t="e">
        <f>T49</f>
        <v>#DIV/0!</v>
      </c>
      <c r="H49" s="2314"/>
      <c r="I49" s="1157" t="e">
        <f>V49</f>
        <v>#DIV/0!</v>
      </c>
      <c r="J49" s="2314"/>
      <c r="K49" s="2316">
        <f>F49+H49+J49</f>
        <v>0</v>
      </c>
      <c r="L49" s="2720"/>
      <c r="M49" s="2712"/>
      <c r="N49" s="2712"/>
      <c r="O49" s="2712"/>
      <c r="P49" s="3672" t="str">
        <f>A49</f>
        <v>比较价值（元/平方米）</v>
      </c>
      <c r="Q49" s="3661"/>
      <c r="R49" s="3662" t="e">
        <f>IF(F1="售价",ROUND(PRODUCT(R48,AA7:AA47),0),ROUND(PRODUCT(R48,AA7:AA47),1))</f>
        <v>#DIV/0!</v>
      </c>
      <c r="S49" s="3662"/>
      <c r="T49" s="3662" t="e">
        <f>IF(F1="售价",ROUND(PRODUCT(T48,AB7:AB47),0),ROUND(PRODUCT(T48,AB7:AB47),1))</f>
        <v>#DIV/0!</v>
      </c>
      <c r="U49" s="3662"/>
      <c r="V49" s="3662" t="e">
        <f>IF(F1="售价",ROUND(PRODUCT(V48,AC7:AC47),0),ROUND(PRODUCT(V48,AC7:AC47),1))</f>
        <v>#DIV/0!</v>
      </c>
      <c r="W49" s="3662"/>
      <c r="X49" s="397"/>
      <c r="Y49" s="397"/>
      <c r="Z49" s="397"/>
      <c r="AA49" s="397"/>
      <c r="AB49" s="397"/>
      <c r="AC49" s="578"/>
    </row>
    <row r="50" spans="1:29" ht="15.75" thickBot="1">
      <c r="A50" s="441" t="s">
        <v>1794</v>
      </c>
      <c r="B50" s="442"/>
      <c r="C50" s="1159" t="e">
        <f>R50</f>
        <v>#DIV/0!</v>
      </c>
      <c r="D50" s="1159"/>
      <c r="E50" s="1159"/>
      <c r="F50" s="1159"/>
      <c r="G50" s="1159"/>
      <c r="H50" s="1159"/>
      <c r="I50" s="1159"/>
      <c r="J50" s="443"/>
      <c r="K50" s="715"/>
      <c r="L50" s="2720"/>
      <c r="M50" s="2712"/>
      <c r="N50" s="2712"/>
      <c r="O50" s="2712"/>
      <c r="P50" s="3704" t="str">
        <f>A50</f>
        <v>估价对象XX用房的比较价值（楼面单价，元/平方米）</v>
      </c>
      <c r="Q50" s="3705"/>
      <c r="R50" s="3706" t="e">
        <f>IF(F1="售价",ROUND(IF(D49="简单平均",AVERAGE(R49:V49),R49*F49+T49*H49+V49*J49),0),ROUND(IF(D49="简单平均",AVERAGE(R49:V49),R49*F49+T49*H49+V49*J49),1))</f>
        <v>#DIV/0!</v>
      </c>
      <c r="S50" s="3706"/>
      <c r="T50" s="3706"/>
      <c r="U50" s="3706"/>
      <c r="V50" s="3706"/>
      <c r="W50" s="3706"/>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38"/>
      <c r="M58" s="936"/>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8" activeCellId="1" sqref="F39:F48 N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24230.799999999999</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909"/>
      <c r="M4" s="910"/>
      <c r="N4" s="910"/>
      <c r="O4" s="910"/>
      <c r="P4" s="3680" t="s">
        <v>1775</v>
      </c>
      <c r="Q4" s="3681"/>
      <c r="R4" s="3686" t="s">
        <v>1771</v>
      </c>
      <c r="S4" s="3687"/>
      <c r="T4" s="3686" t="s">
        <v>1772</v>
      </c>
      <c r="U4" s="3687"/>
      <c r="V4" s="3692" t="s">
        <v>1773</v>
      </c>
      <c r="W4" s="3692"/>
      <c r="X4" s="1351"/>
      <c r="Y4" s="3686" t="s">
        <v>1775</v>
      </c>
      <c r="Z4" s="3687"/>
      <c r="AA4" s="3673" t="s">
        <v>1771</v>
      </c>
      <c r="AB4" s="3674" t="s">
        <v>1772</v>
      </c>
      <c r="AC4" s="3673" t="s">
        <v>1773</v>
      </c>
    </row>
    <row r="5" spans="1:29" ht="15">
      <c r="A5" s="358"/>
      <c r="B5" s="359"/>
      <c r="C5" s="3695" t="s">
        <v>1673</v>
      </c>
      <c r="D5" s="3696"/>
      <c r="E5" s="3702" t="s">
        <v>1674</v>
      </c>
      <c r="F5" s="3703"/>
      <c r="G5" s="3695" t="s">
        <v>1675</v>
      </c>
      <c r="H5" s="3696"/>
      <c r="I5" s="3695" t="s">
        <v>1676</v>
      </c>
      <c r="J5" s="3696"/>
      <c r="K5" s="559"/>
      <c r="L5" s="909"/>
      <c r="M5" s="910"/>
      <c r="N5" s="910"/>
      <c r="O5" s="910"/>
      <c r="P5" s="3682"/>
      <c r="Q5" s="3683"/>
      <c r="R5" s="3688"/>
      <c r="S5" s="3689"/>
      <c r="T5" s="3688"/>
      <c r="U5" s="3689"/>
      <c r="V5" s="3692"/>
      <c r="W5" s="3692"/>
      <c r="X5" s="1351"/>
      <c r="Y5" s="3688"/>
      <c r="Z5" s="3689"/>
      <c r="AA5" s="3674"/>
      <c r="AB5" s="3674"/>
      <c r="AC5" s="3674"/>
    </row>
    <row r="6" spans="1:29" ht="15.75" thickBot="1">
      <c r="A6" s="360"/>
      <c r="B6" s="361"/>
      <c r="C6" s="3693" t="s">
        <v>1677</v>
      </c>
      <c r="D6" s="3694"/>
      <c r="E6" s="3700" t="s">
        <v>1677</v>
      </c>
      <c r="F6" s="3701"/>
      <c r="G6" s="3693" t="s">
        <v>1677</v>
      </c>
      <c r="H6" s="3694"/>
      <c r="I6" s="3693" t="s">
        <v>1677</v>
      </c>
      <c r="J6" s="3694"/>
      <c r="K6" s="559" t="s">
        <v>1678</v>
      </c>
      <c r="L6" s="909"/>
      <c r="M6" s="910"/>
      <c r="N6" s="910"/>
      <c r="O6" s="910"/>
      <c r="P6" s="3684"/>
      <c r="Q6" s="3685"/>
      <c r="R6" s="3688"/>
      <c r="S6" s="3689"/>
      <c r="T6" s="3690"/>
      <c r="U6" s="3691"/>
      <c r="V6" s="3692"/>
      <c r="W6" s="3692"/>
      <c r="X6" s="1351"/>
      <c r="Y6" s="3690"/>
      <c r="Z6" s="3691"/>
      <c r="AA6" s="3675"/>
      <c r="AB6" s="3675"/>
      <c r="AC6" s="3675"/>
    </row>
    <row r="7" spans="1:29" s="108" customFormat="1" ht="15.75" thickBot="1">
      <c r="A7" s="362" t="s">
        <v>1679</v>
      </c>
      <c r="B7" s="363"/>
      <c r="C7" s="364">
        <f>'数据-取费表'!B2</f>
        <v>45491</v>
      </c>
      <c r="D7" s="365">
        <v>100</v>
      </c>
      <c r="E7" s="366"/>
      <c r="F7" s="367">
        <f>SUMIF(52:52,YEAR(E7)&amp;"-"&amp;MONTH(E7),53:53)</f>
        <v>0</v>
      </c>
      <c r="G7" s="366"/>
      <c r="H7" s="365">
        <f>SUMIF(52:52,YEAR(G7)&amp;"-"&amp;MONTH(G7),53:53)</f>
        <v>0</v>
      </c>
      <c r="I7" s="366"/>
      <c r="J7" s="365">
        <f>SUMIF(52:52,YEAR(I7)&amp;"-"&amp;MONTH(I7),53:53)</f>
        <v>0</v>
      </c>
      <c r="K7" s="560"/>
      <c r="L7" s="911"/>
      <c r="M7" s="912"/>
      <c r="N7" s="912"/>
      <c r="O7" s="912"/>
      <c r="P7" s="3697"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61" t="s">
        <v>1686</v>
      </c>
      <c r="Q9" s="1339" t="str">
        <f t="shared" ref="Q9:Q15" si="6">B9</f>
        <v>用途</v>
      </c>
      <c r="R9" s="701" t="s">
        <v>14</v>
      </c>
      <c r="S9" s="702">
        <f t="shared" si="0"/>
        <v>100</v>
      </c>
      <c r="T9" s="701" t="s">
        <v>14</v>
      </c>
      <c r="U9" s="702">
        <f t="shared" si="1"/>
        <v>100</v>
      </c>
      <c r="V9" s="701" t="s">
        <v>14</v>
      </c>
      <c r="W9" s="702">
        <f t="shared" si="2"/>
        <v>100</v>
      </c>
      <c r="X9" s="703"/>
      <c r="Y9" s="3536"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4"/>
      <c r="M10" s="915"/>
      <c r="N10" s="915"/>
      <c r="O10" s="916"/>
      <c r="P10" s="3661"/>
      <c r="Q10" s="1339" t="str">
        <f t="shared" si="6"/>
        <v>土地使用年限（年）</v>
      </c>
      <c r="R10" s="701" t="s">
        <v>14</v>
      </c>
      <c r="S10" s="702">
        <f t="shared" si="0"/>
        <v>100</v>
      </c>
      <c r="T10" s="701" t="s">
        <v>14</v>
      </c>
      <c r="U10" s="702">
        <f t="shared" si="1"/>
        <v>100</v>
      </c>
      <c r="V10" s="701" t="s">
        <v>14</v>
      </c>
      <c r="W10" s="702">
        <f t="shared" si="2"/>
        <v>100</v>
      </c>
      <c r="X10" s="703"/>
      <c r="Y10" s="353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61"/>
      <c r="Q11" s="1339" t="str">
        <f t="shared" si="6"/>
        <v>容积率</v>
      </c>
      <c r="R11" s="701" t="s">
        <v>14</v>
      </c>
      <c r="S11" s="702">
        <f t="shared" si="0"/>
        <v>100</v>
      </c>
      <c r="T11" s="701" t="s">
        <v>14</v>
      </c>
      <c r="U11" s="702">
        <f t="shared" si="1"/>
        <v>100</v>
      </c>
      <c r="V11" s="701" t="s">
        <v>14</v>
      </c>
      <c r="W11" s="702">
        <f t="shared" si="2"/>
        <v>100</v>
      </c>
      <c r="X11" s="703"/>
      <c r="Y11" s="3536"/>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661"/>
      <c r="Q12" s="1339">
        <f t="shared" si="6"/>
        <v>111</v>
      </c>
      <c r="R12" s="701" t="s">
        <v>14</v>
      </c>
      <c r="S12" s="702">
        <f t="shared" si="0"/>
        <v>100</v>
      </c>
      <c r="T12" s="701" t="s">
        <v>14</v>
      </c>
      <c r="U12" s="702">
        <f t="shared" si="1"/>
        <v>100</v>
      </c>
      <c r="V12" s="701" t="s">
        <v>14</v>
      </c>
      <c r="W12" s="702">
        <f t="shared" si="2"/>
        <v>100</v>
      </c>
      <c r="X12" s="703"/>
      <c r="Y12" s="3536"/>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661"/>
      <c r="Q13" s="1339">
        <f t="shared" si="6"/>
        <v>111</v>
      </c>
      <c r="R13" s="701" t="s">
        <v>14</v>
      </c>
      <c r="S13" s="702">
        <f t="shared" si="0"/>
        <v>100</v>
      </c>
      <c r="T13" s="701" t="s">
        <v>14</v>
      </c>
      <c r="U13" s="702">
        <f t="shared" si="1"/>
        <v>100</v>
      </c>
      <c r="V13" s="701" t="s">
        <v>14</v>
      </c>
      <c r="W13" s="702">
        <f t="shared" si="2"/>
        <v>100</v>
      </c>
      <c r="X13" s="703"/>
      <c r="Y13" s="3536"/>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661"/>
      <c r="Q14" s="1339">
        <f t="shared" si="6"/>
        <v>111</v>
      </c>
      <c r="R14" s="701" t="s">
        <v>14</v>
      </c>
      <c r="S14" s="702">
        <f t="shared" si="0"/>
        <v>100</v>
      </c>
      <c r="T14" s="701" t="s">
        <v>14</v>
      </c>
      <c r="U14" s="702">
        <f t="shared" si="1"/>
        <v>100</v>
      </c>
      <c r="V14" s="701" t="s">
        <v>14</v>
      </c>
      <c r="W14" s="702">
        <f t="shared" si="2"/>
        <v>100</v>
      </c>
      <c r="X14" s="703"/>
      <c r="Y14" s="3536"/>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63" t="s">
        <v>1691</v>
      </c>
      <c r="Q15" s="1348" t="str">
        <f t="shared" si="6"/>
        <v>产业集聚程度</v>
      </c>
      <c r="R15" s="705" t="s">
        <v>14</v>
      </c>
      <c r="S15" s="706">
        <f t="shared" si="0"/>
        <v>100</v>
      </c>
      <c r="T15" s="705" t="s">
        <v>14</v>
      </c>
      <c r="U15" s="706">
        <f t="shared" si="1"/>
        <v>100</v>
      </c>
      <c r="V15" s="705" t="s">
        <v>14</v>
      </c>
      <c r="W15" s="706">
        <f t="shared" si="2"/>
        <v>100</v>
      </c>
      <c r="X15" s="1351"/>
      <c r="Y15" s="3663"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664"/>
      <c r="Q16" s="1348"/>
      <c r="R16" s="705"/>
      <c r="S16" s="706"/>
      <c r="T16" s="705"/>
      <c r="U16" s="706"/>
      <c r="V16" s="705"/>
      <c r="W16" s="706"/>
      <c r="X16" s="1351"/>
      <c r="Y16" s="3664"/>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664"/>
      <c r="Q17" s="1348" t="str">
        <f>B17</f>
        <v>交通便捷度</v>
      </c>
      <c r="R17" s="705" t="s">
        <v>14</v>
      </c>
      <c r="S17" s="706">
        <f>F17</f>
        <v>100</v>
      </c>
      <c r="T17" s="705" t="s">
        <v>14</v>
      </c>
      <c r="U17" s="706">
        <f>H17</f>
        <v>100</v>
      </c>
      <c r="V17" s="705" t="s">
        <v>14</v>
      </c>
      <c r="W17" s="706">
        <f>J17</f>
        <v>100</v>
      </c>
      <c r="X17" s="1351"/>
      <c r="Y17" s="3664"/>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664"/>
      <c r="Q18" s="1348"/>
      <c r="R18" s="705"/>
      <c r="S18" s="706"/>
      <c r="T18" s="705"/>
      <c r="U18" s="706"/>
      <c r="V18" s="705"/>
      <c r="W18" s="706"/>
      <c r="X18" s="1351"/>
      <c r="Y18" s="3664"/>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664"/>
      <c r="Q19" s="1348" t="str">
        <f>B19</f>
        <v>公共配套设施</v>
      </c>
      <c r="R19" s="705" t="s">
        <v>14</v>
      </c>
      <c r="S19" s="706">
        <f>F19</f>
        <v>100</v>
      </c>
      <c r="T19" s="705" t="s">
        <v>14</v>
      </c>
      <c r="U19" s="706">
        <f>H19</f>
        <v>100</v>
      </c>
      <c r="V19" s="705" t="s">
        <v>14</v>
      </c>
      <c r="W19" s="706">
        <f>J19</f>
        <v>100</v>
      </c>
      <c r="X19" s="1351"/>
      <c r="Y19" s="3664"/>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664"/>
      <c r="Q20" s="1348"/>
      <c r="R20" s="705"/>
      <c r="S20" s="706"/>
      <c r="T20" s="705"/>
      <c r="U20" s="706"/>
      <c r="V20" s="705"/>
      <c r="W20" s="706"/>
      <c r="X20" s="1351"/>
      <c r="Y20" s="3664"/>
      <c r="Z20" s="1352"/>
      <c r="AA20" s="1349">
        <v>1</v>
      </c>
      <c r="AB20" s="1349">
        <v>1</v>
      </c>
      <c r="AC20" s="1349">
        <v>1</v>
      </c>
    </row>
    <row r="21" spans="1:29" ht="28.5">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664"/>
      <c r="Q21" s="1348" t="str">
        <f>B21</f>
        <v>基础设施水平</v>
      </c>
      <c r="R21" s="705" t="s">
        <v>14</v>
      </c>
      <c r="S21" s="706">
        <f>F21</f>
        <v>100</v>
      </c>
      <c r="T21" s="705" t="s">
        <v>14</v>
      </c>
      <c r="U21" s="706">
        <f>H21</f>
        <v>100</v>
      </c>
      <c r="V21" s="705" t="s">
        <v>14</v>
      </c>
      <c r="W21" s="706">
        <f>J21</f>
        <v>100</v>
      </c>
      <c r="X21" s="1351"/>
      <c r="Y21" s="3664"/>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664"/>
      <c r="Q22" s="1348"/>
      <c r="R22" s="705"/>
      <c r="S22" s="706"/>
      <c r="T22" s="705"/>
      <c r="U22" s="706"/>
      <c r="V22" s="705"/>
      <c r="W22" s="706"/>
      <c r="X22" s="1351"/>
      <c r="Y22" s="3664"/>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664"/>
      <c r="Q23" s="1348" t="str">
        <f>B23</f>
        <v>环境质量</v>
      </c>
      <c r="R23" s="705" t="s">
        <v>14</v>
      </c>
      <c r="S23" s="706">
        <f>F23</f>
        <v>100</v>
      </c>
      <c r="T23" s="705" t="s">
        <v>14</v>
      </c>
      <c r="U23" s="706">
        <f>H23</f>
        <v>100</v>
      </c>
      <c r="V23" s="705" t="s">
        <v>14</v>
      </c>
      <c r="W23" s="706">
        <f>J23</f>
        <v>100</v>
      </c>
      <c r="X23" s="1351"/>
      <c r="Y23" s="3664"/>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664"/>
      <c r="Q24" s="1348"/>
      <c r="R24" s="705"/>
      <c r="S24" s="706"/>
      <c r="T24" s="705"/>
      <c r="U24" s="706"/>
      <c r="V24" s="705"/>
      <c r="W24" s="706"/>
      <c r="X24" s="1351"/>
      <c r="Y24" s="3664"/>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664"/>
      <c r="Q25" s="1348">
        <f>B25</f>
        <v>111</v>
      </c>
      <c r="R25" s="705" t="s">
        <v>14</v>
      </c>
      <c r="S25" s="706">
        <f>F25</f>
        <v>100</v>
      </c>
      <c r="T25" s="705" t="s">
        <v>14</v>
      </c>
      <c r="U25" s="706">
        <f>H25</f>
        <v>100</v>
      </c>
      <c r="V25" s="705" t="s">
        <v>14</v>
      </c>
      <c r="W25" s="706">
        <f>J25</f>
        <v>100</v>
      </c>
      <c r="X25" s="1351"/>
      <c r="Y25" s="3664"/>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664"/>
      <c r="Q26" s="1348">
        <f t="shared" ref="Q26:Q40" si="11">B26</f>
        <v>111</v>
      </c>
      <c r="R26" s="705" t="s">
        <v>14</v>
      </c>
      <c r="S26" s="706">
        <f>F26</f>
        <v>100</v>
      </c>
      <c r="T26" s="705" t="s">
        <v>14</v>
      </c>
      <c r="U26" s="706">
        <f>H26</f>
        <v>100</v>
      </c>
      <c r="V26" s="705" t="s">
        <v>14</v>
      </c>
      <c r="W26" s="706">
        <f>J26</f>
        <v>100</v>
      </c>
      <c r="X26" s="1351"/>
      <c r="Y26" s="3664"/>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664"/>
      <c r="Q27" s="1339">
        <f t="shared" si="11"/>
        <v>111</v>
      </c>
      <c r="R27" s="701" t="s">
        <v>14</v>
      </c>
      <c r="S27" s="702">
        <f>F27</f>
        <v>100</v>
      </c>
      <c r="T27" s="701" t="s">
        <v>14</v>
      </c>
      <c r="U27" s="702">
        <f>H27</f>
        <v>100</v>
      </c>
      <c r="V27" s="701" t="s">
        <v>14</v>
      </c>
      <c r="W27" s="702">
        <f>J27</f>
        <v>100</v>
      </c>
      <c r="X27" s="703"/>
      <c r="Y27" s="3664"/>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664"/>
      <c r="Q28" s="1348">
        <f t="shared" si="11"/>
        <v>111</v>
      </c>
      <c r="R28" s="705" t="s">
        <v>14</v>
      </c>
      <c r="S28" s="706">
        <f t="shared" ref="S28:S40" si="12">F28</f>
        <v>100</v>
      </c>
      <c r="T28" s="705" t="s">
        <v>14</v>
      </c>
      <c r="U28" s="706">
        <f t="shared" ref="U28:U40" si="13">H28</f>
        <v>100</v>
      </c>
      <c r="V28" s="705" t="s">
        <v>14</v>
      </c>
      <c r="W28" s="706">
        <f t="shared" ref="W28:W40" si="14">J28</f>
        <v>100</v>
      </c>
      <c r="X28" s="1351"/>
      <c r="Y28" s="3664"/>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19" t="s">
        <v>1696</v>
      </c>
      <c r="Q29" s="1348" t="str">
        <f t="shared" si="11"/>
        <v>建筑类型</v>
      </c>
      <c r="R29" s="705" t="s">
        <v>14</v>
      </c>
      <c r="S29" s="706">
        <f t="shared" si="12"/>
        <v>100</v>
      </c>
      <c r="T29" s="705" t="s">
        <v>14</v>
      </c>
      <c r="U29" s="706">
        <f t="shared" si="13"/>
        <v>100</v>
      </c>
      <c r="V29" s="705" t="s">
        <v>14</v>
      </c>
      <c r="W29" s="706">
        <f t="shared" si="14"/>
        <v>100</v>
      </c>
      <c r="X29" s="1351"/>
      <c r="Y29" s="3668"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668"/>
      <c r="Q30" s="707" t="str">
        <f t="shared" si="11"/>
        <v>项目建筑规模</v>
      </c>
      <c r="R30" s="708" t="s">
        <v>14</v>
      </c>
      <c r="S30" s="709" t="e">
        <f t="shared" si="12"/>
        <v>#N/A</v>
      </c>
      <c r="T30" s="708" t="s">
        <v>14</v>
      </c>
      <c r="U30" s="709" t="e">
        <f t="shared" si="13"/>
        <v>#N/A</v>
      </c>
      <c r="V30" s="708" t="s">
        <v>14</v>
      </c>
      <c r="W30" s="709" t="e">
        <f t="shared" si="14"/>
        <v>#N/A</v>
      </c>
      <c r="X30" s="710"/>
      <c r="Y30" s="3668"/>
      <c r="Z30" s="711"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668"/>
      <c r="Q31" s="1348" t="str">
        <f t="shared" si="11"/>
        <v>建筑结构</v>
      </c>
      <c r="R31" s="705" t="s">
        <v>14</v>
      </c>
      <c r="S31" s="706">
        <f t="shared" si="12"/>
        <v>100</v>
      </c>
      <c r="T31" s="705" t="s">
        <v>14</v>
      </c>
      <c r="U31" s="706">
        <f t="shared" si="13"/>
        <v>100</v>
      </c>
      <c r="V31" s="705" t="s">
        <v>14</v>
      </c>
      <c r="W31" s="706">
        <f t="shared" si="14"/>
        <v>100</v>
      </c>
      <c r="X31" s="1351"/>
      <c r="Y31" s="3668"/>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668"/>
      <c r="Q32" s="1348" t="str">
        <f t="shared" si="11"/>
        <v>公共部分装修</v>
      </c>
      <c r="R32" s="705" t="s">
        <v>14</v>
      </c>
      <c r="S32" s="706">
        <f t="shared" si="12"/>
        <v>100</v>
      </c>
      <c r="T32" s="705" t="s">
        <v>14</v>
      </c>
      <c r="U32" s="706">
        <f t="shared" si="13"/>
        <v>100</v>
      </c>
      <c r="V32" s="705" t="s">
        <v>14</v>
      </c>
      <c r="W32" s="706">
        <f t="shared" si="14"/>
        <v>100</v>
      </c>
      <c r="X32" s="1351"/>
      <c r="Y32" s="3668"/>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668"/>
      <c r="Q33" s="1348" t="str">
        <f t="shared" si="11"/>
        <v>成新度</v>
      </c>
      <c r="R33" s="705" t="s">
        <v>14</v>
      </c>
      <c r="S33" s="706" t="e">
        <f t="shared" si="12"/>
        <v>#N/A</v>
      </c>
      <c r="T33" s="705" t="s">
        <v>14</v>
      </c>
      <c r="U33" s="706" t="e">
        <f t="shared" si="13"/>
        <v>#N/A</v>
      </c>
      <c r="V33" s="705" t="s">
        <v>14</v>
      </c>
      <c r="W33" s="706" t="e">
        <f t="shared" si="14"/>
        <v>#N/A</v>
      </c>
      <c r="X33" s="1351"/>
      <c r="Y33" s="3668"/>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668"/>
      <c r="Q34" s="1339" t="str">
        <f t="shared" si="11"/>
        <v>物业管理</v>
      </c>
      <c r="R34" s="701" t="s">
        <v>14</v>
      </c>
      <c r="S34" s="702">
        <f t="shared" si="12"/>
        <v>100</v>
      </c>
      <c r="T34" s="701" t="s">
        <v>14</v>
      </c>
      <c r="U34" s="702">
        <f t="shared" si="13"/>
        <v>100</v>
      </c>
      <c r="V34" s="701" t="s">
        <v>14</v>
      </c>
      <c r="W34" s="702">
        <f t="shared" si="14"/>
        <v>100</v>
      </c>
      <c r="X34" s="703"/>
      <c r="Y34" s="366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668" t="s">
        <v>1696</v>
      </c>
      <c r="Q35" s="1348" t="str">
        <f t="shared" si="11"/>
        <v>市政基础设施</v>
      </c>
      <c r="R35" s="705" t="s">
        <v>14</v>
      </c>
      <c r="S35" s="706">
        <f t="shared" si="12"/>
        <v>100</v>
      </c>
      <c r="T35" s="705" t="s">
        <v>14</v>
      </c>
      <c r="U35" s="706">
        <f t="shared" si="13"/>
        <v>100</v>
      </c>
      <c r="V35" s="705" t="s">
        <v>14</v>
      </c>
      <c r="W35" s="706">
        <f t="shared" si="14"/>
        <v>100</v>
      </c>
      <c r="X35" s="1351"/>
      <c r="Y35" s="3668"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668"/>
      <c r="Q36" s="1348" t="str">
        <f t="shared" si="11"/>
        <v>内部装修</v>
      </c>
      <c r="R36" s="705" t="s">
        <v>14</v>
      </c>
      <c r="S36" s="706">
        <f t="shared" si="12"/>
        <v>100</v>
      </c>
      <c r="T36" s="705" t="s">
        <v>14</v>
      </c>
      <c r="U36" s="706">
        <f t="shared" si="13"/>
        <v>100</v>
      </c>
      <c r="V36" s="705" t="s">
        <v>14</v>
      </c>
      <c r="W36" s="706">
        <f t="shared" si="14"/>
        <v>100</v>
      </c>
      <c r="X36" s="1351"/>
      <c r="Y36" s="3668"/>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668"/>
      <c r="Q37" s="1348" t="str">
        <f t="shared" si="11"/>
        <v>内部装修状况</v>
      </c>
      <c r="R37" s="705" t="s">
        <v>14</v>
      </c>
      <c r="S37" s="706">
        <f t="shared" si="12"/>
        <v>100</v>
      </c>
      <c r="T37" s="705" t="s">
        <v>14</v>
      </c>
      <c r="U37" s="706">
        <f t="shared" si="13"/>
        <v>100</v>
      </c>
      <c r="V37" s="705" t="s">
        <v>14</v>
      </c>
      <c r="W37" s="706">
        <f t="shared" si="14"/>
        <v>100</v>
      </c>
      <c r="X37" s="1351"/>
      <c r="Y37" s="3668"/>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668"/>
      <c r="Q38" s="707">
        <f t="shared" si="11"/>
        <v>111</v>
      </c>
      <c r="R38" s="708" t="s">
        <v>14</v>
      </c>
      <c r="S38" s="709">
        <f t="shared" si="12"/>
        <v>100</v>
      </c>
      <c r="T38" s="708" t="s">
        <v>14</v>
      </c>
      <c r="U38" s="709">
        <f t="shared" si="13"/>
        <v>100</v>
      </c>
      <c r="V38" s="708" t="s">
        <v>14</v>
      </c>
      <c r="W38" s="709">
        <f t="shared" si="14"/>
        <v>100</v>
      </c>
      <c r="X38" s="710"/>
      <c r="Y38" s="3668"/>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668"/>
      <c r="Q39" s="1348">
        <f t="shared" si="11"/>
        <v>111</v>
      </c>
      <c r="R39" s="705" t="s">
        <v>14</v>
      </c>
      <c r="S39" s="706">
        <f t="shared" si="12"/>
        <v>100</v>
      </c>
      <c r="T39" s="705" t="s">
        <v>14</v>
      </c>
      <c r="U39" s="706">
        <f t="shared" si="13"/>
        <v>100</v>
      </c>
      <c r="V39" s="705" t="s">
        <v>14</v>
      </c>
      <c r="W39" s="706">
        <f t="shared" si="14"/>
        <v>100</v>
      </c>
      <c r="X39" s="1351"/>
      <c r="Y39" s="3668"/>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669"/>
      <c r="Q40" s="1348">
        <f t="shared" si="11"/>
        <v>111</v>
      </c>
      <c r="R40" s="705" t="s">
        <v>14</v>
      </c>
      <c r="S40" s="706">
        <f t="shared" si="12"/>
        <v>100</v>
      </c>
      <c r="T40" s="705" t="s">
        <v>14</v>
      </c>
      <c r="U40" s="706">
        <f t="shared" si="13"/>
        <v>100</v>
      </c>
      <c r="V40" s="705" t="s">
        <v>14</v>
      </c>
      <c r="W40" s="706">
        <f t="shared" si="14"/>
        <v>100</v>
      </c>
      <c r="X40" s="1351"/>
      <c r="Y40" s="3669"/>
      <c r="Z40" s="1352">
        <f t="shared" si="15"/>
        <v>111</v>
      </c>
      <c r="AA40" s="1349">
        <f t="shared" si="3"/>
        <v>1</v>
      </c>
      <c r="AB40" s="1349">
        <f t="shared" si="4"/>
        <v>1</v>
      </c>
      <c r="AC40" s="1349">
        <f t="shared" si="5"/>
        <v>1</v>
      </c>
    </row>
    <row r="41" spans="1:29" ht="15">
      <c r="A41" s="430" t="s">
        <v>1708</v>
      </c>
      <c r="B41" s="431"/>
      <c r="C41" s="1150" t="s">
        <v>0</v>
      </c>
      <c r="D41" s="1151"/>
      <c r="E41" s="1152"/>
      <c r="F41" s="1153"/>
      <c r="G41" s="1154"/>
      <c r="H41" s="1155"/>
      <c r="I41" s="1152"/>
      <c r="J41" s="1155"/>
      <c r="K41" s="714"/>
      <c r="L41" s="922"/>
      <c r="M41" s="923"/>
      <c r="N41" s="910"/>
      <c r="O41" s="923"/>
      <c r="P41" s="3661" t="str">
        <f>A41</f>
        <v>成交单价（元/平方米）</v>
      </c>
      <c r="Q41" s="3661"/>
      <c r="R41" s="3662">
        <f>E41</f>
        <v>0</v>
      </c>
      <c r="S41" s="3662"/>
      <c r="T41" s="3662">
        <f>G41</f>
        <v>0</v>
      </c>
      <c r="U41" s="3662"/>
      <c r="V41" s="3662">
        <f>I41</f>
        <v>0</v>
      </c>
      <c r="W41" s="3662"/>
      <c r="X41" s="690"/>
      <c r="Y41" s="712"/>
      <c r="Z41" s="690"/>
      <c r="AA41" s="690"/>
      <c r="AB41" s="690"/>
      <c r="AC41" s="690"/>
    </row>
    <row r="42" spans="1:29" ht="15.75" thickBot="1">
      <c r="A42" s="437" t="s">
        <v>1793</v>
      </c>
      <c r="B42" s="438"/>
      <c r="C42" s="1156" t="e">
        <f>R43</f>
        <v>#DIV/0!</v>
      </c>
      <c r="D42" s="2313" t="s">
        <v>2138</v>
      </c>
      <c r="E42" s="1157" t="e">
        <f>R42</f>
        <v>#DIV/0!</v>
      </c>
      <c r="F42" s="2314"/>
      <c r="G42" s="1156" t="e">
        <f>T42</f>
        <v>#DIV/0!</v>
      </c>
      <c r="H42" s="2314"/>
      <c r="I42" s="1157" t="e">
        <f>V42</f>
        <v>#DIV/0!</v>
      </c>
      <c r="J42" s="2314"/>
      <c r="K42" s="2316">
        <f>F42+H42+J42</f>
        <v>0</v>
      </c>
      <c r="L42" s="922"/>
      <c r="M42" s="923"/>
      <c r="N42" s="910"/>
      <c r="O42" s="923"/>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90"/>
      <c r="Y42" s="690"/>
      <c r="Z42" s="690"/>
      <c r="AA42" s="690"/>
      <c r="AB42" s="690"/>
      <c r="AC42" s="690"/>
    </row>
    <row r="43" spans="1:29" ht="15.75" thickBot="1">
      <c r="A43" s="441" t="s">
        <v>1794</v>
      </c>
      <c r="B43" s="442"/>
      <c r="C43" s="1159" t="e">
        <f>R43</f>
        <v>#DIV/0!</v>
      </c>
      <c r="D43" s="1159"/>
      <c r="E43" s="1159"/>
      <c r="F43" s="1159"/>
      <c r="G43" s="1159"/>
      <c r="H43" s="1159"/>
      <c r="I43" s="1159"/>
      <c r="J43" s="1159"/>
      <c r="K43" s="715"/>
      <c r="L43" s="922"/>
      <c r="M43" s="923"/>
      <c r="N43" s="923"/>
      <c r="O43" s="923"/>
      <c r="P43" s="3658" t="str">
        <f>A43</f>
        <v>估价对象XX用房的比较价值（楼面单价，元/平方米）</v>
      </c>
      <c r="Q43" s="3659"/>
      <c r="R43" s="3660" t="e">
        <f>IF(F1="售价",ROUND(IF(D42="简单平均",AVERAGE(R42:V42),R42*F42+T42*H42+V42*J42),0),ROUND(IF(D42="简单平均",AVERAGE(R42:V42),R42*F42+T42*H42+V42*J42),1))</f>
        <v>#DIV/0!</v>
      </c>
      <c r="S43" s="3660"/>
      <c r="T43" s="3660"/>
      <c r="U43" s="3660"/>
      <c r="V43" s="3660"/>
      <c r="W43" s="3660"/>
      <c r="X43" s="690"/>
      <c r="Y43" s="690"/>
      <c r="Z43" s="690"/>
      <c r="AA43" s="690"/>
      <c r="AB43" s="690"/>
      <c r="AC43" s="690"/>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5"/>
      <c r="M46" s="923"/>
      <c r="N46" s="923"/>
      <c r="O46" s="923"/>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5"/>
      <c r="M47" s="923"/>
      <c r="N47" s="923"/>
      <c r="O47" s="923"/>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4" t="s">
        <v>1798</v>
      </c>
      <c r="B51" s="690"/>
      <c r="C51" s="695"/>
      <c r="D51" s="695"/>
      <c r="E51" s="695"/>
      <c r="F51" s="696"/>
      <c r="G51" s="696"/>
      <c r="H51" s="695"/>
      <c r="I51" s="695"/>
      <c r="J51" s="695"/>
      <c r="K51" s="937"/>
      <c r="L51" s="938"/>
      <c r="M51" s="936"/>
      <c r="N51" s="936"/>
      <c r="O51" s="936"/>
      <c r="P51" s="452"/>
      <c r="Q51" s="453"/>
    </row>
    <row r="52" spans="1:17" s="457" customFormat="1" ht="15">
      <c r="A52" s="454" t="s">
        <v>1679</v>
      </c>
      <c r="B52" s="455"/>
      <c r="C52" s="1180" t="str">
        <f>YEAR(C7)&amp;"-"&amp;MONTH(C7)</f>
        <v>2024-7</v>
      </c>
      <c r="D52" s="1181">
        <f>EDATE(C52,-1)</f>
        <v>45444</v>
      </c>
      <c r="E52" s="1181">
        <f t="shared" ref="E52:O52" si="16">EDATE(D52,-1)</f>
        <v>45413</v>
      </c>
      <c r="F52" s="1181">
        <f t="shared" si="16"/>
        <v>45383</v>
      </c>
      <c r="G52" s="1181">
        <f t="shared" si="16"/>
        <v>45352</v>
      </c>
      <c r="H52" s="1181">
        <f t="shared" si="16"/>
        <v>45323</v>
      </c>
      <c r="I52" s="1181">
        <f t="shared" si="16"/>
        <v>45292</v>
      </c>
      <c r="J52" s="1181">
        <f t="shared" si="16"/>
        <v>45261</v>
      </c>
      <c r="K52" s="1181">
        <f t="shared" si="16"/>
        <v>45231</v>
      </c>
      <c r="L52" s="1181">
        <f t="shared" si="16"/>
        <v>45200</v>
      </c>
      <c r="M52" s="1181">
        <f t="shared" si="16"/>
        <v>45170</v>
      </c>
      <c r="N52" s="1181">
        <f t="shared" si="16"/>
        <v>45139</v>
      </c>
      <c r="O52" s="1181">
        <f t="shared" si="16"/>
        <v>45108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1719</v>
      </c>
      <c r="B57" s="477" t="s">
        <v>1685</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1688</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1694</v>
      </c>
      <c r="B88" s="477" t="s">
        <v>1736</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估价对象为北京市房地产，为所有。根据《国有土地使用证》[]，估价对象（分摊）出让国有建设用地使用权面积为7478.47平方米，建筑面积为24230.8平方米。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估价对象为北京市房地产,属开发建设的，该项目尚在开发建设中。根据《国有土地使用证》[]，估价对象（分摊）出让国有建设用地使用权面积为7478.47平方米，规划建筑面积为24230.8平方米。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2024年7月18日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48" activeCellId="1" sqref="F39:F48 N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3330</v>
      </c>
      <c r="C1" s="1220" t="s">
        <v>1662</v>
      </c>
      <c r="D1" s="1221"/>
      <c r="E1" s="3429"/>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1161"/>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1"/>
      <c r="M4" s="2712"/>
      <c r="N4" s="2712"/>
      <c r="O4" s="2712"/>
      <c r="P4" s="3680" t="s">
        <v>1775</v>
      </c>
      <c r="Q4" s="3681"/>
      <c r="R4" s="3686" t="s">
        <v>1771</v>
      </c>
      <c r="S4" s="3687"/>
      <c r="T4" s="3686" t="s">
        <v>1772</v>
      </c>
      <c r="U4" s="3687"/>
      <c r="V4" s="3692" t="s">
        <v>1773</v>
      </c>
      <c r="W4" s="3692"/>
      <c r="X4" s="1351"/>
      <c r="Y4" s="3686" t="s">
        <v>1775</v>
      </c>
      <c r="Z4" s="3687"/>
      <c r="AA4" s="3673" t="s">
        <v>1771</v>
      </c>
      <c r="AB4" s="3674" t="s">
        <v>1772</v>
      </c>
      <c r="AC4" s="3673" t="s">
        <v>1773</v>
      </c>
    </row>
    <row r="5" spans="1:29" ht="15">
      <c r="A5" s="358"/>
      <c r="B5" s="359"/>
      <c r="C5" s="3695" t="s">
        <v>1673</v>
      </c>
      <c r="D5" s="3696"/>
      <c r="E5" s="3702" t="s">
        <v>1674</v>
      </c>
      <c r="F5" s="3703"/>
      <c r="G5" s="3695" t="s">
        <v>1675</v>
      </c>
      <c r="H5" s="3696"/>
      <c r="I5" s="3695" t="s">
        <v>1676</v>
      </c>
      <c r="J5" s="3696"/>
      <c r="K5" s="559"/>
      <c r="L5" s="2711"/>
      <c r="M5" s="2712"/>
      <c r="N5" s="2712"/>
      <c r="O5" s="2712"/>
      <c r="P5" s="3682"/>
      <c r="Q5" s="3683"/>
      <c r="R5" s="3688"/>
      <c r="S5" s="3689"/>
      <c r="T5" s="3688"/>
      <c r="U5" s="3689"/>
      <c r="V5" s="3692"/>
      <c r="W5" s="3692"/>
      <c r="X5" s="1351"/>
      <c r="Y5" s="3688"/>
      <c r="Z5" s="3689"/>
      <c r="AA5" s="3674"/>
      <c r="AB5" s="3674"/>
      <c r="AC5" s="3674"/>
    </row>
    <row r="6" spans="1:29" ht="15.75" thickBot="1">
      <c r="A6" s="360"/>
      <c r="B6" s="361"/>
      <c r="C6" s="3693" t="s">
        <v>1677</v>
      </c>
      <c r="D6" s="3694"/>
      <c r="E6" s="3700" t="s">
        <v>1677</v>
      </c>
      <c r="F6" s="3701"/>
      <c r="G6" s="3693" t="s">
        <v>1677</v>
      </c>
      <c r="H6" s="3694"/>
      <c r="I6" s="3693" t="s">
        <v>1677</v>
      </c>
      <c r="J6" s="3694"/>
      <c r="K6" s="559" t="s">
        <v>1678</v>
      </c>
      <c r="L6" s="2711"/>
      <c r="M6" s="2712"/>
      <c r="N6" s="2712"/>
      <c r="O6" s="2712"/>
      <c r="P6" s="3684"/>
      <c r="Q6" s="3685"/>
      <c r="R6" s="3688"/>
      <c r="S6" s="3689"/>
      <c r="T6" s="3690"/>
      <c r="U6" s="3691"/>
      <c r="V6" s="3692"/>
      <c r="W6" s="3692"/>
      <c r="X6" s="1351"/>
      <c r="Y6" s="3690"/>
      <c r="Z6" s="3691"/>
      <c r="AA6" s="3675"/>
      <c r="AB6" s="3675"/>
      <c r="AC6" s="3675"/>
    </row>
    <row r="7" spans="1:29" s="108" customFormat="1" ht="15.75" thickBot="1">
      <c r="A7" s="362" t="s">
        <v>1679</v>
      </c>
      <c r="B7" s="363"/>
      <c r="C7" s="364">
        <f>'数据-取费表'!B2</f>
        <v>45491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97" t="s">
        <v>1680</v>
      </c>
      <c r="Q7" s="3699"/>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97" t="s">
        <v>1683</v>
      </c>
      <c r="Q8" s="3698"/>
      <c r="R8" s="701" t="s">
        <v>14</v>
      </c>
      <c r="S8" s="702">
        <f t="shared" si="0"/>
        <v>100</v>
      </c>
      <c r="T8" s="701" t="s">
        <v>14</v>
      </c>
      <c r="U8" s="702">
        <f t="shared" si="1"/>
        <v>100</v>
      </c>
      <c r="V8" s="701" t="s">
        <v>14</v>
      </c>
      <c r="W8" s="702">
        <f t="shared" si="2"/>
        <v>100</v>
      </c>
      <c r="X8" s="703"/>
      <c r="Y8" s="3697" t="s">
        <v>1683</v>
      </c>
      <c r="Z8" s="369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61" t="s">
        <v>1686</v>
      </c>
      <c r="Q9" s="1339" t="str">
        <f t="shared" ref="Q9:Q14" si="6">B9</f>
        <v>用途</v>
      </c>
      <c r="R9" s="701" t="s">
        <v>14</v>
      </c>
      <c r="S9" s="702">
        <f t="shared" si="0"/>
        <v>100</v>
      </c>
      <c r="T9" s="701" t="s">
        <v>14</v>
      </c>
      <c r="U9" s="702">
        <f t="shared" si="1"/>
        <v>100</v>
      </c>
      <c r="V9" s="701" t="s">
        <v>14</v>
      </c>
      <c r="W9" s="702">
        <f t="shared" si="2"/>
        <v>100</v>
      </c>
      <c r="X9" s="703"/>
      <c r="Y9" s="3536"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61"/>
      <c r="Q10" s="1339" t="str">
        <f t="shared" si="6"/>
        <v>土地使用年限（年）</v>
      </c>
      <c r="R10" s="701" t="s">
        <v>14</v>
      </c>
      <c r="S10" s="702">
        <f t="shared" si="0"/>
        <v>100</v>
      </c>
      <c r="T10" s="701" t="s">
        <v>14</v>
      </c>
      <c r="U10" s="702">
        <f t="shared" si="1"/>
        <v>100</v>
      </c>
      <c r="V10" s="701" t="s">
        <v>14</v>
      </c>
      <c r="W10" s="702">
        <f t="shared" si="2"/>
        <v>100</v>
      </c>
      <c r="X10" s="703"/>
      <c r="Y10" s="353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61"/>
      <c r="Q11" s="1339">
        <f t="shared" si="6"/>
        <v>111</v>
      </c>
      <c r="R11" s="701" t="s">
        <v>14</v>
      </c>
      <c r="S11" s="702">
        <f t="shared" si="0"/>
        <v>100</v>
      </c>
      <c r="T11" s="701" t="s">
        <v>14</v>
      </c>
      <c r="U11" s="702">
        <f t="shared" si="1"/>
        <v>100</v>
      </c>
      <c r="V11" s="701" t="s">
        <v>14</v>
      </c>
      <c r="W11" s="702">
        <f t="shared" si="2"/>
        <v>100</v>
      </c>
      <c r="X11" s="703"/>
      <c r="Y11" s="353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61"/>
      <c r="Q12" s="1339">
        <f t="shared" si="6"/>
        <v>111</v>
      </c>
      <c r="R12" s="701" t="s">
        <v>14</v>
      </c>
      <c r="S12" s="702">
        <f t="shared" si="0"/>
        <v>100</v>
      </c>
      <c r="T12" s="701" t="s">
        <v>14</v>
      </c>
      <c r="U12" s="702">
        <f t="shared" si="1"/>
        <v>100</v>
      </c>
      <c r="V12" s="701" t="s">
        <v>14</v>
      </c>
      <c r="W12" s="702">
        <f t="shared" si="2"/>
        <v>100</v>
      </c>
      <c r="X12" s="703"/>
      <c r="Y12" s="353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61"/>
      <c r="Q13" s="1339">
        <f t="shared" si="6"/>
        <v>111</v>
      </c>
      <c r="R13" s="701" t="s">
        <v>14</v>
      </c>
      <c r="S13" s="702">
        <f t="shared" si="0"/>
        <v>100</v>
      </c>
      <c r="T13" s="701" t="s">
        <v>14</v>
      </c>
      <c r="U13" s="702">
        <f t="shared" si="1"/>
        <v>100</v>
      </c>
      <c r="V13" s="701" t="s">
        <v>14</v>
      </c>
      <c r="W13" s="702">
        <f t="shared" si="2"/>
        <v>100</v>
      </c>
      <c r="X13" s="703"/>
      <c r="Y13" s="3536"/>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63" t="s">
        <v>1691</v>
      </c>
      <c r="Q14" s="1348" t="str">
        <f t="shared" si="6"/>
        <v>交通便捷度</v>
      </c>
      <c r="R14" s="705" t="s">
        <v>14</v>
      </c>
      <c r="S14" s="706">
        <f t="shared" si="0"/>
        <v>100</v>
      </c>
      <c r="T14" s="705" t="s">
        <v>14</v>
      </c>
      <c r="U14" s="706">
        <f t="shared" si="1"/>
        <v>100</v>
      </c>
      <c r="V14" s="705" t="s">
        <v>14</v>
      </c>
      <c r="W14" s="706">
        <f t="shared" si="2"/>
        <v>100</v>
      </c>
      <c r="X14" s="1351"/>
      <c r="Y14" s="3663"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664"/>
      <c r="Q15" s="1348"/>
      <c r="R15" s="705"/>
      <c r="S15" s="706"/>
      <c r="T15" s="705"/>
      <c r="U15" s="706"/>
      <c r="V15" s="705"/>
      <c r="W15" s="706"/>
      <c r="X15" s="1351"/>
      <c r="Y15" s="3664"/>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64"/>
      <c r="Q16" s="1348" t="str">
        <f>B16</f>
        <v>公共配套设施</v>
      </c>
      <c r="R16" s="705" t="s">
        <v>14</v>
      </c>
      <c r="S16" s="706">
        <f>F16</f>
        <v>100</v>
      </c>
      <c r="T16" s="705" t="s">
        <v>14</v>
      </c>
      <c r="U16" s="706">
        <f>H16</f>
        <v>100</v>
      </c>
      <c r="V16" s="705" t="s">
        <v>14</v>
      </c>
      <c r="W16" s="706">
        <f>J16</f>
        <v>100</v>
      </c>
      <c r="X16" s="1351"/>
      <c r="Y16" s="3664"/>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664"/>
      <c r="Q17" s="1348"/>
      <c r="R17" s="705"/>
      <c r="S17" s="706"/>
      <c r="T17" s="705"/>
      <c r="U17" s="706"/>
      <c r="V17" s="705"/>
      <c r="W17" s="706"/>
      <c r="X17" s="1351"/>
      <c r="Y17" s="3664"/>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64"/>
      <c r="Q18" s="1348" t="str">
        <f>B18</f>
        <v>基础设施水平</v>
      </c>
      <c r="R18" s="705" t="s">
        <v>14</v>
      </c>
      <c r="S18" s="706">
        <f>F18</f>
        <v>100</v>
      </c>
      <c r="T18" s="705" t="s">
        <v>14</v>
      </c>
      <c r="U18" s="706">
        <f>H18</f>
        <v>100</v>
      </c>
      <c r="V18" s="705" t="s">
        <v>14</v>
      </c>
      <c r="W18" s="706">
        <f>J18</f>
        <v>100</v>
      </c>
      <c r="X18" s="1351"/>
      <c r="Y18" s="3664"/>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8"/>
      <c r="M19" s="2712"/>
      <c r="N19" s="2712"/>
      <c r="O19" s="2712"/>
      <c r="P19" s="3664"/>
      <c r="Q19" s="1348"/>
      <c r="R19" s="705"/>
      <c r="S19" s="706"/>
      <c r="T19" s="705"/>
      <c r="U19" s="706"/>
      <c r="V19" s="705"/>
      <c r="W19" s="706"/>
      <c r="X19" s="1351"/>
      <c r="Y19" s="3664"/>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64"/>
      <c r="Q20" s="1348" t="str">
        <f>B20</f>
        <v>自然及人文环境</v>
      </c>
      <c r="R20" s="705" t="s">
        <v>14</v>
      </c>
      <c r="S20" s="706">
        <f>F20</f>
        <v>100</v>
      </c>
      <c r="T20" s="705" t="s">
        <v>14</v>
      </c>
      <c r="U20" s="706">
        <f>H20</f>
        <v>100</v>
      </c>
      <c r="V20" s="705" t="s">
        <v>14</v>
      </c>
      <c r="W20" s="706">
        <f>J20</f>
        <v>100</v>
      </c>
      <c r="X20" s="1351"/>
      <c r="Y20" s="3664"/>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664"/>
      <c r="Q21" s="1348"/>
      <c r="R21" s="705"/>
      <c r="S21" s="706"/>
      <c r="T21" s="705"/>
      <c r="U21" s="706"/>
      <c r="V21" s="705"/>
      <c r="W21" s="706"/>
      <c r="X21" s="1351"/>
      <c r="Y21" s="3664"/>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64"/>
      <c r="Q22" s="1348" t="str">
        <f>B22</f>
        <v>楼层</v>
      </c>
      <c r="R22" s="705" t="s">
        <v>14</v>
      </c>
      <c r="S22" s="706">
        <f>F22</f>
        <v>100</v>
      </c>
      <c r="T22" s="705" t="s">
        <v>14</v>
      </c>
      <c r="U22" s="706">
        <f>H22</f>
        <v>100</v>
      </c>
      <c r="V22" s="705" t="s">
        <v>14</v>
      </c>
      <c r="W22" s="706">
        <f>J22</f>
        <v>100</v>
      </c>
      <c r="X22" s="1351"/>
      <c r="Y22" s="3664"/>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64"/>
      <c r="Q23" s="1348">
        <f>B23</f>
        <v>111</v>
      </c>
      <c r="R23" s="705" t="s">
        <v>14</v>
      </c>
      <c r="S23" s="706">
        <f>F23</f>
        <v>100</v>
      </c>
      <c r="T23" s="705" t="s">
        <v>14</v>
      </c>
      <c r="U23" s="706">
        <f>H23</f>
        <v>100</v>
      </c>
      <c r="V23" s="705" t="s">
        <v>14</v>
      </c>
      <c r="W23" s="706">
        <f>J23</f>
        <v>100</v>
      </c>
      <c r="X23" s="1351"/>
      <c r="Y23" s="3664"/>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64"/>
      <c r="Q24" s="1348">
        <f t="shared" ref="Q24:Q36" si="11">B24</f>
        <v>111</v>
      </c>
      <c r="R24" s="705" t="s">
        <v>14</v>
      </c>
      <c r="S24" s="706">
        <f>F24</f>
        <v>100</v>
      </c>
      <c r="T24" s="705" t="s">
        <v>14</v>
      </c>
      <c r="U24" s="706">
        <f>H24</f>
        <v>100</v>
      </c>
      <c r="V24" s="705" t="s">
        <v>14</v>
      </c>
      <c r="W24" s="706">
        <f>J24</f>
        <v>100</v>
      </c>
      <c r="X24" s="1351"/>
      <c r="Y24" s="3664"/>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64"/>
      <c r="Q25" s="1339">
        <f t="shared" si="11"/>
        <v>111</v>
      </c>
      <c r="R25" s="701" t="s">
        <v>14</v>
      </c>
      <c r="S25" s="702">
        <f>F25</f>
        <v>100</v>
      </c>
      <c r="T25" s="701" t="s">
        <v>14</v>
      </c>
      <c r="U25" s="702">
        <f>H25</f>
        <v>100</v>
      </c>
      <c r="V25" s="701" t="s">
        <v>14</v>
      </c>
      <c r="W25" s="702">
        <f>J25</f>
        <v>100</v>
      </c>
      <c r="X25" s="703"/>
      <c r="Y25" s="3664"/>
      <c r="Z25" s="52">
        <f>Q25</f>
        <v>111</v>
      </c>
      <c r="AA25" s="1349">
        <f>D25/F25</f>
        <v>1</v>
      </c>
      <c r="AB25" s="1349">
        <f>D25/H25</f>
        <v>1</v>
      </c>
      <c r="AC25" s="1349">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19" t="s">
        <v>1696</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668"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68"/>
      <c r="Q27" s="707" t="str">
        <f t="shared" si="11"/>
        <v>项目停车位配比</v>
      </c>
      <c r="R27" s="708" t="s">
        <v>14</v>
      </c>
      <c r="S27" s="709">
        <f t="shared" si="12"/>
        <v>100</v>
      </c>
      <c r="T27" s="708" t="s">
        <v>14</v>
      </c>
      <c r="U27" s="709">
        <f t="shared" si="13"/>
        <v>100</v>
      </c>
      <c r="V27" s="708" t="s">
        <v>14</v>
      </c>
      <c r="W27" s="709">
        <f t="shared" si="14"/>
        <v>100</v>
      </c>
      <c r="X27" s="710"/>
      <c r="Y27" s="3668"/>
      <c r="Z27" s="711"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68"/>
      <c r="Q28" s="1348" t="str">
        <f t="shared" si="11"/>
        <v>公共部分装修</v>
      </c>
      <c r="R28" s="705" t="s">
        <v>14</v>
      </c>
      <c r="S28" s="706">
        <f t="shared" si="12"/>
        <v>100</v>
      </c>
      <c r="T28" s="705" t="s">
        <v>14</v>
      </c>
      <c r="U28" s="706">
        <f t="shared" si="13"/>
        <v>100</v>
      </c>
      <c r="V28" s="705" t="s">
        <v>14</v>
      </c>
      <c r="W28" s="706">
        <f t="shared" si="14"/>
        <v>100</v>
      </c>
      <c r="X28" s="1351"/>
      <c r="Y28" s="3668"/>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68"/>
      <c r="Q29" s="1348" t="str">
        <f t="shared" si="11"/>
        <v>成新率</v>
      </c>
      <c r="R29" s="705" t="s">
        <v>14</v>
      </c>
      <c r="S29" s="706" t="e">
        <f t="shared" si="12"/>
        <v>#N/A</v>
      </c>
      <c r="T29" s="705" t="s">
        <v>14</v>
      </c>
      <c r="U29" s="706" t="e">
        <f t="shared" si="13"/>
        <v>#N/A</v>
      </c>
      <c r="V29" s="705" t="s">
        <v>14</v>
      </c>
      <c r="W29" s="706" t="e">
        <f t="shared" si="14"/>
        <v>#N/A</v>
      </c>
      <c r="X29" s="1351"/>
      <c r="Y29" s="3668"/>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68"/>
      <c r="Q30" s="1348" t="str">
        <f t="shared" si="11"/>
        <v>物业等级</v>
      </c>
      <c r="R30" s="705" t="s">
        <v>14</v>
      </c>
      <c r="S30" s="706">
        <f t="shared" si="12"/>
        <v>100</v>
      </c>
      <c r="T30" s="705" t="s">
        <v>14</v>
      </c>
      <c r="U30" s="706">
        <f t="shared" si="13"/>
        <v>100</v>
      </c>
      <c r="V30" s="705" t="s">
        <v>14</v>
      </c>
      <c r="W30" s="706">
        <f t="shared" si="14"/>
        <v>100</v>
      </c>
      <c r="X30" s="1351"/>
      <c r="Y30" s="3668"/>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68"/>
      <c r="Q31" s="1339" t="str">
        <f t="shared" si="11"/>
        <v>停车位面积</v>
      </c>
      <c r="R31" s="701" t="s">
        <v>14</v>
      </c>
      <c r="S31" s="702" t="e">
        <f t="shared" si="12"/>
        <v>#N/A</v>
      </c>
      <c r="T31" s="701" t="s">
        <v>14</v>
      </c>
      <c r="U31" s="702" t="e">
        <f t="shared" si="13"/>
        <v>#N/A</v>
      </c>
      <c r="V31" s="701" t="s">
        <v>14</v>
      </c>
      <c r="W31" s="702" t="e">
        <f t="shared" si="14"/>
        <v>#N/A</v>
      </c>
      <c r="X31" s="703"/>
      <c r="Y31" s="366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68" t="s">
        <v>1696</v>
      </c>
      <c r="Q32" s="1348" t="str">
        <f t="shared" si="11"/>
        <v>车位类型</v>
      </c>
      <c r="R32" s="705" t="s">
        <v>14</v>
      </c>
      <c r="S32" s="706">
        <f t="shared" si="12"/>
        <v>100</v>
      </c>
      <c r="T32" s="705" t="s">
        <v>14</v>
      </c>
      <c r="U32" s="706">
        <f t="shared" si="13"/>
        <v>100</v>
      </c>
      <c r="V32" s="705" t="s">
        <v>14</v>
      </c>
      <c r="W32" s="706">
        <f t="shared" si="14"/>
        <v>100</v>
      </c>
      <c r="X32" s="1351"/>
      <c r="Y32" s="3668"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68"/>
      <c r="Q33" s="1348" t="str">
        <f t="shared" si="11"/>
        <v>是否直接入户</v>
      </c>
      <c r="R33" s="705" t="s">
        <v>14</v>
      </c>
      <c r="S33" s="706">
        <f t="shared" si="12"/>
        <v>100</v>
      </c>
      <c r="T33" s="705" t="s">
        <v>14</v>
      </c>
      <c r="U33" s="706">
        <f t="shared" si="13"/>
        <v>100</v>
      </c>
      <c r="V33" s="705" t="s">
        <v>14</v>
      </c>
      <c r="W33" s="706">
        <f t="shared" si="14"/>
        <v>100</v>
      </c>
      <c r="X33" s="1351"/>
      <c r="Y33" s="3668"/>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68"/>
      <c r="Q34" s="1348">
        <f t="shared" si="11"/>
        <v>111</v>
      </c>
      <c r="R34" s="705" t="s">
        <v>14</v>
      </c>
      <c r="S34" s="706">
        <f t="shared" si="12"/>
        <v>100</v>
      </c>
      <c r="T34" s="705" t="s">
        <v>14</v>
      </c>
      <c r="U34" s="706">
        <f t="shared" si="13"/>
        <v>100</v>
      </c>
      <c r="V34" s="705" t="s">
        <v>14</v>
      </c>
      <c r="W34" s="706">
        <f t="shared" si="14"/>
        <v>100</v>
      </c>
      <c r="X34" s="1351"/>
      <c r="Y34" s="3668"/>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68"/>
      <c r="Q35" s="707">
        <f t="shared" si="11"/>
        <v>111</v>
      </c>
      <c r="R35" s="708" t="s">
        <v>14</v>
      </c>
      <c r="S35" s="709">
        <f t="shared" si="12"/>
        <v>100</v>
      </c>
      <c r="T35" s="708" t="s">
        <v>14</v>
      </c>
      <c r="U35" s="709">
        <f t="shared" si="13"/>
        <v>100</v>
      </c>
      <c r="V35" s="708" t="s">
        <v>14</v>
      </c>
      <c r="W35" s="709">
        <f t="shared" si="14"/>
        <v>100</v>
      </c>
      <c r="X35" s="710"/>
      <c r="Y35" s="3668"/>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68"/>
      <c r="Q36" s="1348">
        <f t="shared" si="11"/>
        <v>111</v>
      </c>
      <c r="R36" s="705" t="s">
        <v>14</v>
      </c>
      <c r="S36" s="706">
        <f t="shared" si="12"/>
        <v>100</v>
      </c>
      <c r="T36" s="705" t="s">
        <v>14</v>
      </c>
      <c r="U36" s="706">
        <f t="shared" si="13"/>
        <v>100</v>
      </c>
      <c r="V36" s="705" t="s">
        <v>14</v>
      </c>
      <c r="W36" s="706">
        <f t="shared" si="14"/>
        <v>100</v>
      </c>
      <c r="X36" s="1351"/>
      <c r="Y36" s="3668"/>
      <c r="Z36" s="1352">
        <f t="shared" si="15"/>
        <v>111</v>
      </c>
      <c r="AA36" s="1349">
        <f t="shared" si="3"/>
        <v>1</v>
      </c>
      <c r="AB36" s="1349">
        <f t="shared" si="4"/>
        <v>1</v>
      </c>
      <c r="AC36" s="1349">
        <f t="shared" si="5"/>
        <v>1</v>
      </c>
    </row>
    <row r="37" spans="1:29" ht="15">
      <c r="A37" s="430" t="s">
        <v>1844</v>
      </c>
      <c r="B37" s="1969" t="s">
        <v>3350</v>
      </c>
      <c r="C37" s="1150" t="s">
        <v>0</v>
      </c>
      <c r="D37" s="1151"/>
      <c r="E37" s="1152"/>
      <c r="F37" s="1153"/>
      <c r="G37" s="1154"/>
      <c r="H37" s="1155"/>
      <c r="I37" s="1152"/>
      <c r="J37" s="1155"/>
      <c r="K37" s="568"/>
      <c r="L37" s="2720"/>
      <c r="M37" s="2721"/>
      <c r="N37" s="2712"/>
      <c r="O37" s="2721"/>
      <c r="P37" s="3661" t="str">
        <f>A37</f>
        <v>成交单价</v>
      </c>
      <c r="Q37" s="3661"/>
      <c r="R37" s="3662">
        <f>E37</f>
        <v>0</v>
      </c>
      <c r="S37" s="3662"/>
      <c r="T37" s="3662">
        <f>G37</f>
        <v>0</v>
      </c>
      <c r="U37" s="3662"/>
      <c r="V37" s="3662">
        <f>I37</f>
        <v>0</v>
      </c>
      <c r="W37" s="3662"/>
      <c r="X37" s="690"/>
      <c r="Y37" s="712"/>
      <c r="Z37" s="690"/>
      <c r="AA37" s="690"/>
      <c r="AB37" s="690"/>
      <c r="AC37" s="690"/>
    </row>
    <row r="38" spans="1:29" ht="15.75" thickBot="1">
      <c r="A38" s="437" t="s">
        <v>1845</v>
      </c>
      <c r="B38" s="438" t="str">
        <f>B37</f>
        <v>元/平方米</v>
      </c>
      <c r="C38" s="1156" t="e">
        <f>R39</f>
        <v>#DIV/0!</v>
      </c>
      <c r="D38" s="2313" t="s">
        <v>2138</v>
      </c>
      <c r="E38" s="1157" t="e">
        <f>R38</f>
        <v>#DIV/0!</v>
      </c>
      <c r="F38" s="2314"/>
      <c r="G38" s="1156" t="e">
        <f>T38</f>
        <v>#DIV/0!</v>
      </c>
      <c r="H38" s="2314"/>
      <c r="I38" s="1157" t="e">
        <f>V38</f>
        <v>#DIV/0!</v>
      </c>
      <c r="J38" s="2314"/>
      <c r="K38" s="2316">
        <f>F38+H38+J38</f>
        <v>0</v>
      </c>
      <c r="L38" s="2720"/>
      <c r="M38" s="2721"/>
      <c r="N38" s="2721"/>
      <c r="O38" s="2721"/>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90"/>
      <c r="Y38" s="690"/>
      <c r="Z38" s="690"/>
      <c r="AA38" s="690"/>
      <c r="AB38" s="690"/>
      <c r="AC38" s="690"/>
    </row>
    <row r="39" spans="1:29" ht="15.75" thickBot="1">
      <c r="A39" s="441" t="s">
        <v>1846</v>
      </c>
      <c r="B39" s="442"/>
      <c r="C39" s="1159" t="e">
        <f>R39</f>
        <v>#DIV/0!</v>
      </c>
      <c r="D39" s="1159"/>
      <c r="E39" s="1159"/>
      <c r="F39" s="1159"/>
      <c r="G39" s="1159"/>
      <c r="H39" s="1159"/>
      <c r="I39" s="1159"/>
      <c r="J39" s="1159"/>
      <c r="K39" s="569"/>
      <c r="L39" s="2720"/>
      <c r="M39" s="2721"/>
      <c r="N39" s="2721"/>
      <c r="O39" s="2721"/>
      <c r="P39" s="3658" t="str">
        <f>A39</f>
        <v>估价对象XX用房的比较价值（楼面单价，元/平方米）</v>
      </c>
      <c r="Q39" s="3659"/>
      <c r="R39" s="3720" t="e">
        <f>IF(F1="售价",ROUND(IF(D38="简单平均",AVERAGE(R38:W38),R38*F38+T38*H38+V38*J38),0),ROUND(IF(D38="简单平均",AVERAGE(R38:V38),R38*F38+T38*H38+V38*J38),1))</f>
        <v>#DIV/0!</v>
      </c>
      <c r="S39" s="3720"/>
      <c r="T39" s="3720"/>
      <c r="U39" s="3720"/>
      <c r="V39" s="3720"/>
      <c r="W39" s="3720"/>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1850</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0" t="str">
        <f>YEAR(C7)&amp;"-"&amp;MONTH(C7)</f>
        <v>2024-7</v>
      </c>
      <c r="D48" s="1181">
        <f>EDATE(C48,-1)</f>
        <v>45444</v>
      </c>
      <c r="E48" s="1181">
        <f t="shared" ref="E48:O48" si="16">EDATE(D48,-1)</f>
        <v>45413</v>
      </c>
      <c r="F48" s="1181">
        <f t="shared" si="16"/>
        <v>45383</v>
      </c>
      <c r="G48" s="1181">
        <f t="shared" si="16"/>
        <v>45352</v>
      </c>
      <c r="H48" s="1181">
        <f t="shared" si="16"/>
        <v>45323</v>
      </c>
      <c r="I48" s="1181">
        <f t="shared" si="16"/>
        <v>45292</v>
      </c>
      <c r="J48" s="1181">
        <f t="shared" si="16"/>
        <v>45261</v>
      </c>
      <c r="K48" s="1181">
        <f t="shared" si="16"/>
        <v>45231</v>
      </c>
      <c r="L48" s="1181">
        <f t="shared" si="16"/>
        <v>45200</v>
      </c>
      <c r="M48" s="1181">
        <f t="shared" si="16"/>
        <v>45170</v>
      </c>
      <c r="N48" s="1181">
        <f t="shared" si="16"/>
        <v>45139</v>
      </c>
      <c r="O48" s="1181">
        <f t="shared" si="16"/>
        <v>45108</v>
      </c>
      <c r="P48" s="2755"/>
      <c r="Q48" s="2737"/>
      <c r="R48" s="2737"/>
      <c r="S48" s="2737"/>
      <c r="T48" s="2737"/>
      <c r="U48" s="2737"/>
      <c r="V48" s="2737"/>
      <c r="W48" s="2737"/>
      <c r="X48" s="2737"/>
      <c r="Y48" s="2737"/>
      <c r="Z48" s="2737"/>
      <c r="AA48" s="2737"/>
      <c r="AB48" s="2737"/>
      <c r="AC48" s="2737"/>
    </row>
    <row r="49" spans="1:29" s="108" customFormat="1" ht="15">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48" activeCellId="1" sqref="F39:F48 N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3331</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1"/>
      <c r="M4" s="2712"/>
      <c r="N4" s="2712"/>
      <c r="O4" s="2712"/>
      <c r="P4" s="3680" t="s">
        <v>1775</v>
      </c>
      <c r="Q4" s="3681"/>
      <c r="R4" s="3686" t="s">
        <v>1771</v>
      </c>
      <c r="S4" s="3687"/>
      <c r="T4" s="3686" t="s">
        <v>1772</v>
      </c>
      <c r="U4" s="3687"/>
      <c r="V4" s="3692" t="s">
        <v>1773</v>
      </c>
      <c r="W4" s="3692"/>
      <c r="X4" s="1351"/>
      <c r="Y4" s="3686" t="s">
        <v>1775</v>
      </c>
      <c r="Z4" s="3687"/>
      <c r="AA4" s="3673" t="s">
        <v>1771</v>
      </c>
      <c r="AB4" s="3674" t="s">
        <v>1772</v>
      </c>
      <c r="AC4" s="3673" t="s">
        <v>1773</v>
      </c>
    </row>
    <row r="5" spans="1:29" ht="15">
      <c r="A5" s="358"/>
      <c r="B5" s="359"/>
      <c r="C5" s="3695" t="s">
        <v>1673</v>
      </c>
      <c r="D5" s="3696"/>
      <c r="E5" s="3702" t="s">
        <v>1674</v>
      </c>
      <c r="F5" s="3703"/>
      <c r="G5" s="3695" t="s">
        <v>1675</v>
      </c>
      <c r="H5" s="3696"/>
      <c r="I5" s="3695" t="s">
        <v>1676</v>
      </c>
      <c r="J5" s="3696"/>
      <c r="K5" s="559"/>
      <c r="L5" s="2711"/>
      <c r="M5" s="2712"/>
      <c r="N5" s="2712"/>
      <c r="O5" s="2712"/>
      <c r="P5" s="3682"/>
      <c r="Q5" s="3683"/>
      <c r="R5" s="3688"/>
      <c r="S5" s="3689"/>
      <c r="T5" s="3688"/>
      <c r="U5" s="3689"/>
      <c r="V5" s="3692"/>
      <c r="W5" s="3692"/>
      <c r="X5" s="1351"/>
      <c r="Y5" s="3688"/>
      <c r="Z5" s="3689"/>
      <c r="AA5" s="3674"/>
      <c r="AB5" s="3674"/>
      <c r="AC5" s="3674"/>
    </row>
    <row r="6" spans="1:29" ht="15.75" thickBot="1">
      <c r="A6" s="360"/>
      <c r="B6" s="361"/>
      <c r="C6" s="3693" t="s">
        <v>1677</v>
      </c>
      <c r="D6" s="3694"/>
      <c r="E6" s="3700" t="s">
        <v>1677</v>
      </c>
      <c r="F6" s="3701"/>
      <c r="G6" s="3693" t="s">
        <v>1677</v>
      </c>
      <c r="H6" s="3694"/>
      <c r="I6" s="3693" t="s">
        <v>1677</v>
      </c>
      <c r="J6" s="3694"/>
      <c r="K6" s="559" t="s">
        <v>1678</v>
      </c>
      <c r="L6" s="2711"/>
      <c r="M6" s="2712"/>
      <c r="N6" s="2712"/>
      <c r="O6" s="2712"/>
      <c r="P6" s="3684"/>
      <c r="Q6" s="3685"/>
      <c r="R6" s="3688"/>
      <c r="S6" s="3689"/>
      <c r="T6" s="3690"/>
      <c r="U6" s="3691"/>
      <c r="V6" s="3692"/>
      <c r="W6" s="3692"/>
      <c r="X6" s="1351"/>
      <c r="Y6" s="3690"/>
      <c r="Z6" s="3691"/>
      <c r="AA6" s="3675"/>
      <c r="AB6" s="3675"/>
      <c r="AC6" s="3675"/>
    </row>
    <row r="7" spans="1:29" s="108" customFormat="1" ht="15.75" thickBot="1">
      <c r="A7" s="362" t="s">
        <v>1679</v>
      </c>
      <c r="B7" s="363"/>
      <c r="C7" s="364">
        <f>'数据-取费表'!B2</f>
        <v>45491</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697" t="s">
        <v>1680</v>
      </c>
      <c r="Q7" s="3699"/>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97" t="s">
        <v>1683</v>
      </c>
      <c r="Q8" s="3698"/>
      <c r="R8" s="701" t="s">
        <v>14</v>
      </c>
      <c r="S8" s="702">
        <f t="shared" si="0"/>
        <v>100</v>
      </c>
      <c r="T8" s="701" t="s">
        <v>14</v>
      </c>
      <c r="U8" s="702">
        <f t="shared" si="1"/>
        <v>100</v>
      </c>
      <c r="V8" s="701" t="s">
        <v>14</v>
      </c>
      <c r="W8" s="702">
        <f t="shared" si="2"/>
        <v>100</v>
      </c>
      <c r="X8" s="703"/>
      <c r="Y8" s="3697" t="s">
        <v>1683</v>
      </c>
      <c r="Z8" s="369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61" t="s">
        <v>1686</v>
      </c>
      <c r="Q9" s="1339" t="str">
        <f t="shared" ref="Q9:Q14" si="6">B9</f>
        <v>用途</v>
      </c>
      <c r="R9" s="701" t="s">
        <v>14</v>
      </c>
      <c r="S9" s="702">
        <f t="shared" si="0"/>
        <v>100</v>
      </c>
      <c r="T9" s="701" t="s">
        <v>14</v>
      </c>
      <c r="U9" s="702">
        <f t="shared" si="1"/>
        <v>100</v>
      </c>
      <c r="V9" s="701" t="s">
        <v>14</v>
      </c>
      <c r="W9" s="702">
        <f t="shared" si="2"/>
        <v>100</v>
      </c>
      <c r="X9" s="703"/>
      <c r="Y9" s="3536"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61"/>
      <c r="Q10" s="1339" t="str">
        <f t="shared" si="6"/>
        <v>土地使用年限（年）</v>
      </c>
      <c r="R10" s="701" t="s">
        <v>14</v>
      </c>
      <c r="S10" s="702">
        <f t="shared" si="0"/>
        <v>100</v>
      </c>
      <c r="T10" s="701" t="s">
        <v>14</v>
      </c>
      <c r="U10" s="702">
        <f t="shared" si="1"/>
        <v>100</v>
      </c>
      <c r="V10" s="701" t="s">
        <v>14</v>
      </c>
      <c r="W10" s="702">
        <f t="shared" si="2"/>
        <v>100</v>
      </c>
      <c r="X10" s="703"/>
      <c r="Y10" s="3536"/>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61"/>
      <c r="Q11" s="1339">
        <f t="shared" si="6"/>
        <v>111</v>
      </c>
      <c r="R11" s="701" t="s">
        <v>14</v>
      </c>
      <c r="S11" s="702">
        <f t="shared" si="0"/>
        <v>100</v>
      </c>
      <c r="T11" s="701" t="s">
        <v>14</v>
      </c>
      <c r="U11" s="702">
        <f t="shared" si="1"/>
        <v>100</v>
      </c>
      <c r="V11" s="701" t="s">
        <v>14</v>
      </c>
      <c r="W11" s="702">
        <f t="shared" si="2"/>
        <v>100</v>
      </c>
      <c r="X11" s="703"/>
      <c r="Y11" s="3536"/>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61"/>
      <c r="Q12" s="1339">
        <f t="shared" si="6"/>
        <v>111</v>
      </c>
      <c r="R12" s="701" t="s">
        <v>14</v>
      </c>
      <c r="S12" s="702">
        <f t="shared" si="0"/>
        <v>100</v>
      </c>
      <c r="T12" s="701" t="s">
        <v>14</v>
      </c>
      <c r="U12" s="702">
        <f t="shared" si="1"/>
        <v>100</v>
      </c>
      <c r="V12" s="701" t="s">
        <v>14</v>
      </c>
      <c r="W12" s="702">
        <f t="shared" si="2"/>
        <v>100</v>
      </c>
      <c r="X12" s="703"/>
      <c r="Y12" s="3536"/>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661"/>
      <c r="Q13" s="1339">
        <f t="shared" si="6"/>
        <v>111</v>
      </c>
      <c r="R13" s="701" t="s">
        <v>14</v>
      </c>
      <c r="S13" s="702">
        <f t="shared" si="0"/>
        <v>100</v>
      </c>
      <c r="T13" s="701" t="s">
        <v>14</v>
      </c>
      <c r="U13" s="702">
        <f t="shared" si="1"/>
        <v>100</v>
      </c>
      <c r="V13" s="701" t="s">
        <v>14</v>
      </c>
      <c r="W13" s="702">
        <f t="shared" si="2"/>
        <v>100</v>
      </c>
      <c r="X13" s="703"/>
      <c r="Y13" s="3536"/>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63" t="s">
        <v>1691</v>
      </c>
      <c r="Q14" s="1348" t="str">
        <f t="shared" si="6"/>
        <v>交通便捷度</v>
      </c>
      <c r="R14" s="705" t="s">
        <v>14</v>
      </c>
      <c r="S14" s="706">
        <f t="shared" si="0"/>
        <v>100</v>
      </c>
      <c r="T14" s="705" t="s">
        <v>14</v>
      </c>
      <c r="U14" s="706">
        <f t="shared" si="1"/>
        <v>100</v>
      </c>
      <c r="V14" s="705" t="s">
        <v>14</v>
      </c>
      <c r="W14" s="706">
        <f t="shared" si="2"/>
        <v>100</v>
      </c>
      <c r="X14" s="1351"/>
      <c r="Y14" s="3663"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664"/>
      <c r="Q15" s="1348"/>
      <c r="R15" s="705"/>
      <c r="S15" s="706"/>
      <c r="T15" s="705"/>
      <c r="U15" s="706"/>
      <c r="V15" s="705"/>
      <c r="W15" s="706"/>
      <c r="X15" s="1351"/>
      <c r="Y15" s="3664"/>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64"/>
      <c r="Q16" s="1348" t="str">
        <f>B16</f>
        <v>公共配套设施</v>
      </c>
      <c r="R16" s="705" t="s">
        <v>14</v>
      </c>
      <c r="S16" s="706">
        <f>F16</f>
        <v>100</v>
      </c>
      <c r="T16" s="705" t="s">
        <v>14</v>
      </c>
      <c r="U16" s="706">
        <f>H16</f>
        <v>100</v>
      </c>
      <c r="V16" s="705" t="s">
        <v>14</v>
      </c>
      <c r="W16" s="706">
        <f>J16</f>
        <v>100</v>
      </c>
      <c r="X16" s="1351"/>
      <c r="Y16" s="3664"/>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664"/>
      <c r="Q17" s="1348"/>
      <c r="R17" s="705"/>
      <c r="S17" s="706"/>
      <c r="T17" s="705"/>
      <c r="U17" s="706"/>
      <c r="V17" s="705"/>
      <c r="W17" s="706"/>
      <c r="X17" s="1351"/>
      <c r="Y17" s="3664"/>
      <c r="Z17" s="1352"/>
      <c r="AA17" s="1349">
        <v>1</v>
      </c>
      <c r="AB17" s="1349">
        <v>1</v>
      </c>
      <c r="AC17" s="1349">
        <v>1</v>
      </c>
    </row>
    <row r="18" spans="1:29" ht="28.5">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64"/>
      <c r="Q18" s="1348" t="str">
        <f>B18</f>
        <v>基础设施水平</v>
      </c>
      <c r="R18" s="705" t="s">
        <v>14</v>
      </c>
      <c r="S18" s="706">
        <f>F18</f>
        <v>100</v>
      </c>
      <c r="T18" s="705" t="s">
        <v>14</v>
      </c>
      <c r="U18" s="706">
        <f>H18</f>
        <v>100</v>
      </c>
      <c r="V18" s="705" t="s">
        <v>14</v>
      </c>
      <c r="W18" s="706">
        <f>J18</f>
        <v>100</v>
      </c>
      <c r="X18" s="1351"/>
      <c r="Y18" s="3664"/>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664"/>
      <c r="Q19" s="1348"/>
      <c r="R19" s="705"/>
      <c r="S19" s="706"/>
      <c r="T19" s="705"/>
      <c r="U19" s="706"/>
      <c r="V19" s="705"/>
      <c r="W19" s="706"/>
      <c r="X19" s="1351"/>
      <c r="Y19" s="3664"/>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64"/>
      <c r="Q20" s="1348" t="str">
        <f>B20</f>
        <v>自然及人文环境</v>
      </c>
      <c r="R20" s="705" t="s">
        <v>14</v>
      </c>
      <c r="S20" s="706">
        <f>F20</f>
        <v>100</v>
      </c>
      <c r="T20" s="705" t="s">
        <v>14</v>
      </c>
      <c r="U20" s="706">
        <f>H20</f>
        <v>100</v>
      </c>
      <c r="V20" s="705" t="s">
        <v>14</v>
      </c>
      <c r="W20" s="706">
        <f>J20</f>
        <v>100</v>
      </c>
      <c r="X20" s="1351"/>
      <c r="Y20" s="3664"/>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664"/>
      <c r="Q21" s="1348"/>
      <c r="R21" s="705"/>
      <c r="S21" s="706"/>
      <c r="T21" s="705"/>
      <c r="U21" s="706"/>
      <c r="V21" s="705"/>
      <c r="W21" s="706"/>
      <c r="X21" s="1351"/>
      <c r="Y21" s="3664"/>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64"/>
      <c r="Q22" s="1348" t="str">
        <f>B22</f>
        <v>楼层</v>
      </c>
      <c r="R22" s="705" t="s">
        <v>14</v>
      </c>
      <c r="S22" s="706">
        <f>F22</f>
        <v>100</v>
      </c>
      <c r="T22" s="705" t="s">
        <v>14</v>
      </c>
      <c r="U22" s="706">
        <f>H22</f>
        <v>100</v>
      </c>
      <c r="V22" s="705" t="s">
        <v>14</v>
      </c>
      <c r="W22" s="706">
        <f>J22</f>
        <v>100</v>
      </c>
      <c r="X22" s="1351"/>
      <c r="Y22" s="3664"/>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64"/>
      <c r="Q23" s="1348">
        <f>B23</f>
        <v>111</v>
      </c>
      <c r="R23" s="705" t="s">
        <v>14</v>
      </c>
      <c r="S23" s="706">
        <f>F23</f>
        <v>100</v>
      </c>
      <c r="T23" s="705" t="s">
        <v>14</v>
      </c>
      <c r="U23" s="706">
        <f>H23</f>
        <v>100</v>
      </c>
      <c r="V23" s="705" t="s">
        <v>14</v>
      </c>
      <c r="W23" s="706">
        <f>J23</f>
        <v>100</v>
      </c>
      <c r="X23" s="1351"/>
      <c r="Y23" s="3664"/>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64"/>
      <c r="Q24" s="1348">
        <f t="shared" ref="Q24:Q34" si="11">B24</f>
        <v>111</v>
      </c>
      <c r="R24" s="705" t="s">
        <v>14</v>
      </c>
      <c r="S24" s="706">
        <f>F24</f>
        <v>100</v>
      </c>
      <c r="T24" s="705" t="s">
        <v>14</v>
      </c>
      <c r="U24" s="706">
        <f>H24</f>
        <v>100</v>
      </c>
      <c r="V24" s="705" t="s">
        <v>14</v>
      </c>
      <c r="W24" s="706">
        <f>J24</f>
        <v>100</v>
      </c>
      <c r="X24" s="1351"/>
      <c r="Y24" s="3664"/>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664"/>
      <c r="Q25" s="1339">
        <f t="shared" si="11"/>
        <v>111</v>
      </c>
      <c r="R25" s="701" t="s">
        <v>14</v>
      </c>
      <c r="S25" s="702">
        <f>F25</f>
        <v>100</v>
      </c>
      <c r="T25" s="701" t="s">
        <v>14</v>
      </c>
      <c r="U25" s="702">
        <f>H25</f>
        <v>100</v>
      </c>
      <c r="V25" s="701" t="s">
        <v>14</v>
      </c>
      <c r="W25" s="702">
        <f>J25</f>
        <v>100</v>
      </c>
      <c r="X25" s="703"/>
      <c r="Y25" s="3664"/>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19" t="s">
        <v>1696</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668"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68"/>
      <c r="Q27" s="707" t="str">
        <f t="shared" si="11"/>
        <v>成新率</v>
      </c>
      <c r="R27" s="708" t="s">
        <v>14</v>
      </c>
      <c r="S27" s="709" t="e">
        <f t="shared" si="12"/>
        <v>#N/A</v>
      </c>
      <c r="T27" s="708" t="s">
        <v>14</v>
      </c>
      <c r="U27" s="709" t="e">
        <f t="shared" si="13"/>
        <v>#N/A</v>
      </c>
      <c r="V27" s="708" t="s">
        <v>14</v>
      </c>
      <c r="W27" s="709" t="e">
        <f t="shared" si="14"/>
        <v>#N/A</v>
      </c>
      <c r="X27" s="710"/>
      <c r="Y27" s="3668"/>
      <c r="Z27" s="711"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68"/>
      <c r="Q28" s="1348" t="str">
        <f t="shared" si="11"/>
        <v>物业等级</v>
      </c>
      <c r="R28" s="705" t="s">
        <v>14</v>
      </c>
      <c r="S28" s="706">
        <f t="shared" si="12"/>
        <v>100</v>
      </c>
      <c r="T28" s="705" t="s">
        <v>14</v>
      </c>
      <c r="U28" s="706">
        <f t="shared" si="13"/>
        <v>100</v>
      </c>
      <c r="V28" s="705" t="s">
        <v>14</v>
      </c>
      <c r="W28" s="706">
        <f t="shared" si="14"/>
        <v>100</v>
      </c>
      <c r="X28" s="1351"/>
      <c r="Y28" s="3668"/>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68"/>
      <c r="Q29" s="1348" t="str">
        <f t="shared" si="11"/>
        <v>有无电梯</v>
      </c>
      <c r="R29" s="705" t="s">
        <v>14</v>
      </c>
      <c r="S29" s="706">
        <f t="shared" si="12"/>
        <v>100</v>
      </c>
      <c r="T29" s="705" t="s">
        <v>14</v>
      </c>
      <c r="U29" s="706">
        <f t="shared" si="13"/>
        <v>100</v>
      </c>
      <c r="V29" s="705" t="s">
        <v>14</v>
      </c>
      <c r="W29" s="706">
        <f t="shared" si="14"/>
        <v>100</v>
      </c>
      <c r="X29" s="1351"/>
      <c r="Y29" s="3668"/>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68"/>
      <c r="Q30" s="1348" t="str">
        <f t="shared" si="11"/>
        <v>建筑面积</v>
      </c>
      <c r="R30" s="705" t="s">
        <v>14</v>
      </c>
      <c r="S30" s="706" t="e">
        <f t="shared" si="12"/>
        <v>#N/A</v>
      </c>
      <c r="T30" s="705" t="s">
        <v>14</v>
      </c>
      <c r="U30" s="706" t="e">
        <f t="shared" si="13"/>
        <v>#N/A</v>
      </c>
      <c r="V30" s="705" t="s">
        <v>14</v>
      </c>
      <c r="W30" s="706" t="e">
        <f t="shared" si="14"/>
        <v>#N/A</v>
      </c>
      <c r="X30" s="1351"/>
      <c r="Y30" s="3668"/>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68"/>
      <c r="Q31" s="1339" t="str">
        <f t="shared" si="11"/>
        <v>是否封闭</v>
      </c>
      <c r="R31" s="701" t="s">
        <v>14</v>
      </c>
      <c r="S31" s="702">
        <f t="shared" si="12"/>
        <v>100</v>
      </c>
      <c r="T31" s="701" t="s">
        <v>14</v>
      </c>
      <c r="U31" s="702">
        <f t="shared" si="13"/>
        <v>100</v>
      </c>
      <c r="V31" s="701" t="s">
        <v>14</v>
      </c>
      <c r="W31" s="702">
        <f t="shared" si="14"/>
        <v>100</v>
      </c>
      <c r="X31" s="703"/>
      <c r="Y31" s="3668"/>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68" t="s">
        <v>1696</v>
      </c>
      <c r="Q32" s="1348">
        <f t="shared" si="11"/>
        <v>111</v>
      </c>
      <c r="R32" s="705" t="s">
        <v>14</v>
      </c>
      <c r="S32" s="706">
        <f t="shared" si="12"/>
        <v>100</v>
      </c>
      <c r="T32" s="705" t="s">
        <v>14</v>
      </c>
      <c r="U32" s="706">
        <f t="shared" si="13"/>
        <v>100</v>
      </c>
      <c r="V32" s="705" t="s">
        <v>14</v>
      </c>
      <c r="W32" s="706">
        <f t="shared" si="14"/>
        <v>100</v>
      </c>
      <c r="X32" s="1351"/>
      <c r="Y32" s="3668"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68"/>
      <c r="Q33" s="1348">
        <f t="shared" si="11"/>
        <v>111</v>
      </c>
      <c r="R33" s="705" t="s">
        <v>14</v>
      </c>
      <c r="S33" s="706">
        <f t="shared" si="12"/>
        <v>100</v>
      </c>
      <c r="T33" s="705" t="s">
        <v>14</v>
      </c>
      <c r="U33" s="706">
        <f t="shared" si="13"/>
        <v>100</v>
      </c>
      <c r="V33" s="705" t="s">
        <v>14</v>
      </c>
      <c r="W33" s="706">
        <f t="shared" si="14"/>
        <v>100</v>
      </c>
      <c r="X33" s="1351"/>
      <c r="Y33" s="3668"/>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668"/>
      <c r="Q34" s="1348">
        <f t="shared" si="11"/>
        <v>111</v>
      </c>
      <c r="R34" s="705" t="s">
        <v>14</v>
      </c>
      <c r="S34" s="706">
        <f t="shared" si="12"/>
        <v>100</v>
      </c>
      <c r="T34" s="705" t="s">
        <v>14</v>
      </c>
      <c r="U34" s="706">
        <f t="shared" si="13"/>
        <v>100</v>
      </c>
      <c r="V34" s="705" t="s">
        <v>14</v>
      </c>
      <c r="W34" s="706">
        <f t="shared" si="14"/>
        <v>100</v>
      </c>
      <c r="X34" s="1351"/>
      <c r="Y34" s="3668"/>
      <c r="Z34" s="1352">
        <f t="shared" si="15"/>
        <v>111</v>
      </c>
      <c r="AA34" s="1349">
        <f t="shared" si="3"/>
        <v>1</v>
      </c>
      <c r="AB34" s="1349">
        <f t="shared" si="4"/>
        <v>1</v>
      </c>
      <c r="AC34" s="1349">
        <f t="shared" si="5"/>
        <v>1</v>
      </c>
    </row>
    <row r="35" spans="1:30" ht="15">
      <c r="A35" s="430" t="s">
        <v>1708</v>
      </c>
      <c r="B35" s="431"/>
      <c r="C35" s="1150" t="s">
        <v>0</v>
      </c>
      <c r="D35" s="1151"/>
      <c r="E35" s="1152"/>
      <c r="F35" s="1153"/>
      <c r="G35" s="1154"/>
      <c r="H35" s="1155"/>
      <c r="I35" s="1152"/>
      <c r="J35" s="1155"/>
      <c r="K35" s="714"/>
      <c r="L35" s="2720"/>
      <c r="M35" s="2721"/>
      <c r="N35" s="2712"/>
      <c r="O35" s="2721"/>
      <c r="P35" s="3661" t="str">
        <f>A35</f>
        <v>成交单价（元/平方米）</v>
      </c>
      <c r="Q35" s="3661"/>
      <c r="R35" s="3662">
        <f>E35</f>
        <v>0</v>
      </c>
      <c r="S35" s="3662"/>
      <c r="T35" s="3662">
        <f>G35</f>
        <v>0</v>
      </c>
      <c r="U35" s="3662"/>
      <c r="V35" s="3662">
        <f>I35</f>
        <v>0</v>
      </c>
      <c r="W35" s="3662"/>
      <c r="X35" s="690"/>
      <c r="Y35" s="712"/>
      <c r="Z35" s="690"/>
      <c r="AA35" s="690"/>
      <c r="AB35" s="690"/>
      <c r="AC35" s="690"/>
    </row>
    <row r="36" spans="1:30" ht="15.75" thickBot="1">
      <c r="A36" s="437" t="s">
        <v>1793</v>
      </c>
      <c r="B36" s="438"/>
      <c r="C36" s="1156" t="e">
        <f>R37</f>
        <v>#DIV/0!</v>
      </c>
      <c r="D36" s="2313" t="s">
        <v>2138</v>
      </c>
      <c r="E36" s="1157" t="e">
        <f>R36</f>
        <v>#DIV/0!</v>
      </c>
      <c r="F36" s="2314"/>
      <c r="G36" s="1156" t="e">
        <f>T36</f>
        <v>#DIV/0!</v>
      </c>
      <c r="H36" s="2314"/>
      <c r="I36" s="1157" t="e">
        <f>V36</f>
        <v>#DIV/0!</v>
      </c>
      <c r="J36" s="2314"/>
      <c r="K36" s="2316">
        <f>F36+H36+J36</f>
        <v>0</v>
      </c>
      <c r="L36" s="2720"/>
      <c r="M36" s="2721"/>
      <c r="N36" s="2712"/>
      <c r="O36" s="2721"/>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90"/>
      <c r="Y36" s="690"/>
      <c r="Z36" s="690"/>
      <c r="AA36" s="690"/>
      <c r="AB36" s="690"/>
      <c r="AC36" s="690"/>
    </row>
    <row r="37" spans="1:30" ht="15.75" thickBot="1">
      <c r="A37" s="441" t="s">
        <v>1794</v>
      </c>
      <c r="B37" s="442"/>
      <c r="C37" s="1159" t="e">
        <f>R37</f>
        <v>#DIV/0!</v>
      </c>
      <c r="D37" s="1159"/>
      <c r="E37" s="1159"/>
      <c r="F37" s="1159"/>
      <c r="G37" s="1159"/>
      <c r="H37" s="1159"/>
      <c r="I37" s="1159"/>
      <c r="J37" s="1159"/>
      <c r="K37" s="715"/>
      <c r="L37" s="2720"/>
      <c r="M37" s="2721"/>
      <c r="N37" s="2721"/>
      <c r="O37" s="2721"/>
      <c r="P37" s="3658" t="str">
        <f>A37</f>
        <v>估价对象XX用房的比较价值（楼面单价，元/平方米）</v>
      </c>
      <c r="Q37" s="3659"/>
      <c r="R37" s="3720" t="e">
        <f>IF(F1="售价",ROUND(IF(D36="简单平均",AVERAGE(R36:W36),R36*F36+T36*H36+V36*J36),0),ROUND(IF(D36="简单平均",AVERAGE(R36:V36),R36*F36+T36*H36+V36*J36),1))</f>
        <v>#DIV/0!</v>
      </c>
      <c r="S37" s="3720"/>
      <c r="T37" s="3720"/>
      <c r="U37" s="3720"/>
      <c r="V37" s="3720"/>
      <c r="W37" s="3720"/>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0" t="str">
        <f>YEAR(C7)&amp;"-"&amp;MONTH(C7)</f>
        <v>2024-7</v>
      </c>
      <c r="D46" s="1181">
        <f>EDATE(C46,-1)</f>
        <v>45444</v>
      </c>
      <c r="E46" s="1181">
        <f t="shared" ref="E46:O46" si="16">EDATE(D46,-1)</f>
        <v>45413</v>
      </c>
      <c r="F46" s="1181">
        <f t="shared" si="16"/>
        <v>45383</v>
      </c>
      <c r="G46" s="1181">
        <f t="shared" si="16"/>
        <v>45352</v>
      </c>
      <c r="H46" s="1181">
        <f t="shared" si="16"/>
        <v>45323</v>
      </c>
      <c r="I46" s="1181">
        <f t="shared" si="16"/>
        <v>45292</v>
      </c>
      <c r="J46" s="1181">
        <f t="shared" si="16"/>
        <v>45261</v>
      </c>
      <c r="K46" s="1181">
        <f t="shared" si="16"/>
        <v>45231</v>
      </c>
      <c r="L46" s="1181">
        <f t="shared" si="16"/>
        <v>45200</v>
      </c>
      <c r="M46" s="1181">
        <f t="shared" si="16"/>
        <v>45170</v>
      </c>
      <c r="N46" s="1181">
        <f t="shared" si="16"/>
        <v>45139</v>
      </c>
      <c r="O46" s="1181">
        <f t="shared" si="16"/>
        <v>45108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48" activeCellId="1" sqref="F39:F48 N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3"/>
      <c r="D2" s="903"/>
      <c r="E2" s="904"/>
      <c r="F2" s="905"/>
      <c r="G2" s="904"/>
      <c r="H2" s="904"/>
      <c r="I2" s="904"/>
      <c r="J2" s="904"/>
      <c r="K2" s="906"/>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30" ht="15">
      <c r="A4" s="355" t="s">
        <v>1769</v>
      </c>
      <c r="B4" s="356"/>
      <c r="C4" s="3676" t="s">
        <v>1770</v>
      </c>
      <c r="D4" s="3677"/>
      <c r="E4" s="3678" t="s">
        <v>1771</v>
      </c>
      <c r="F4" s="3679"/>
      <c r="G4" s="3676" t="s">
        <v>1772</v>
      </c>
      <c r="H4" s="3677"/>
      <c r="I4" s="3676" t="s">
        <v>1773</v>
      </c>
      <c r="J4" s="3677"/>
      <c r="K4" s="559" t="s">
        <v>1774</v>
      </c>
      <c r="L4" s="2711"/>
      <c r="M4" s="2712"/>
      <c r="N4" s="2712"/>
      <c r="O4" s="2712"/>
      <c r="P4" s="3680" t="s">
        <v>1775</v>
      </c>
      <c r="Q4" s="3681"/>
      <c r="R4" s="3686" t="s">
        <v>1771</v>
      </c>
      <c r="S4" s="3687"/>
      <c r="T4" s="3686" t="s">
        <v>1772</v>
      </c>
      <c r="U4" s="3687"/>
      <c r="V4" s="3692" t="s">
        <v>1773</v>
      </c>
      <c r="W4" s="3692"/>
      <c r="X4" s="1351"/>
      <c r="Y4" s="3686" t="s">
        <v>1775</v>
      </c>
      <c r="Z4" s="3687"/>
      <c r="AA4" s="3673" t="s">
        <v>1771</v>
      </c>
      <c r="AB4" s="3674" t="s">
        <v>1772</v>
      </c>
      <c r="AC4" s="3673" t="s">
        <v>1773</v>
      </c>
    </row>
    <row r="5" spans="1:30" ht="15">
      <c r="A5" s="358"/>
      <c r="B5" s="359"/>
      <c r="C5" s="3695" t="s">
        <v>1673</v>
      </c>
      <c r="D5" s="3696"/>
      <c r="E5" s="3702" t="s">
        <v>1674</v>
      </c>
      <c r="F5" s="3703"/>
      <c r="G5" s="3695" t="s">
        <v>1675</v>
      </c>
      <c r="H5" s="3696"/>
      <c r="I5" s="3695" t="s">
        <v>1676</v>
      </c>
      <c r="J5" s="3696"/>
      <c r="K5" s="559"/>
      <c r="L5" s="2711"/>
      <c r="M5" s="2712"/>
      <c r="N5" s="2712"/>
      <c r="O5" s="2712"/>
      <c r="P5" s="3682"/>
      <c r="Q5" s="3683"/>
      <c r="R5" s="3688"/>
      <c r="S5" s="3689"/>
      <c r="T5" s="3688"/>
      <c r="U5" s="3689"/>
      <c r="V5" s="3692"/>
      <c r="W5" s="3692"/>
      <c r="X5" s="1351"/>
      <c r="Y5" s="3688"/>
      <c r="Z5" s="3689"/>
      <c r="AA5" s="3674"/>
      <c r="AB5" s="3674"/>
      <c r="AC5" s="3674"/>
    </row>
    <row r="6" spans="1:30" ht="15.75" thickBot="1">
      <c r="A6" s="360"/>
      <c r="B6" s="361"/>
      <c r="C6" s="3693" t="s">
        <v>1677</v>
      </c>
      <c r="D6" s="3694"/>
      <c r="E6" s="3700" t="s">
        <v>1677</v>
      </c>
      <c r="F6" s="3701"/>
      <c r="G6" s="3693" t="s">
        <v>1677</v>
      </c>
      <c r="H6" s="3694"/>
      <c r="I6" s="3693" t="s">
        <v>1677</v>
      </c>
      <c r="J6" s="3694"/>
      <c r="K6" s="559" t="s">
        <v>1678</v>
      </c>
      <c r="L6" s="2711"/>
      <c r="M6" s="2712"/>
      <c r="N6" s="2712"/>
      <c r="O6" s="2712"/>
      <c r="P6" s="3684"/>
      <c r="Q6" s="3685"/>
      <c r="R6" s="3688"/>
      <c r="S6" s="3689"/>
      <c r="T6" s="3690"/>
      <c r="U6" s="3691"/>
      <c r="V6" s="3692"/>
      <c r="W6" s="3692"/>
      <c r="X6" s="1351"/>
      <c r="Y6" s="3690"/>
      <c r="Z6" s="3691"/>
      <c r="AA6" s="3675"/>
      <c r="AB6" s="3675"/>
      <c r="AC6" s="3675"/>
    </row>
    <row r="7" spans="1:30" s="108" customFormat="1" ht="15.75" thickBot="1">
      <c r="A7" s="362" t="s">
        <v>1679</v>
      </c>
      <c r="B7" s="363"/>
      <c r="C7" s="364">
        <f>'数据-取费表'!B2</f>
        <v>45491</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697"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97" t="s">
        <v>1683</v>
      </c>
      <c r="Q8" s="3698"/>
      <c r="R8" s="701" t="s">
        <v>14</v>
      </c>
      <c r="S8" s="702">
        <f t="shared" si="0"/>
        <v>0</v>
      </c>
      <c r="T8" s="701" t="s">
        <v>14</v>
      </c>
      <c r="U8" s="702">
        <f t="shared" si="1"/>
        <v>0</v>
      </c>
      <c r="V8" s="701" t="s">
        <v>14</v>
      </c>
      <c r="W8" s="702">
        <f t="shared" si="2"/>
        <v>0</v>
      </c>
      <c r="X8" s="703"/>
      <c r="Y8" s="3697" t="s">
        <v>1683</v>
      </c>
      <c r="Z8" s="3698"/>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661" t="s">
        <v>1686</v>
      </c>
      <c r="Q9" s="1339" t="str">
        <f t="shared" ref="Q9:Q15" si="6">B9</f>
        <v>用途</v>
      </c>
      <c r="R9" s="701" t="s">
        <v>14</v>
      </c>
      <c r="S9" s="702">
        <f t="shared" si="0"/>
        <v>100</v>
      </c>
      <c r="T9" s="701" t="s">
        <v>14</v>
      </c>
      <c r="U9" s="702">
        <f t="shared" si="1"/>
        <v>100</v>
      </c>
      <c r="V9" s="701" t="s">
        <v>14</v>
      </c>
      <c r="W9" s="702">
        <f t="shared" si="2"/>
        <v>100</v>
      </c>
      <c r="X9" s="703"/>
      <c r="Y9" s="353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141</v>
      </c>
      <c r="G10" s="414"/>
      <c r="H10" s="127">
        <f>ROUND(100/'数据-取费表'!G16,0)</f>
        <v>141</v>
      </c>
      <c r="I10" s="414"/>
      <c r="J10" s="127">
        <f>ROUND(100/'数据-取费表'!G16,0)</f>
        <v>141</v>
      </c>
      <c r="K10" s="620"/>
      <c r="L10" s="2715"/>
      <c r="M10" s="2716"/>
      <c r="N10" s="2716"/>
      <c r="O10" s="2769"/>
      <c r="P10" s="3661"/>
      <c r="Q10" s="1339" t="str">
        <f t="shared" si="6"/>
        <v>土地使用年限（年）</v>
      </c>
      <c r="R10" s="701" t="s">
        <v>14</v>
      </c>
      <c r="S10" s="702">
        <f t="shared" si="0"/>
        <v>141</v>
      </c>
      <c r="T10" s="701" t="s">
        <v>14</v>
      </c>
      <c r="U10" s="702">
        <f t="shared" si="1"/>
        <v>141</v>
      </c>
      <c r="V10" s="701" t="s">
        <v>14</v>
      </c>
      <c r="W10" s="702">
        <f t="shared" si="2"/>
        <v>141</v>
      </c>
      <c r="X10" s="703"/>
      <c r="Y10" s="3536"/>
      <c r="Z10" s="52" t="str">
        <f t="shared" si="7"/>
        <v>土地使用年限（年）</v>
      </c>
      <c r="AA10" s="704">
        <f t="shared" si="3"/>
        <v>0.70921985815602839</v>
      </c>
      <c r="AB10" s="704">
        <f t="shared" si="4"/>
        <v>0.70921985815602839</v>
      </c>
      <c r="AC10" s="704">
        <f t="shared" si="5"/>
        <v>0.70921985815602839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61"/>
      <c r="Q11" s="1339" t="str">
        <f t="shared" si="6"/>
        <v>容积率</v>
      </c>
      <c r="R11" s="701" t="s">
        <v>14</v>
      </c>
      <c r="S11" s="702" t="e">
        <f t="shared" si="0"/>
        <v>#N/A</v>
      </c>
      <c r="T11" s="701" t="s">
        <v>14</v>
      </c>
      <c r="U11" s="702" t="e">
        <f t="shared" si="1"/>
        <v>#N/A</v>
      </c>
      <c r="V11" s="701" t="s">
        <v>14</v>
      </c>
      <c r="W11" s="702" t="e">
        <f t="shared" si="2"/>
        <v>#N/A</v>
      </c>
      <c r="X11" s="703"/>
      <c r="Y11" s="3536"/>
      <c r="Z11" s="52" t="str">
        <f t="shared" si="7"/>
        <v>容积率</v>
      </c>
      <c r="AA11" s="704" t="e">
        <f t="shared" si="3"/>
        <v>#N/A</v>
      </c>
      <c r="AB11" s="704" t="e">
        <f t="shared" si="4"/>
        <v>#N/A</v>
      </c>
      <c r="AC11" s="704"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61"/>
      <c r="Q12" s="1339" t="str">
        <f t="shared" si="6"/>
        <v>配建</v>
      </c>
      <c r="R12" s="701" t="s">
        <v>14</v>
      </c>
      <c r="S12" s="702">
        <f t="shared" si="0"/>
        <v>100</v>
      </c>
      <c r="T12" s="701" t="s">
        <v>14</v>
      </c>
      <c r="U12" s="702">
        <f t="shared" si="1"/>
        <v>100</v>
      </c>
      <c r="V12" s="701" t="s">
        <v>14</v>
      </c>
      <c r="W12" s="702">
        <f t="shared" si="2"/>
        <v>100</v>
      </c>
      <c r="X12" s="703"/>
      <c r="Y12" s="3536"/>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61"/>
      <c r="Q13" s="1339">
        <f t="shared" si="6"/>
        <v>111</v>
      </c>
      <c r="R13" s="701" t="s">
        <v>14</v>
      </c>
      <c r="S13" s="702">
        <f t="shared" si="0"/>
        <v>100</v>
      </c>
      <c r="T13" s="701" t="s">
        <v>14</v>
      </c>
      <c r="U13" s="702">
        <f t="shared" si="1"/>
        <v>100</v>
      </c>
      <c r="V13" s="701" t="s">
        <v>14</v>
      </c>
      <c r="W13" s="702">
        <f t="shared" si="2"/>
        <v>100</v>
      </c>
      <c r="X13" s="703"/>
      <c r="Y13" s="3536"/>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61"/>
      <c r="Q14" s="1339">
        <f t="shared" si="6"/>
        <v>111</v>
      </c>
      <c r="R14" s="701" t="s">
        <v>14</v>
      </c>
      <c r="S14" s="702">
        <f t="shared" si="0"/>
        <v>100</v>
      </c>
      <c r="T14" s="701" t="s">
        <v>14</v>
      </c>
      <c r="U14" s="702">
        <f t="shared" si="1"/>
        <v>100</v>
      </c>
      <c r="V14" s="701" t="s">
        <v>14</v>
      </c>
      <c r="W14" s="702">
        <f t="shared" si="2"/>
        <v>100</v>
      </c>
      <c r="X14" s="703"/>
      <c r="Y14" s="3536"/>
      <c r="Z14" s="52">
        <f t="shared" si="7"/>
        <v>111</v>
      </c>
      <c r="AA14" s="704">
        <f>D14/F14</f>
        <v>1</v>
      </c>
      <c r="AB14" s="704">
        <f>D14/H14</f>
        <v>1</v>
      </c>
      <c r="AC14" s="704">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63" t="s">
        <v>1691</v>
      </c>
      <c r="Q15" s="1348" t="str">
        <f t="shared" si="6"/>
        <v>居住社区成熟度</v>
      </c>
      <c r="R15" s="705" t="s">
        <v>14</v>
      </c>
      <c r="S15" s="706">
        <f t="shared" si="0"/>
        <v>100</v>
      </c>
      <c r="T15" s="705" t="s">
        <v>14</v>
      </c>
      <c r="U15" s="706">
        <f t="shared" si="1"/>
        <v>100</v>
      </c>
      <c r="V15" s="705" t="s">
        <v>14</v>
      </c>
      <c r="W15" s="706">
        <f t="shared" si="2"/>
        <v>100</v>
      </c>
      <c r="X15" s="1351"/>
      <c r="Y15" s="3663"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664"/>
      <c r="Q16" s="1348"/>
      <c r="R16" s="705"/>
      <c r="S16" s="706"/>
      <c r="T16" s="705"/>
      <c r="U16" s="706"/>
      <c r="V16" s="705"/>
      <c r="W16" s="706"/>
      <c r="X16" s="1351"/>
      <c r="Y16" s="3664"/>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64"/>
      <c r="Q17" s="1348" t="str">
        <f>B17</f>
        <v>商业繁华度</v>
      </c>
      <c r="R17" s="705" t="s">
        <v>14</v>
      </c>
      <c r="S17" s="706">
        <f>F17</f>
        <v>100</v>
      </c>
      <c r="T17" s="705" t="s">
        <v>14</v>
      </c>
      <c r="U17" s="706">
        <f>H17</f>
        <v>100</v>
      </c>
      <c r="V17" s="705" t="s">
        <v>14</v>
      </c>
      <c r="W17" s="706">
        <f>J17</f>
        <v>100</v>
      </c>
      <c r="X17" s="1351"/>
      <c r="Y17" s="3664"/>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8"/>
      <c r="M18" s="2712"/>
      <c r="N18" s="2712"/>
      <c r="O18" s="2770"/>
      <c r="P18" s="3664"/>
      <c r="Q18" s="1348"/>
      <c r="R18" s="705"/>
      <c r="S18" s="706"/>
      <c r="T18" s="705"/>
      <c r="U18" s="706"/>
      <c r="V18" s="705"/>
      <c r="W18" s="706"/>
      <c r="X18" s="1351"/>
      <c r="Y18" s="3664"/>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64"/>
      <c r="Q19" s="1348" t="str">
        <f>B19</f>
        <v>办公集聚程度</v>
      </c>
      <c r="R19" s="705" t="s">
        <v>14</v>
      </c>
      <c r="S19" s="706">
        <f>F19</f>
        <v>100</v>
      </c>
      <c r="T19" s="705" t="s">
        <v>14</v>
      </c>
      <c r="U19" s="706">
        <f>H19</f>
        <v>100</v>
      </c>
      <c r="V19" s="705" t="s">
        <v>14</v>
      </c>
      <c r="W19" s="706">
        <f>J19</f>
        <v>100</v>
      </c>
      <c r="X19" s="1351"/>
      <c r="Y19" s="3664"/>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8"/>
      <c r="M20" s="2712"/>
      <c r="N20" s="2712"/>
      <c r="O20" s="2770"/>
      <c r="P20" s="3664"/>
      <c r="Q20" s="1348"/>
      <c r="R20" s="705"/>
      <c r="S20" s="706"/>
      <c r="T20" s="705"/>
      <c r="U20" s="706"/>
      <c r="V20" s="705"/>
      <c r="W20" s="706"/>
      <c r="X20" s="1351"/>
      <c r="Y20" s="3664"/>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64"/>
      <c r="Q21" s="1348" t="str">
        <f>B21</f>
        <v>交通便捷度</v>
      </c>
      <c r="R21" s="705" t="s">
        <v>14</v>
      </c>
      <c r="S21" s="706">
        <f>F21</f>
        <v>100</v>
      </c>
      <c r="T21" s="705" t="s">
        <v>14</v>
      </c>
      <c r="U21" s="706">
        <f>H21</f>
        <v>100</v>
      </c>
      <c r="V21" s="705" t="s">
        <v>14</v>
      </c>
      <c r="W21" s="706">
        <f>J21</f>
        <v>100</v>
      </c>
      <c r="X21" s="1351"/>
      <c r="Y21" s="3664"/>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8"/>
      <c r="M22" s="2712"/>
      <c r="N22" s="2712"/>
      <c r="O22" s="2770"/>
      <c r="P22" s="3664"/>
      <c r="Q22" s="1348"/>
      <c r="R22" s="705"/>
      <c r="S22" s="706"/>
      <c r="T22" s="705"/>
      <c r="U22" s="706"/>
      <c r="V22" s="705"/>
      <c r="W22" s="706"/>
      <c r="X22" s="1351"/>
      <c r="Y22" s="3664"/>
      <c r="Z22" s="1352"/>
      <c r="AA22" s="1349">
        <v>1</v>
      </c>
      <c r="AB22" s="1349">
        <v>1</v>
      </c>
      <c r="AC22" s="1349">
        <v>1</v>
      </c>
    </row>
    <row r="23" spans="1:29" ht="15">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64"/>
      <c r="Q23" s="1348" t="str">
        <f t="shared" ref="Q23:Q37" si="8">B23</f>
        <v>区域土地利用方向</v>
      </c>
      <c r="R23" s="705" t="s">
        <v>14</v>
      </c>
      <c r="S23" s="706">
        <f>F23</f>
        <v>100</v>
      </c>
      <c r="T23" s="705" t="s">
        <v>14</v>
      </c>
      <c r="U23" s="706">
        <f>H23</f>
        <v>100</v>
      </c>
      <c r="V23" s="705" t="s">
        <v>14</v>
      </c>
      <c r="W23" s="706">
        <f>J23</f>
        <v>100</v>
      </c>
      <c r="X23" s="1351"/>
      <c r="Y23" s="3664"/>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664"/>
      <c r="Q24" s="1348"/>
      <c r="R24" s="705"/>
      <c r="S24" s="706"/>
      <c r="T24" s="705"/>
      <c r="U24" s="706"/>
      <c r="V24" s="705"/>
      <c r="W24" s="706"/>
      <c r="X24" s="1351"/>
      <c r="Y24" s="3664"/>
      <c r="Z24" s="1352"/>
      <c r="AA24" s="1349"/>
      <c r="AB24" s="1349"/>
      <c r="AC24" s="1349"/>
    </row>
    <row r="25" spans="1:29" ht="57">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64"/>
      <c r="Q25" s="1348" t="str">
        <f t="shared" si="8"/>
        <v>自然及人文环境状况</v>
      </c>
      <c r="R25" s="705" t="s">
        <v>14</v>
      </c>
      <c r="S25" s="706">
        <f>F25</f>
        <v>100</v>
      </c>
      <c r="T25" s="705" t="s">
        <v>14</v>
      </c>
      <c r="U25" s="706">
        <f>H25</f>
        <v>100</v>
      </c>
      <c r="V25" s="705" t="s">
        <v>14</v>
      </c>
      <c r="W25" s="706">
        <f>J25</f>
        <v>100</v>
      </c>
      <c r="X25" s="1351"/>
      <c r="Y25" s="3664"/>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664"/>
      <c r="Q26" s="1348"/>
      <c r="R26" s="705"/>
      <c r="S26" s="706"/>
      <c r="T26" s="705"/>
      <c r="U26" s="706"/>
      <c r="V26" s="705"/>
      <c r="W26" s="706"/>
      <c r="X26" s="1351"/>
      <c r="Y26" s="3664"/>
      <c r="Z26" s="1352"/>
      <c r="AA26" s="1349">
        <v>1</v>
      </c>
      <c r="AB26" s="1349">
        <v>1</v>
      </c>
      <c r="AC26" s="1349">
        <v>1</v>
      </c>
    </row>
    <row r="27" spans="1:29" s="108" customFormat="1" ht="42.75">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64"/>
      <c r="Q27" s="1339" t="str">
        <f t="shared" si="8"/>
        <v>公共配套设施</v>
      </c>
      <c r="R27" s="701" t="s">
        <v>14</v>
      </c>
      <c r="S27" s="702">
        <f>F27</f>
        <v>100</v>
      </c>
      <c r="T27" s="701" t="s">
        <v>14</v>
      </c>
      <c r="U27" s="702">
        <f>H27</f>
        <v>100</v>
      </c>
      <c r="V27" s="701" t="s">
        <v>14</v>
      </c>
      <c r="W27" s="702">
        <f>J27</f>
        <v>100</v>
      </c>
      <c r="X27" s="703"/>
      <c r="Y27" s="3664"/>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3"/>
      <c r="M28" s="2714"/>
      <c r="N28" s="2714"/>
      <c r="O28" s="2768"/>
      <c r="P28" s="3664"/>
      <c r="Q28" s="1339"/>
      <c r="R28" s="701"/>
      <c r="S28" s="702"/>
      <c r="T28" s="701"/>
      <c r="U28" s="702"/>
      <c r="V28" s="701"/>
      <c r="W28" s="702"/>
      <c r="X28" s="703"/>
      <c r="Y28" s="3664"/>
      <c r="Z28" s="52"/>
      <c r="AA28" s="1349">
        <v>1</v>
      </c>
      <c r="AB28" s="1349">
        <v>1</v>
      </c>
      <c r="AC28" s="1349">
        <v>1</v>
      </c>
    </row>
    <row r="29" spans="1:29" s="108" customFormat="1" ht="28.5">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64"/>
      <c r="Q29" s="1339" t="str">
        <f t="shared" ref="Q29" si="9">B29</f>
        <v>基础设施水平</v>
      </c>
      <c r="R29" s="701" t="s">
        <v>14</v>
      </c>
      <c r="S29" s="702">
        <f>F29</f>
        <v>100</v>
      </c>
      <c r="T29" s="701" t="s">
        <v>14</v>
      </c>
      <c r="U29" s="702">
        <f>H29</f>
        <v>100</v>
      </c>
      <c r="V29" s="701" t="s">
        <v>14</v>
      </c>
      <c r="W29" s="702">
        <f>J29</f>
        <v>100</v>
      </c>
      <c r="X29" s="703"/>
      <c r="Y29" s="3664"/>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3"/>
      <c r="M30" s="2714"/>
      <c r="N30" s="2714"/>
      <c r="O30" s="2768"/>
      <c r="P30" s="3664"/>
      <c r="Q30" s="1339"/>
      <c r="R30" s="701"/>
      <c r="S30" s="702"/>
      <c r="T30" s="701"/>
      <c r="U30" s="702"/>
      <c r="V30" s="701"/>
      <c r="W30" s="702"/>
      <c r="X30" s="703"/>
      <c r="Y30" s="3664"/>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64"/>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664"/>
      <c r="Z31" s="1352" t="str">
        <f t="shared" ref="Z31:Z45" si="13">Q31</f>
        <v>临街状况</v>
      </c>
      <c r="AA31" s="1349">
        <f t="shared" si="3"/>
        <v>1</v>
      </c>
      <c r="AB31" s="1349">
        <f t="shared" si="4"/>
        <v>1</v>
      </c>
      <c r="AC31" s="1349">
        <f t="shared" si="5"/>
        <v>1</v>
      </c>
    </row>
    <row r="32" spans="1:29" ht="27">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64"/>
      <c r="Q32" s="1348" t="str">
        <f t="shared" si="8"/>
        <v>毗邻道路的类型与等级</v>
      </c>
      <c r="R32" s="705" t="s">
        <v>14</v>
      </c>
      <c r="S32" s="706">
        <f t="shared" si="10"/>
        <v>100</v>
      </c>
      <c r="T32" s="705" t="s">
        <v>14</v>
      </c>
      <c r="U32" s="706">
        <f t="shared" si="11"/>
        <v>100</v>
      </c>
      <c r="V32" s="705" t="s">
        <v>14</v>
      </c>
      <c r="W32" s="706">
        <f t="shared" si="12"/>
        <v>100</v>
      </c>
      <c r="X32" s="1351"/>
      <c r="Y32" s="3664"/>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664"/>
      <c r="Q33" s="1348"/>
      <c r="R33" s="705"/>
      <c r="S33" s="706"/>
      <c r="T33" s="705"/>
      <c r="U33" s="706"/>
      <c r="V33" s="705"/>
      <c r="W33" s="706"/>
      <c r="X33" s="1351"/>
      <c r="Y33" s="3664"/>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64"/>
      <c r="Q34" s="1348" t="str">
        <f t="shared" si="8"/>
        <v>土地级别</v>
      </c>
      <c r="R34" s="705" t="s">
        <v>14</v>
      </c>
      <c r="S34" s="706">
        <f t="shared" si="10"/>
        <v>100</v>
      </c>
      <c r="T34" s="705" t="s">
        <v>14</v>
      </c>
      <c r="U34" s="706">
        <f t="shared" si="11"/>
        <v>100</v>
      </c>
      <c r="V34" s="705" t="s">
        <v>14</v>
      </c>
      <c r="W34" s="706">
        <f t="shared" si="12"/>
        <v>100</v>
      </c>
      <c r="X34" s="1351"/>
      <c r="Y34" s="3664"/>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64"/>
      <c r="Q35" s="1348">
        <f t="shared" si="8"/>
        <v>111</v>
      </c>
      <c r="R35" s="705" t="s">
        <v>14</v>
      </c>
      <c r="S35" s="706">
        <f t="shared" si="10"/>
        <v>100</v>
      </c>
      <c r="T35" s="705" t="s">
        <v>14</v>
      </c>
      <c r="U35" s="706">
        <f t="shared" si="11"/>
        <v>100</v>
      </c>
      <c r="V35" s="705" t="s">
        <v>14</v>
      </c>
      <c r="W35" s="706">
        <f t="shared" si="12"/>
        <v>100</v>
      </c>
      <c r="X35" s="1351"/>
      <c r="Y35" s="3664"/>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19" t="s">
        <v>1696</v>
      </c>
      <c r="Q36" s="1348">
        <f t="shared" si="8"/>
        <v>111</v>
      </c>
      <c r="R36" s="705" t="s">
        <v>14</v>
      </c>
      <c r="S36" s="706">
        <f t="shared" si="10"/>
        <v>100</v>
      </c>
      <c r="T36" s="705" t="s">
        <v>14</v>
      </c>
      <c r="U36" s="706">
        <f t="shared" si="11"/>
        <v>100</v>
      </c>
      <c r="V36" s="705" t="s">
        <v>14</v>
      </c>
      <c r="W36" s="706">
        <f t="shared" si="12"/>
        <v>100</v>
      </c>
      <c r="X36" s="1351"/>
      <c r="Y36" s="3668" t="s">
        <v>1696</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68"/>
      <c r="Q37" s="1348">
        <f t="shared" si="8"/>
        <v>111</v>
      </c>
      <c r="R37" s="708" t="s">
        <v>14</v>
      </c>
      <c r="S37" s="709">
        <f t="shared" si="10"/>
        <v>100</v>
      </c>
      <c r="T37" s="708" t="s">
        <v>14</v>
      </c>
      <c r="U37" s="709">
        <f t="shared" si="11"/>
        <v>100</v>
      </c>
      <c r="V37" s="708" t="s">
        <v>14</v>
      </c>
      <c r="W37" s="709">
        <f t="shared" si="12"/>
        <v>100</v>
      </c>
      <c r="X37" s="710"/>
      <c r="Y37" s="3668"/>
      <c r="Z37" s="711">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68"/>
      <c r="Q38" s="1348" t="str">
        <f>B38</f>
        <v>宗地面积</v>
      </c>
      <c r="R38" s="705" t="s">
        <v>14</v>
      </c>
      <c r="S38" s="706" t="e">
        <f t="shared" si="10"/>
        <v>#N/A</v>
      </c>
      <c r="T38" s="705" t="s">
        <v>14</v>
      </c>
      <c r="U38" s="706" t="e">
        <f t="shared" si="11"/>
        <v>#N/A</v>
      </c>
      <c r="V38" s="705" t="s">
        <v>14</v>
      </c>
      <c r="W38" s="706" t="e">
        <f t="shared" si="12"/>
        <v>#N/A</v>
      </c>
      <c r="X38" s="1351"/>
      <c r="Y38" s="3668"/>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668"/>
      <c r="Q39" s="1348" t="str">
        <f t="shared" ref="Q39:Q45" si="14">B39</f>
        <v>宗地形状</v>
      </c>
      <c r="R39" s="705" t="s">
        <v>14</v>
      </c>
      <c r="S39" s="706">
        <f t="shared" si="10"/>
        <v>100</v>
      </c>
      <c r="T39" s="705" t="s">
        <v>14</v>
      </c>
      <c r="U39" s="706">
        <f t="shared" si="11"/>
        <v>100</v>
      </c>
      <c r="V39" s="705" t="s">
        <v>14</v>
      </c>
      <c r="W39" s="706">
        <f t="shared" si="12"/>
        <v>100</v>
      </c>
      <c r="X39" s="1351"/>
      <c r="Y39" s="3668"/>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668"/>
      <c r="Q40" s="1348" t="str">
        <f t="shared" si="14"/>
        <v>临街宽度及深度</v>
      </c>
      <c r="R40" s="705" t="s">
        <v>14</v>
      </c>
      <c r="S40" s="706">
        <f t="shared" si="10"/>
        <v>100</v>
      </c>
      <c r="T40" s="705" t="s">
        <v>14</v>
      </c>
      <c r="U40" s="706">
        <f t="shared" si="11"/>
        <v>100</v>
      </c>
      <c r="V40" s="705" t="s">
        <v>14</v>
      </c>
      <c r="W40" s="706">
        <f t="shared" si="12"/>
        <v>100</v>
      </c>
      <c r="X40" s="1351"/>
      <c r="Y40" s="3668"/>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668"/>
      <c r="Q41" s="1348" t="str">
        <f t="shared" si="14"/>
        <v>宗地开发程度</v>
      </c>
      <c r="R41" s="701" t="s">
        <v>14</v>
      </c>
      <c r="S41" s="702">
        <f t="shared" si="10"/>
        <v>100</v>
      </c>
      <c r="T41" s="701" t="s">
        <v>14</v>
      </c>
      <c r="U41" s="702">
        <f t="shared" si="11"/>
        <v>100</v>
      </c>
      <c r="V41" s="701" t="s">
        <v>14</v>
      </c>
      <c r="W41" s="702">
        <f t="shared" si="12"/>
        <v>100</v>
      </c>
      <c r="X41" s="703"/>
      <c r="Y41" s="3668"/>
      <c r="Z41" s="52" t="str">
        <f t="shared" si="13"/>
        <v>宗地开发程度</v>
      </c>
      <c r="AA41" s="704">
        <f t="shared" si="3"/>
        <v>1</v>
      </c>
      <c r="AB41" s="704">
        <f t="shared" si="4"/>
        <v>1</v>
      </c>
      <c r="AC41" s="704">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668" t="s">
        <v>1696</v>
      </c>
      <c r="Q42" s="1348" t="str">
        <f t="shared" si="14"/>
        <v>工程地质条件</v>
      </c>
      <c r="R42" s="705" t="s">
        <v>14</v>
      </c>
      <c r="S42" s="706">
        <f t="shared" si="10"/>
        <v>100</v>
      </c>
      <c r="T42" s="705" t="s">
        <v>14</v>
      </c>
      <c r="U42" s="706">
        <f t="shared" si="11"/>
        <v>100</v>
      </c>
      <c r="V42" s="705" t="s">
        <v>14</v>
      </c>
      <c r="W42" s="706">
        <f t="shared" si="12"/>
        <v>100</v>
      </c>
      <c r="X42" s="1351"/>
      <c r="Y42" s="3668"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68"/>
      <c r="Q43" s="1348">
        <f t="shared" si="14"/>
        <v>111</v>
      </c>
      <c r="R43" s="705" t="s">
        <v>14</v>
      </c>
      <c r="S43" s="706">
        <f t="shared" si="10"/>
        <v>100</v>
      </c>
      <c r="T43" s="705" t="s">
        <v>14</v>
      </c>
      <c r="U43" s="706">
        <f t="shared" si="11"/>
        <v>100</v>
      </c>
      <c r="V43" s="705" t="s">
        <v>14</v>
      </c>
      <c r="W43" s="706">
        <f t="shared" si="12"/>
        <v>100</v>
      </c>
      <c r="X43" s="1351"/>
      <c r="Y43" s="3668"/>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68"/>
      <c r="Q44" s="1348">
        <f t="shared" si="14"/>
        <v>111</v>
      </c>
      <c r="R44" s="705" t="s">
        <v>14</v>
      </c>
      <c r="S44" s="706">
        <f t="shared" si="10"/>
        <v>100</v>
      </c>
      <c r="T44" s="705" t="s">
        <v>14</v>
      </c>
      <c r="U44" s="706">
        <f t="shared" si="11"/>
        <v>100</v>
      </c>
      <c r="V44" s="705" t="s">
        <v>14</v>
      </c>
      <c r="W44" s="706">
        <f t="shared" si="12"/>
        <v>100</v>
      </c>
      <c r="X44" s="1351"/>
      <c r="Y44" s="3668"/>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68"/>
      <c r="Q45" s="1348">
        <f t="shared" si="14"/>
        <v>111</v>
      </c>
      <c r="R45" s="708" t="s">
        <v>14</v>
      </c>
      <c r="S45" s="709">
        <f t="shared" si="10"/>
        <v>100</v>
      </c>
      <c r="T45" s="708" t="s">
        <v>14</v>
      </c>
      <c r="U45" s="709">
        <f t="shared" si="11"/>
        <v>100</v>
      </c>
      <c r="V45" s="708" t="s">
        <v>14</v>
      </c>
      <c r="W45" s="709">
        <f t="shared" si="12"/>
        <v>100</v>
      </c>
      <c r="X45" s="710"/>
      <c r="Y45" s="3668"/>
      <c r="Z45" s="711">
        <f t="shared" si="13"/>
        <v>111</v>
      </c>
      <c r="AA45" s="1349">
        <f t="shared" si="3"/>
        <v>1</v>
      </c>
      <c r="AB45" s="1349">
        <f t="shared" si="4"/>
        <v>1</v>
      </c>
      <c r="AC45" s="1349">
        <f t="shared" si="5"/>
        <v>1</v>
      </c>
    </row>
    <row r="46" spans="1:29" ht="15">
      <c r="A46" s="430" t="s">
        <v>1844</v>
      </c>
      <c r="B46" s="1978" t="s">
        <v>1879</v>
      </c>
      <c r="C46" s="630" t="s">
        <v>0</v>
      </c>
      <c r="D46" s="432"/>
      <c r="E46" s="433"/>
      <c r="F46" s="434"/>
      <c r="G46" s="435"/>
      <c r="H46" s="436"/>
      <c r="I46" s="433"/>
      <c r="J46" s="436"/>
      <c r="K46" s="714"/>
      <c r="L46" s="2720"/>
      <c r="M46" s="2721"/>
      <c r="N46" s="2712"/>
      <c r="O46" s="2721"/>
      <c r="P46" s="3661" t="str">
        <f>A46</f>
        <v>成交单价</v>
      </c>
      <c r="Q46" s="3661"/>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20"/>
      <c r="M47" s="2721"/>
      <c r="N47" s="2721"/>
      <c r="O47" s="2721"/>
      <c r="P47" s="3661" t="str">
        <f>A47</f>
        <v>比较价值（元/平方米）</v>
      </c>
      <c r="Q47" s="3661"/>
      <c r="R47" s="3721" t="e">
        <f>ROUND(PRODUCT(R46,AA7:AA45),0)</f>
        <v>#DIV/0!</v>
      </c>
      <c r="S47" s="3721"/>
      <c r="T47" s="3721" t="e">
        <f>ROUND(PRODUCT(T46,AB7:AB45),0)</f>
        <v>#DIV/0!</v>
      </c>
      <c r="U47" s="3721"/>
      <c r="V47" s="3721" t="e">
        <f>ROUND(PRODUCT(V46,AC7:AC45),0)</f>
        <v>#DIV/0!</v>
      </c>
      <c r="W47" s="372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658" t="str">
        <f>A48</f>
        <v>估价对象XX用房的比较价值（楼面单价，元/平方米）</v>
      </c>
      <c r="Q48" s="3659"/>
      <c r="R48" s="3722" t="e">
        <f>ROUND(IF(D47="简单平均",AVERAGE(R47:W47),R47*F47+T47*H47+V47*J47),0)</f>
        <v>#DIV/0!</v>
      </c>
      <c r="S48" s="3722"/>
      <c r="T48" s="3722"/>
      <c r="U48" s="3722"/>
      <c r="V48" s="3722"/>
      <c r="W48" s="3722"/>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6" t="s">
        <v>1886</v>
      </c>
      <c r="G55" s="3676" t="s">
        <v>1887</v>
      </c>
      <c r="H55" s="3723"/>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0">
        <v>1</v>
      </c>
      <c r="E56" s="638">
        <f>'数据-汇总表'!E8+'数据-汇总表'!E9</f>
        <v>22413.3</v>
      </c>
      <c r="F56" s="882" t="e">
        <f t="shared" ref="F56:F64" si="15">ROUND(B56*E56/10000,0)</f>
        <v>#DIV/0!</v>
      </c>
      <c r="G56" s="3672"/>
      <c r="H56" s="3661"/>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0.6</v>
      </c>
      <c r="D57" s="941">
        <v>0.25</v>
      </c>
      <c r="E57" s="642"/>
      <c r="F57" s="882" t="e">
        <f t="shared" si="15"/>
        <v>#DIV/0!</v>
      </c>
      <c r="G57" s="3002" t="s">
        <v>1892</v>
      </c>
      <c r="H57" s="883" t="str">
        <f>项目基本情况!B37</f>
        <v>七级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0.3</v>
      </c>
      <c r="D58" s="941">
        <v>0.25</v>
      </c>
      <c r="E58" s="642"/>
      <c r="F58" s="882" t="e">
        <f t="shared" si="15"/>
        <v>#DIV/0!</v>
      </c>
      <c r="G58" s="3003"/>
      <c r="H58" s="883" t="str">
        <f>项目基本情况!B37</f>
        <v>七级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0.25</v>
      </c>
      <c r="D59" s="941">
        <v>0.25</v>
      </c>
      <c r="E59" s="642"/>
      <c r="F59" s="882" t="e">
        <f t="shared" si="15"/>
        <v>#DIV/0!</v>
      </c>
      <c r="G59" s="3003"/>
      <c r="H59" s="883" t="str">
        <f>项目基本情况!B37</f>
        <v>七级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1">
        <v>0.25</v>
      </c>
      <c r="E60" s="217">
        <f>'数据-汇总表'!E11</f>
        <v>0</v>
      </c>
      <c r="F60" s="882" t="e">
        <f t="shared" si="15"/>
        <v>#DIV/0!</v>
      </c>
      <c r="G60" s="1983" t="s">
        <v>1896</v>
      </c>
      <c r="H60" s="883">
        <f>项目基本情况!C37</f>
        <v>0</v>
      </c>
      <c r="I60" s="887">
        <f>SUMIF(修正!A57:A68,H60,修正!E57:E68)</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1">
        <v>0.25</v>
      </c>
      <c r="E61" s="217">
        <f>'数据-汇总表'!E12</f>
        <v>0</v>
      </c>
      <c r="F61" s="882" t="e">
        <f t="shared" si="15"/>
        <v>#DIV/0!</v>
      </c>
      <c r="G61" s="888" t="s">
        <v>1898</v>
      </c>
      <c r="H61" s="883">
        <f>IF(G61="商业",项目基本情况!B37,IF(G61="办公",项目基本情况!C37,IF(G61="住宅",项目基本情况!D37,项目基本情况!E37)))</f>
        <v>0</v>
      </c>
      <c r="I61" s="887">
        <f>SUMIF(修正!A57:A68,H61,修正!F57:F68)</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1">
        <v>0.25</v>
      </c>
      <c r="E62" s="217">
        <f>'数据-汇总表'!E13</f>
        <v>0</v>
      </c>
      <c r="F62" s="882" t="e">
        <f t="shared" si="15"/>
        <v>#DIV/0!</v>
      </c>
      <c r="G62" s="888" t="s">
        <v>1900</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0.15</v>
      </c>
      <c r="D63" s="941">
        <v>0.25</v>
      </c>
      <c r="E63" s="217">
        <f>'数据-汇总表'!E14</f>
        <v>0</v>
      </c>
      <c r="F63" s="882" t="e">
        <f t="shared" si="15"/>
        <v>#DIV/0!</v>
      </c>
      <c r="G63" s="1983" t="s">
        <v>1892</v>
      </c>
      <c r="H63" s="883" t="str">
        <f>项目基本情况!B37</f>
        <v>七级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1">
        <v>0.25</v>
      </c>
      <c r="E64" s="217">
        <f>'数据-汇总表'!E15</f>
        <v>0</v>
      </c>
      <c r="F64" s="882" t="e">
        <f t="shared" si="15"/>
        <v>#DIV/0!</v>
      </c>
      <c r="G64" s="1984" t="s">
        <v>1896</v>
      </c>
      <c r="H64" s="893">
        <f>项目基本情况!C37</f>
        <v>0</v>
      </c>
      <c r="I64" s="889">
        <f>SUMIF(修正!A57:A68,H64,修正!G57:G68)</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22413.3</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5"/>
      <c r="C69" s="1178" t="str">
        <f>YEAR(C67)&amp;"-"&amp;ROUNDUP(MONTH(C67)/3,0)</f>
        <v>2024-3</v>
      </c>
      <c r="D69" s="1178" t="str">
        <f>YEAR(D67)&amp;"-"&amp;ROUNDUP(MONTH(D67)/3,0)</f>
        <v>2024-2</v>
      </c>
      <c r="E69" s="1178" t="str">
        <f t="shared" ref="E69:O69" si="19">YEAR(E67)&amp;"-"&amp;ROUNDUP(MONTH(E67)/3,0)</f>
        <v>2024-1</v>
      </c>
      <c r="F69" s="1178" t="str">
        <f t="shared" si="19"/>
        <v>2023-4</v>
      </c>
      <c r="G69" s="1178" t="str">
        <f t="shared" si="19"/>
        <v>2023-3</v>
      </c>
      <c r="H69" s="1178" t="str">
        <f t="shared" si="19"/>
        <v>2023-2</v>
      </c>
      <c r="I69" s="1178" t="str">
        <f t="shared" si="19"/>
        <v>2023-1</v>
      </c>
      <c r="J69" s="1178" t="str">
        <f t="shared" si="19"/>
        <v>2022-4</v>
      </c>
      <c r="K69" s="1178" t="str">
        <f t="shared" si="19"/>
        <v>2022-3</v>
      </c>
      <c r="L69" s="1178" t="str">
        <f t="shared" si="19"/>
        <v>2022-2</v>
      </c>
      <c r="M69" s="1178" t="str">
        <f t="shared" si="19"/>
        <v>2022-1</v>
      </c>
      <c r="N69" s="1178" t="str">
        <f t="shared" si="19"/>
        <v>2021-4</v>
      </c>
      <c r="O69" s="1178"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48" activeCellId="1" sqref="F39:F48 N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4"/>
      <c r="D2" s="904"/>
      <c r="E2" s="904"/>
      <c r="F2" s="905"/>
      <c r="G2" s="904"/>
      <c r="H2" s="904"/>
      <c r="I2" s="904"/>
      <c r="J2" s="904"/>
      <c r="K2" s="906"/>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1"/>
      <c r="M4" s="2712"/>
      <c r="N4" s="2712"/>
      <c r="O4" s="2712"/>
      <c r="P4" s="3680" t="s">
        <v>1775</v>
      </c>
      <c r="Q4" s="3681"/>
      <c r="R4" s="3686" t="s">
        <v>1771</v>
      </c>
      <c r="S4" s="3687"/>
      <c r="T4" s="3686" t="s">
        <v>1772</v>
      </c>
      <c r="U4" s="3687"/>
      <c r="V4" s="3692" t="s">
        <v>1773</v>
      </c>
      <c r="W4" s="3692"/>
      <c r="X4" s="1351"/>
      <c r="Y4" s="3686" t="s">
        <v>1775</v>
      </c>
      <c r="Z4" s="3687"/>
      <c r="AA4" s="3673" t="s">
        <v>1771</v>
      </c>
      <c r="AB4" s="3674" t="s">
        <v>1772</v>
      </c>
      <c r="AC4" s="3673" t="s">
        <v>1773</v>
      </c>
    </row>
    <row r="5" spans="1:29" ht="15">
      <c r="A5" s="358"/>
      <c r="B5" s="359"/>
      <c r="C5" s="3695" t="s">
        <v>1673</v>
      </c>
      <c r="D5" s="3696"/>
      <c r="E5" s="3702" t="s">
        <v>1674</v>
      </c>
      <c r="F5" s="3703"/>
      <c r="G5" s="3695" t="s">
        <v>1675</v>
      </c>
      <c r="H5" s="3696"/>
      <c r="I5" s="3695" t="s">
        <v>1676</v>
      </c>
      <c r="J5" s="3696"/>
      <c r="K5" s="559"/>
      <c r="L5" s="2711"/>
      <c r="M5" s="2712"/>
      <c r="N5" s="2712"/>
      <c r="O5" s="2712"/>
      <c r="P5" s="3682"/>
      <c r="Q5" s="3683"/>
      <c r="R5" s="3688"/>
      <c r="S5" s="3689"/>
      <c r="T5" s="3688"/>
      <c r="U5" s="3689"/>
      <c r="V5" s="3692"/>
      <c r="W5" s="3692"/>
      <c r="X5" s="1351"/>
      <c r="Y5" s="3688"/>
      <c r="Z5" s="3689"/>
      <c r="AA5" s="3674"/>
      <c r="AB5" s="3674"/>
      <c r="AC5" s="3674"/>
    </row>
    <row r="6" spans="1:29" ht="15.75" thickBot="1">
      <c r="A6" s="360"/>
      <c r="B6" s="361"/>
      <c r="C6" s="3724" t="s">
        <v>1919</v>
      </c>
      <c r="D6" s="3725"/>
      <c r="E6" s="3726" t="s">
        <v>1919</v>
      </c>
      <c r="F6" s="3727"/>
      <c r="G6" s="3724" t="s">
        <v>1919</v>
      </c>
      <c r="H6" s="3725"/>
      <c r="I6" s="3724" t="s">
        <v>1919</v>
      </c>
      <c r="J6" s="3725"/>
      <c r="K6" s="559" t="s">
        <v>1678</v>
      </c>
      <c r="L6" s="2711"/>
      <c r="M6" s="2712"/>
      <c r="N6" s="2712"/>
      <c r="O6" s="2712"/>
      <c r="P6" s="3684"/>
      <c r="Q6" s="3685"/>
      <c r="R6" s="3688"/>
      <c r="S6" s="3689"/>
      <c r="T6" s="3690"/>
      <c r="U6" s="3691"/>
      <c r="V6" s="3692"/>
      <c r="W6" s="3692"/>
      <c r="X6" s="1351"/>
      <c r="Y6" s="3690"/>
      <c r="Z6" s="3691"/>
      <c r="AA6" s="3675"/>
      <c r="AB6" s="3675"/>
      <c r="AC6" s="3675"/>
    </row>
    <row r="7" spans="1:29" s="108" customFormat="1" ht="15.75" thickBot="1">
      <c r="A7" s="362" t="s">
        <v>1679</v>
      </c>
      <c r="B7" s="363"/>
      <c r="C7" s="364">
        <f>'数据-取费表'!B2</f>
        <v>45491</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697"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97" t="s">
        <v>1683</v>
      </c>
      <c r="Q8" s="3698"/>
      <c r="R8" s="701" t="s">
        <v>14</v>
      </c>
      <c r="S8" s="702">
        <f t="shared" si="0"/>
        <v>0</v>
      </c>
      <c r="T8" s="701" t="s">
        <v>14</v>
      </c>
      <c r="U8" s="702">
        <f t="shared" si="1"/>
        <v>0</v>
      </c>
      <c r="V8" s="701" t="s">
        <v>14</v>
      </c>
      <c r="W8" s="702">
        <f t="shared" si="2"/>
        <v>0</v>
      </c>
      <c r="X8" s="703"/>
      <c r="Y8" s="3697" t="s">
        <v>1683</v>
      </c>
      <c r="Z8" s="3698"/>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661" t="s">
        <v>1686</v>
      </c>
      <c r="Q9" s="1339" t="str">
        <f t="shared" ref="Q9:Q15" si="6">B9</f>
        <v>用途</v>
      </c>
      <c r="R9" s="701" t="s">
        <v>14</v>
      </c>
      <c r="S9" s="702">
        <f t="shared" si="0"/>
        <v>100</v>
      </c>
      <c r="T9" s="701" t="s">
        <v>14</v>
      </c>
      <c r="U9" s="702">
        <f t="shared" si="1"/>
        <v>100</v>
      </c>
      <c r="V9" s="701" t="s">
        <v>14</v>
      </c>
      <c r="W9" s="702">
        <f t="shared" si="2"/>
        <v>100</v>
      </c>
      <c r="X9" s="703"/>
      <c r="Y9" s="353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141</v>
      </c>
      <c r="G10" s="383"/>
      <c r="H10" s="127">
        <f>ROUND(100/'数据-取费表'!G16,0)</f>
        <v>141</v>
      </c>
      <c r="I10" s="383"/>
      <c r="J10" s="127">
        <f>ROUND(100/'数据-取费表'!G16,0)</f>
        <v>141</v>
      </c>
      <c r="K10" s="620"/>
      <c r="L10" s="2715"/>
      <c r="M10" s="2716"/>
      <c r="N10" s="2716"/>
      <c r="O10" s="2769"/>
      <c r="P10" s="3661"/>
      <c r="Q10" s="1339" t="str">
        <f t="shared" si="6"/>
        <v>土地使用年限（年）</v>
      </c>
      <c r="R10" s="701" t="s">
        <v>14</v>
      </c>
      <c r="S10" s="702">
        <f t="shared" si="0"/>
        <v>141</v>
      </c>
      <c r="T10" s="701" t="s">
        <v>14</v>
      </c>
      <c r="U10" s="702">
        <f t="shared" si="1"/>
        <v>141</v>
      </c>
      <c r="V10" s="701" t="s">
        <v>14</v>
      </c>
      <c r="W10" s="702">
        <f t="shared" si="2"/>
        <v>141</v>
      </c>
      <c r="X10" s="703"/>
      <c r="Y10" s="3536"/>
      <c r="Z10" s="52" t="str">
        <f t="shared" si="7"/>
        <v>土地使用年限（年）</v>
      </c>
      <c r="AA10" s="704">
        <f t="shared" si="3"/>
        <v>0.70921985815602839</v>
      </c>
      <c r="AB10" s="704">
        <f t="shared" si="4"/>
        <v>0.70921985815602839</v>
      </c>
      <c r="AC10" s="704">
        <f t="shared" si="5"/>
        <v>0.70921985815602839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61"/>
      <c r="Q11" s="1339" t="str">
        <f t="shared" si="6"/>
        <v>容积率</v>
      </c>
      <c r="R11" s="701" t="s">
        <v>14</v>
      </c>
      <c r="S11" s="702" t="e">
        <f t="shared" si="0"/>
        <v>#N/A</v>
      </c>
      <c r="T11" s="701" t="s">
        <v>14</v>
      </c>
      <c r="U11" s="702" t="e">
        <f t="shared" si="1"/>
        <v>#N/A</v>
      </c>
      <c r="V11" s="701" t="s">
        <v>14</v>
      </c>
      <c r="W11" s="702" t="e">
        <f t="shared" si="2"/>
        <v>#N/A</v>
      </c>
      <c r="X11" s="703"/>
      <c r="Y11" s="3536"/>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61"/>
      <c r="Q12" s="1339">
        <f t="shared" si="6"/>
        <v>111</v>
      </c>
      <c r="R12" s="701" t="s">
        <v>14</v>
      </c>
      <c r="S12" s="702">
        <f t="shared" si="0"/>
        <v>100</v>
      </c>
      <c r="T12" s="701" t="s">
        <v>14</v>
      </c>
      <c r="U12" s="702">
        <f t="shared" si="1"/>
        <v>100</v>
      </c>
      <c r="V12" s="701" t="s">
        <v>14</v>
      </c>
      <c r="W12" s="702">
        <f t="shared" si="2"/>
        <v>100</v>
      </c>
      <c r="X12" s="703"/>
      <c r="Y12" s="3536"/>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61"/>
      <c r="Q13" s="1339">
        <f t="shared" si="6"/>
        <v>111</v>
      </c>
      <c r="R13" s="701" t="s">
        <v>14</v>
      </c>
      <c r="S13" s="702">
        <f t="shared" si="0"/>
        <v>100</v>
      </c>
      <c r="T13" s="701" t="s">
        <v>14</v>
      </c>
      <c r="U13" s="702">
        <f t="shared" si="1"/>
        <v>100</v>
      </c>
      <c r="V13" s="701" t="s">
        <v>14</v>
      </c>
      <c r="W13" s="702">
        <f t="shared" si="2"/>
        <v>100</v>
      </c>
      <c r="X13" s="703"/>
      <c r="Y13" s="3536"/>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61"/>
      <c r="Q14" s="1339">
        <f t="shared" si="6"/>
        <v>111</v>
      </c>
      <c r="R14" s="701" t="s">
        <v>14</v>
      </c>
      <c r="S14" s="702">
        <f t="shared" si="0"/>
        <v>100</v>
      </c>
      <c r="T14" s="701" t="s">
        <v>14</v>
      </c>
      <c r="U14" s="702">
        <f t="shared" si="1"/>
        <v>100</v>
      </c>
      <c r="V14" s="701" t="s">
        <v>14</v>
      </c>
      <c r="W14" s="702">
        <f t="shared" si="2"/>
        <v>100</v>
      </c>
      <c r="X14" s="703"/>
      <c r="Y14" s="3536"/>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63" t="s">
        <v>1691</v>
      </c>
      <c r="Q15" s="1348" t="str">
        <f t="shared" si="6"/>
        <v>产业集聚程度</v>
      </c>
      <c r="R15" s="705" t="s">
        <v>14</v>
      </c>
      <c r="S15" s="706">
        <f t="shared" si="0"/>
        <v>100</v>
      </c>
      <c r="T15" s="705" t="s">
        <v>14</v>
      </c>
      <c r="U15" s="706">
        <f t="shared" si="1"/>
        <v>100</v>
      </c>
      <c r="V15" s="705" t="s">
        <v>14</v>
      </c>
      <c r="W15" s="706">
        <f t="shared" si="2"/>
        <v>100</v>
      </c>
      <c r="X15" s="1351"/>
      <c r="Y15" s="3663"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664"/>
      <c r="Q16" s="1348"/>
      <c r="R16" s="705"/>
      <c r="S16" s="706"/>
      <c r="T16" s="705"/>
      <c r="U16" s="706"/>
      <c r="V16" s="705"/>
      <c r="W16" s="706"/>
      <c r="X16" s="1351"/>
      <c r="Y16" s="3664"/>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64"/>
      <c r="Q17" s="1348" t="str">
        <f>B17</f>
        <v>交通便捷度</v>
      </c>
      <c r="R17" s="705" t="s">
        <v>14</v>
      </c>
      <c r="S17" s="706">
        <f>F17</f>
        <v>100</v>
      </c>
      <c r="T17" s="705" t="s">
        <v>14</v>
      </c>
      <c r="U17" s="706">
        <f>H17</f>
        <v>100</v>
      </c>
      <c r="V17" s="705" t="s">
        <v>14</v>
      </c>
      <c r="W17" s="706">
        <f>J17</f>
        <v>100</v>
      </c>
      <c r="X17" s="1351"/>
      <c r="Y17" s="3664"/>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664"/>
      <c r="Q18" s="1348"/>
      <c r="R18" s="705"/>
      <c r="S18" s="706"/>
      <c r="T18" s="705"/>
      <c r="U18" s="706"/>
      <c r="V18" s="705"/>
      <c r="W18" s="706"/>
      <c r="X18" s="1351"/>
      <c r="Y18" s="3664"/>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64"/>
      <c r="Q19" s="1348" t="str">
        <f t="shared" ref="Q19:Q33" si="8">B19</f>
        <v>区域土地利用方向</v>
      </c>
      <c r="R19" s="705" t="s">
        <v>14</v>
      </c>
      <c r="S19" s="706">
        <f>F19</f>
        <v>100</v>
      </c>
      <c r="T19" s="705" t="s">
        <v>14</v>
      </c>
      <c r="U19" s="706">
        <f>H19</f>
        <v>100</v>
      </c>
      <c r="V19" s="705" t="s">
        <v>14</v>
      </c>
      <c r="W19" s="706">
        <f>J19</f>
        <v>100</v>
      </c>
      <c r="X19" s="1351"/>
      <c r="Y19" s="3664"/>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8"/>
      <c r="M20" s="2712"/>
      <c r="N20" s="2712"/>
      <c r="O20" s="2770"/>
      <c r="P20" s="3664"/>
      <c r="Q20" s="1348"/>
      <c r="R20" s="705"/>
      <c r="S20" s="706"/>
      <c r="T20" s="705"/>
      <c r="U20" s="706"/>
      <c r="V20" s="705"/>
      <c r="W20" s="706"/>
      <c r="X20" s="1351"/>
      <c r="Y20" s="3664"/>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64"/>
      <c r="Q21" s="1348" t="str">
        <f t="shared" si="8"/>
        <v>环境状况</v>
      </c>
      <c r="R21" s="705" t="s">
        <v>14</v>
      </c>
      <c r="S21" s="706">
        <f>F21</f>
        <v>100</v>
      </c>
      <c r="T21" s="705" t="s">
        <v>14</v>
      </c>
      <c r="U21" s="706">
        <f>H21</f>
        <v>100</v>
      </c>
      <c r="V21" s="705" t="s">
        <v>14</v>
      </c>
      <c r="W21" s="706">
        <f>J21</f>
        <v>100</v>
      </c>
      <c r="X21" s="1351"/>
      <c r="Y21" s="3664"/>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664"/>
      <c r="Q22" s="1348"/>
      <c r="R22" s="705"/>
      <c r="S22" s="706"/>
      <c r="T22" s="705"/>
      <c r="U22" s="706"/>
      <c r="V22" s="705"/>
      <c r="W22" s="706"/>
      <c r="X22" s="1351"/>
      <c r="Y22" s="3664"/>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64"/>
      <c r="Q23" s="1339" t="str">
        <f t="shared" si="8"/>
        <v>公共配套设施</v>
      </c>
      <c r="R23" s="701" t="s">
        <v>14</v>
      </c>
      <c r="S23" s="702">
        <f>F23</f>
        <v>100</v>
      </c>
      <c r="T23" s="701" t="s">
        <v>14</v>
      </c>
      <c r="U23" s="702">
        <f>H23</f>
        <v>100</v>
      </c>
      <c r="V23" s="701" t="s">
        <v>14</v>
      </c>
      <c r="W23" s="702">
        <f>J23</f>
        <v>100</v>
      </c>
      <c r="X23" s="703"/>
      <c r="Y23" s="3664"/>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664"/>
      <c r="Q24" s="1339"/>
      <c r="R24" s="701"/>
      <c r="S24" s="702"/>
      <c r="T24" s="701"/>
      <c r="U24" s="702"/>
      <c r="V24" s="701"/>
      <c r="W24" s="702"/>
      <c r="X24" s="703"/>
      <c r="Y24" s="3664"/>
      <c r="Z24" s="52"/>
      <c r="AA24" s="704">
        <v>1</v>
      </c>
      <c r="AB24" s="704">
        <v>1</v>
      </c>
      <c r="AC24" s="704">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64"/>
      <c r="Q25" s="1339" t="str">
        <f t="shared" ref="Q25" si="9">B25</f>
        <v>基础设施水平</v>
      </c>
      <c r="R25" s="701" t="s">
        <v>14</v>
      </c>
      <c r="S25" s="702">
        <f>F25</f>
        <v>100</v>
      </c>
      <c r="T25" s="701" t="s">
        <v>14</v>
      </c>
      <c r="U25" s="702">
        <f>H25</f>
        <v>100</v>
      </c>
      <c r="V25" s="701" t="s">
        <v>14</v>
      </c>
      <c r="W25" s="702">
        <f>J25</f>
        <v>100</v>
      </c>
      <c r="X25" s="703"/>
      <c r="Y25" s="3664"/>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664"/>
      <c r="Q26" s="1339"/>
      <c r="R26" s="701"/>
      <c r="S26" s="702"/>
      <c r="T26" s="701"/>
      <c r="U26" s="702"/>
      <c r="V26" s="701"/>
      <c r="W26" s="702"/>
      <c r="X26" s="703"/>
      <c r="Y26" s="366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64"/>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664"/>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64"/>
      <c r="Q28" s="1348" t="str">
        <f t="shared" si="8"/>
        <v>毗邻道路的类型与等级</v>
      </c>
      <c r="R28" s="705" t="s">
        <v>14</v>
      </c>
      <c r="S28" s="706">
        <f t="shared" si="10"/>
        <v>100</v>
      </c>
      <c r="T28" s="705" t="s">
        <v>14</v>
      </c>
      <c r="U28" s="706">
        <f t="shared" si="11"/>
        <v>100</v>
      </c>
      <c r="V28" s="705" t="s">
        <v>14</v>
      </c>
      <c r="W28" s="706">
        <f t="shared" si="12"/>
        <v>100</v>
      </c>
      <c r="X28" s="1351"/>
      <c r="Y28" s="3664"/>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664"/>
      <c r="Q29" s="1348"/>
      <c r="R29" s="705"/>
      <c r="S29" s="706"/>
      <c r="T29" s="705"/>
      <c r="U29" s="706"/>
      <c r="V29" s="705"/>
      <c r="W29" s="706"/>
      <c r="X29" s="1351"/>
      <c r="Y29" s="3664"/>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64"/>
      <c r="Q30" s="1348" t="str">
        <f t="shared" si="8"/>
        <v>土地级别</v>
      </c>
      <c r="R30" s="705" t="s">
        <v>14</v>
      </c>
      <c r="S30" s="706">
        <f t="shared" si="10"/>
        <v>100</v>
      </c>
      <c r="T30" s="705" t="s">
        <v>14</v>
      </c>
      <c r="U30" s="706">
        <f t="shared" si="11"/>
        <v>100</v>
      </c>
      <c r="V30" s="705" t="s">
        <v>14</v>
      </c>
      <c r="W30" s="706">
        <f t="shared" si="12"/>
        <v>100</v>
      </c>
      <c r="X30" s="1351"/>
      <c r="Y30" s="3664"/>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64"/>
      <c r="Q31" s="1348">
        <f t="shared" si="8"/>
        <v>111</v>
      </c>
      <c r="R31" s="705" t="s">
        <v>14</v>
      </c>
      <c r="S31" s="706">
        <f t="shared" si="10"/>
        <v>100</v>
      </c>
      <c r="T31" s="705" t="s">
        <v>14</v>
      </c>
      <c r="U31" s="706">
        <f t="shared" si="11"/>
        <v>100</v>
      </c>
      <c r="V31" s="705" t="s">
        <v>14</v>
      </c>
      <c r="W31" s="706">
        <f t="shared" si="12"/>
        <v>100</v>
      </c>
      <c r="X31" s="1351"/>
      <c r="Y31" s="3664"/>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19" t="s">
        <v>1696</v>
      </c>
      <c r="Q32" s="1348">
        <f t="shared" si="8"/>
        <v>111</v>
      </c>
      <c r="R32" s="705" t="s">
        <v>14</v>
      </c>
      <c r="S32" s="706">
        <f t="shared" si="10"/>
        <v>100</v>
      </c>
      <c r="T32" s="705" t="s">
        <v>14</v>
      </c>
      <c r="U32" s="706">
        <f t="shared" si="11"/>
        <v>100</v>
      </c>
      <c r="V32" s="705" t="s">
        <v>14</v>
      </c>
      <c r="W32" s="706">
        <f t="shared" si="12"/>
        <v>100</v>
      </c>
      <c r="X32" s="1351"/>
      <c r="Y32" s="3668"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68"/>
      <c r="Q33" s="1348">
        <f t="shared" si="8"/>
        <v>111</v>
      </c>
      <c r="R33" s="708" t="s">
        <v>14</v>
      </c>
      <c r="S33" s="709">
        <f t="shared" si="10"/>
        <v>100</v>
      </c>
      <c r="T33" s="708" t="s">
        <v>14</v>
      </c>
      <c r="U33" s="709">
        <f t="shared" si="11"/>
        <v>100</v>
      </c>
      <c r="V33" s="708" t="s">
        <v>14</v>
      </c>
      <c r="W33" s="709">
        <f t="shared" si="12"/>
        <v>100</v>
      </c>
      <c r="X33" s="710"/>
      <c r="Y33" s="3668"/>
      <c r="Z33" s="711">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68"/>
      <c r="Q34" s="1348" t="str">
        <f>B34</f>
        <v>宗地面积</v>
      </c>
      <c r="R34" s="705" t="s">
        <v>14</v>
      </c>
      <c r="S34" s="706" t="e">
        <f t="shared" si="10"/>
        <v>#N/A</v>
      </c>
      <c r="T34" s="705" t="s">
        <v>14</v>
      </c>
      <c r="U34" s="706" t="e">
        <f t="shared" si="11"/>
        <v>#N/A</v>
      </c>
      <c r="V34" s="705" t="s">
        <v>14</v>
      </c>
      <c r="W34" s="706" t="e">
        <f t="shared" si="12"/>
        <v>#N/A</v>
      </c>
      <c r="X34" s="1351"/>
      <c r="Y34" s="3668"/>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668"/>
      <c r="Q35" s="1348" t="str">
        <f t="shared" ref="Q35:Q40" si="14">B35</f>
        <v>宗地形状</v>
      </c>
      <c r="R35" s="705" t="s">
        <v>14</v>
      </c>
      <c r="S35" s="706">
        <f t="shared" si="10"/>
        <v>100</v>
      </c>
      <c r="T35" s="705" t="s">
        <v>14</v>
      </c>
      <c r="U35" s="706">
        <f t="shared" si="11"/>
        <v>100</v>
      </c>
      <c r="V35" s="705" t="s">
        <v>14</v>
      </c>
      <c r="W35" s="706">
        <f t="shared" si="12"/>
        <v>100</v>
      </c>
      <c r="X35" s="1351"/>
      <c r="Y35" s="3668"/>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668"/>
      <c r="Q36" s="1348" t="str">
        <f t="shared" si="14"/>
        <v>宗地开发程度</v>
      </c>
      <c r="R36" s="701" t="s">
        <v>14</v>
      </c>
      <c r="S36" s="702">
        <f t="shared" si="10"/>
        <v>100</v>
      </c>
      <c r="T36" s="701" t="s">
        <v>14</v>
      </c>
      <c r="U36" s="702">
        <f t="shared" si="11"/>
        <v>100</v>
      </c>
      <c r="V36" s="701" t="s">
        <v>14</v>
      </c>
      <c r="W36" s="702">
        <f t="shared" si="12"/>
        <v>100</v>
      </c>
      <c r="X36" s="703"/>
      <c r="Y36" s="3668"/>
      <c r="Z36" s="52" t="str">
        <f t="shared" si="13"/>
        <v>宗地开发程度</v>
      </c>
      <c r="AA36" s="704">
        <f t="shared" si="3"/>
        <v>1</v>
      </c>
      <c r="AB36" s="704">
        <f t="shared" si="4"/>
        <v>1</v>
      </c>
      <c r="AC36" s="704">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668" t="s">
        <v>1696</v>
      </c>
      <c r="Q37" s="1348" t="str">
        <f t="shared" si="14"/>
        <v>工程地质条件</v>
      </c>
      <c r="R37" s="705" t="s">
        <v>14</v>
      </c>
      <c r="S37" s="706">
        <f t="shared" si="10"/>
        <v>100</v>
      </c>
      <c r="T37" s="705" t="s">
        <v>14</v>
      </c>
      <c r="U37" s="706">
        <f t="shared" si="11"/>
        <v>100</v>
      </c>
      <c r="V37" s="705" t="s">
        <v>14</v>
      </c>
      <c r="W37" s="706">
        <f t="shared" si="12"/>
        <v>100</v>
      </c>
      <c r="X37" s="1351"/>
      <c r="Y37" s="3668"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68"/>
      <c r="Q38" s="1348">
        <f t="shared" si="14"/>
        <v>111</v>
      </c>
      <c r="R38" s="705" t="s">
        <v>14</v>
      </c>
      <c r="S38" s="706">
        <f t="shared" si="10"/>
        <v>100</v>
      </c>
      <c r="T38" s="705" t="s">
        <v>14</v>
      </c>
      <c r="U38" s="706">
        <f t="shared" si="11"/>
        <v>100</v>
      </c>
      <c r="V38" s="705" t="s">
        <v>14</v>
      </c>
      <c r="W38" s="706">
        <f t="shared" si="12"/>
        <v>100</v>
      </c>
      <c r="X38" s="1351"/>
      <c r="Y38" s="3668"/>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68"/>
      <c r="Q39" s="1348">
        <f t="shared" si="14"/>
        <v>111</v>
      </c>
      <c r="R39" s="705" t="s">
        <v>14</v>
      </c>
      <c r="S39" s="706">
        <f t="shared" si="10"/>
        <v>100</v>
      </c>
      <c r="T39" s="705" t="s">
        <v>14</v>
      </c>
      <c r="U39" s="706">
        <f t="shared" si="11"/>
        <v>100</v>
      </c>
      <c r="V39" s="705" t="s">
        <v>14</v>
      </c>
      <c r="W39" s="706">
        <f t="shared" si="12"/>
        <v>100</v>
      </c>
      <c r="X39" s="1351"/>
      <c r="Y39" s="3668"/>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68"/>
      <c r="Q40" s="1348">
        <f t="shared" si="14"/>
        <v>111</v>
      </c>
      <c r="R40" s="708" t="s">
        <v>14</v>
      </c>
      <c r="S40" s="709">
        <f t="shared" si="10"/>
        <v>100</v>
      </c>
      <c r="T40" s="708" t="s">
        <v>14</v>
      </c>
      <c r="U40" s="709">
        <f t="shared" si="11"/>
        <v>100</v>
      </c>
      <c r="V40" s="708" t="s">
        <v>14</v>
      </c>
      <c r="W40" s="709">
        <f t="shared" si="12"/>
        <v>100</v>
      </c>
      <c r="X40" s="710"/>
      <c r="Y40" s="3668"/>
      <c r="Z40" s="711">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4"/>
      <c r="L41" s="2720"/>
      <c r="M41" s="2712"/>
      <c r="N41" s="2712"/>
      <c r="O41" s="2721"/>
      <c r="P41" s="3661" t="str">
        <f>A41</f>
        <v>成交单价</v>
      </c>
      <c r="Q41" s="3661"/>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661" t="str">
        <f>A42</f>
        <v>比较价值（元/平方米）</v>
      </c>
      <c r="Q42" s="3661"/>
      <c r="R42" s="3721" t="e">
        <f>ROUND(PRODUCT(R41,AA7:AA40),0)</f>
        <v>#DIV/0!</v>
      </c>
      <c r="S42" s="3721"/>
      <c r="T42" s="3721" t="e">
        <f>ROUND(PRODUCT(T41,AB7:AB40),0)</f>
        <v>#DIV/0!</v>
      </c>
      <c r="U42" s="3721"/>
      <c r="V42" s="3721" t="e">
        <f>ROUND(PRODUCT(V41,AC7:AC40),0)</f>
        <v>#DIV/0!</v>
      </c>
      <c r="W42" s="372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58" t="str">
        <f>A43</f>
        <v>估价对象XX用房的比较价值（楼面单价，元/平方米）</v>
      </c>
      <c r="Q43" s="3659"/>
      <c r="R43" s="3722" t="e">
        <f>ROUND(IF(D42="简单平均",AVERAGE(R42:W42),R42*F42+T42*H42+V42*J42),0)</f>
        <v>#DIV/0!</v>
      </c>
      <c r="S43" s="3722"/>
      <c r="T43" s="3722"/>
      <c r="U43" s="3722"/>
      <c r="V43" s="3722"/>
      <c r="W43" s="3722"/>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676" t="s">
        <v>1887</v>
      </c>
      <c r="H50" s="3723"/>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0">
        <v>1</v>
      </c>
      <c r="E51" s="638">
        <f>'数据-汇总表'!E8+'数据-汇总表'!E9</f>
        <v>22413.3</v>
      </c>
      <c r="F51" s="639" t="e">
        <f t="shared" ref="F51:F60" si="15">ROUND(B51*E51/10000,0)</f>
        <v>#DIV/0!</v>
      </c>
      <c r="G51" s="3672"/>
      <c r="H51" s="3661"/>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0.6</v>
      </c>
      <c r="D52" s="941">
        <v>0.25</v>
      </c>
      <c r="E52" s="642"/>
      <c r="F52" s="639" t="e">
        <f t="shared" si="15"/>
        <v>#DIV/0!</v>
      </c>
      <c r="G52" s="3002" t="s">
        <v>1892</v>
      </c>
      <c r="H52" s="883" t="str">
        <f>项目基本情况!B37</f>
        <v>七级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0.3</v>
      </c>
      <c r="D53" s="941">
        <v>0.25</v>
      </c>
      <c r="E53" s="642"/>
      <c r="F53" s="639" t="e">
        <f t="shared" si="15"/>
        <v>#DIV/0!</v>
      </c>
      <c r="G53" s="3003"/>
      <c r="H53" s="883" t="str">
        <f>项目基本情况!B37</f>
        <v>七级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0.25</v>
      </c>
      <c r="D54" s="941">
        <v>0.25</v>
      </c>
      <c r="E54" s="642"/>
      <c r="F54" s="639" t="e">
        <f t="shared" si="15"/>
        <v>#DIV/0!</v>
      </c>
      <c r="G54" s="3003"/>
      <c r="H54" s="883" t="str">
        <f>项目基本情况!B37</f>
        <v>七级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1"/>
      <c r="E55" s="642"/>
      <c r="F55" s="639"/>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1">
        <v>0.25</v>
      </c>
      <c r="E56" s="217">
        <f>'数据-汇总表'!E11</f>
        <v>0</v>
      </c>
      <c r="F56" s="639" t="e">
        <f t="shared" si="15"/>
        <v>#DIV/0!</v>
      </c>
      <c r="G56" s="1983" t="s">
        <v>1896</v>
      </c>
      <c r="H56" s="883">
        <f>项目基本情况!C37</f>
        <v>0</v>
      </c>
      <c r="I56" s="769">
        <f>SUMIF(修正!A57:A68,H56,修正!E57:E68)</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1">
        <v>0.25</v>
      </c>
      <c r="E57" s="217">
        <f>'数据-汇总表'!E12</f>
        <v>0</v>
      </c>
      <c r="F57" s="639" t="e">
        <f t="shared" si="15"/>
        <v>#DIV/0!</v>
      </c>
      <c r="G57" s="888" t="s">
        <v>1898</v>
      </c>
      <c r="H57" s="883">
        <f>IF(G57="商业",项目基本情况!B37,IF(G57="办公",项目基本情况!C37,IF(G57="住宅",项目基本情况!D37,项目基本情况!E37)))</f>
        <v>0</v>
      </c>
      <c r="I57" s="769">
        <f>SUMIF(修正!A57:A68,H57,修正!F57:F68)</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1">
        <v>0.25</v>
      </c>
      <c r="E58" s="217">
        <f>'数据-汇总表'!E13</f>
        <v>0</v>
      </c>
      <c r="F58" s="639" t="e">
        <f t="shared" si="15"/>
        <v>#DIV/0!</v>
      </c>
      <c r="G58" s="888" t="s">
        <v>1900</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0.15</v>
      </c>
      <c r="D59" s="941">
        <v>0.25</v>
      </c>
      <c r="E59" s="217">
        <f>'数据-汇总表'!E14</f>
        <v>0</v>
      </c>
      <c r="F59" s="639" t="e">
        <f t="shared" si="15"/>
        <v>#DIV/0!</v>
      </c>
      <c r="G59" s="1983" t="s">
        <v>1892</v>
      </c>
      <c r="H59" s="883" t="str">
        <f>项目基本情况!B37</f>
        <v>七级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1">
        <v>0.25</v>
      </c>
      <c r="E60" s="217">
        <f>'数据-汇总表'!E15</f>
        <v>0</v>
      </c>
      <c r="F60" s="639" t="e">
        <f t="shared" si="15"/>
        <v>#DIV/0!</v>
      </c>
      <c r="G60" s="1984" t="s">
        <v>1896</v>
      </c>
      <c r="H60" s="893">
        <f>项目基本情况!C37</f>
        <v>0</v>
      </c>
      <c r="I60" s="769">
        <f>SUMIF(修正!A57:A68,H60,修正!G57:G68)</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7478.47</v>
      </c>
      <c r="F61" s="645"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36"/>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5"/>
      <c r="C65" s="1178" t="str">
        <f>YEAR(C63)&amp;"-"&amp;ROUNDUP(MONTH(C63)/3,0)</f>
        <v>2024-3</v>
      </c>
      <c r="D65" s="1178" t="str">
        <f t="shared" ref="D65:O65" si="19">YEAR(D63)&amp;"-"&amp;ROUNDUP(MONTH(D63)/3,0)</f>
        <v>2024-2</v>
      </c>
      <c r="E65" s="1178" t="str">
        <f t="shared" si="19"/>
        <v>2024-1</v>
      </c>
      <c r="F65" s="1178" t="str">
        <f t="shared" si="19"/>
        <v>2023-4</v>
      </c>
      <c r="G65" s="1178" t="str">
        <f t="shared" si="19"/>
        <v>2023-3</v>
      </c>
      <c r="H65" s="1178" t="str">
        <f t="shared" si="19"/>
        <v>2023-2</v>
      </c>
      <c r="I65" s="1178" t="str">
        <f t="shared" si="19"/>
        <v>2023-1</v>
      </c>
      <c r="J65" s="1178" t="str">
        <f t="shared" si="19"/>
        <v>2022-4</v>
      </c>
      <c r="K65" s="1178" t="str">
        <f t="shared" si="19"/>
        <v>2022-3</v>
      </c>
      <c r="L65" s="1178" t="str">
        <f t="shared" si="19"/>
        <v>2022-2</v>
      </c>
      <c r="M65" s="1178" t="str">
        <f t="shared" si="19"/>
        <v>2022-1</v>
      </c>
      <c r="N65" s="1178" t="str">
        <f t="shared" si="19"/>
        <v>2021-4</v>
      </c>
      <c r="O65" s="1178"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2083</v>
      </c>
      <c r="C1" s="3731" t="s">
        <v>2084</v>
      </c>
      <c r="D1" s="3732"/>
      <c r="E1" s="3732"/>
      <c r="F1" s="3732"/>
      <c r="G1" s="3732"/>
      <c r="H1" s="3732"/>
      <c r="I1" s="3732"/>
      <c r="J1" s="3732"/>
      <c r="K1" s="3732"/>
      <c r="L1" s="3732"/>
      <c r="M1" s="3732"/>
      <c r="N1" s="3732"/>
      <c r="O1" s="3732"/>
      <c r="P1" s="3732"/>
      <c r="Q1" s="3732"/>
      <c r="R1" s="3732"/>
      <c r="S1" s="3733"/>
      <c r="T1" s="979" t="s">
        <v>2085</v>
      </c>
    </row>
    <row r="2" spans="1:45" s="655" customFormat="1">
      <c r="A2" s="980"/>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2095</v>
      </c>
      <c r="E19" s="1336"/>
      <c r="F19" s="1336"/>
      <c r="G19" s="1336"/>
      <c r="H19" s="1055"/>
      <c r="I19" s="159"/>
      <c r="J19" s="159"/>
      <c r="K19" s="159"/>
      <c r="L19" s="159"/>
      <c r="M19" s="159"/>
      <c r="N19" s="159"/>
      <c r="O19" s="159"/>
      <c r="P19" s="159"/>
      <c r="Q19" s="159"/>
      <c r="R19" s="718"/>
      <c r="S19" s="129"/>
    </row>
    <row r="20" spans="1:45" ht="16.5" thickBot="1">
      <c r="A20" s="662" t="s">
        <v>2096</v>
      </c>
      <c r="B20" s="294" t="e">
        <f ca="1">IF(D20="——",S22,S22-F20)</f>
        <v>#REF!</v>
      </c>
      <c r="C20" s="159"/>
      <c r="D20" s="2147"/>
      <c r="E20" s="1337"/>
      <c r="F20" s="979" t="e">
        <f ca="1">SUMIF(INDIRECT("'"&amp;H20&amp;"'"&amp;"!A:A"),"承租人权益价值",INDIRECT("'"&amp;H20&amp;"'"&amp;"!c:c"))</f>
        <v>#REF!</v>
      </c>
      <c r="G20" s="979"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28" t="s">
        <v>27</v>
      </c>
      <c r="D22" s="3729"/>
      <c r="E22" s="3729"/>
      <c r="F22" s="3729"/>
      <c r="G22" s="3729"/>
      <c r="H22" s="3729"/>
      <c r="I22" s="3729"/>
      <c r="J22" s="3729"/>
      <c r="K22" s="3729"/>
      <c r="L22" s="3729"/>
      <c r="M22" s="3729"/>
      <c r="N22" s="3729"/>
      <c r="O22" s="3729"/>
      <c r="P22" s="3729"/>
      <c r="Q22" s="373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13582</v>
      </c>
      <c r="C2" s="2141" t="s">
        <v>2074</v>
      </c>
      <c r="D2" s="2141" t="s">
        <v>2075</v>
      </c>
      <c r="E2" s="2608">
        <f ca="1">SUMIF(E6:E13,"&lt;&gt;#ref!",E6:E13)</f>
        <v>24230.799999999999</v>
      </c>
      <c r="F2" s="2789"/>
      <c r="G2" s="2789"/>
      <c r="H2" s="2789"/>
      <c r="I2" s="2789"/>
      <c r="J2" s="2789"/>
      <c r="K2" s="2789"/>
      <c r="L2" s="2789"/>
      <c r="M2" s="2789"/>
      <c r="N2" s="2789"/>
      <c r="O2" s="2789"/>
      <c r="P2" s="2789"/>
    </row>
    <row r="3" spans="1:16" ht="15.75">
      <c r="A3" s="2141" t="s">
        <v>2076</v>
      </c>
      <c r="B3" s="2598">
        <f ca="1">ROUND(B2*10000/E2,0)</f>
        <v>5605</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13582</v>
      </c>
      <c r="C6" s="2141" t="s">
        <v>2074</v>
      </c>
      <c r="D6" s="2789"/>
      <c r="E6" s="2608">
        <f ca="1">SUMIF(INDIRECT("'"&amp;A6&amp;"'"&amp;"!C:C"),"建筑面积",INDIRECT("'"&amp;A6&amp;"'"&amp;"!D:D"))</f>
        <v>24230.799999999999</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P41" sqref="P41"/>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1926</v>
      </c>
      <c r="B1" s="197"/>
      <c r="C1" s="201" t="s">
        <v>1927</v>
      </c>
      <c r="D1" s="342">
        <f>SUM(D33:D34,D37:D42)</f>
        <v>24230.799999999999</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f>C30</f>
        <v>13582</v>
      </c>
      <c r="C2" s="1995" t="s">
        <v>1935</v>
      </c>
      <c r="D2" s="1996" t="s">
        <v>1936</v>
      </c>
      <c r="E2" s="3418" t="s">
        <v>673</v>
      </c>
      <c r="F2" s="1996" t="s">
        <v>1937</v>
      </c>
      <c r="G2" s="1997" t="str">
        <f>IF(E2="商业",项目基本情况!B37,IF(E2="办公",项目基本情况!C37,IF(E2="住宅",项目基本情况!D37,IF(E2="工业",项目基本情况!E37,项目基本情况!F37))))</f>
        <v>七级</v>
      </c>
      <c r="H2" s="1996" t="s">
        <v>1938</v>
      </c>
      <c r="I2" s="1997" t="str">
        <f>IF(E2="商业",项目基本情况!B38,IF(E2="办公",项目基本情况!C38,IF(E2="住宅",项目基本情况!D38,IF(E2="工业",项目基本情况!E38,项目基本情况!F38))))</f>
        <v>Ⅶ-房1</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8909</v>
      </c>
      <c r="U2" s="1209">
        <f>'数据-汇总表'!F19</f>
        <v>22413.3</v>
      </c>
      <c r="V2" s="3357">
        <f>ROUND(T2*U2/10000,0)</f>
        <v>19968</v>
      </c>
      <c r="W2" s="1212"/>
      <c r="X2" s="1212"/>
      <c r="Y2" s="1212"/>
      <c r="Z2" s="1212"/>
      <c r="AA2" s="1212"/>
      <c r="AB2" s="1212"/>
      <c r="AC2" s="1213"/>
      <c r="AD2" s="1214"/>
      <c r="AE2" s="1214"/>
      <c r="AF2" s="1214"/>
      <c r="AG2" s="1214"/>
      <c r="AH2" s="1214"/>
      <c r="AI2" s="1214"/>
      <c r="AJ2" s="1215"/>
    </row>
    <row r="3" spans="1:36" ht="15.75">
      <c r="A3" s="203" t="s">
        <v>1940</v>
      </c>
      <c r="B3" s="204">
        <f>ROUND(B2*10000/D1,0)</f>
        <v>5605</v>
      </c>
      <c r="C3" s="1995" t="s">
        <v>1941</v>
      </c>
      <c r="D3" s="1996" t="s">
        <v>1942</v>
      </c>
      <c r="E3" s="3416" t="s">
        <v>2443</v>
      </c>
      <c r="F3" s="2000" t="s">
        <v>3406</v>
      </c>
      <c r="G3" s="748">
        <f>IF(F3="宗地容积率",'数据-汇总表'!I4,IF(F3="估价对象容积率",'数据-汇总表'!I6,'数据-汇总表'!I7))</f>
        <v>3</v>
      </c>
      <c r="H3" s="170" t="s">
        <v>1943</v>
      </c>
      <c r="I3" s="771">
        <v>1</v>
      </c>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1.1838</v>
      </c>
      <c r="T3" s="3357">
        <f t="shared" si="0"/>
        <v>7022</v>
      </c>
      <c r="U3" s="1209">
        <f>'数据-汇总表'!F20</f>
        <v>0</v>
      </c>
      <c r="V3" s="3357">
        <f t="shared" ref="V3:V16" si="1">ROUND(T3*U3/10000,0)</f>
        <v>0</v>
      </c>
      <c r="W3" s="1212"/>
      <c r="X3" s="1212"/>
      <c r="Y3" s="1212"/>
      <c r="Z3" s="1212"/>
      <c r="AA3" s="1212"/>
      <c r="AB3" s="1212"/>
      <c r="AC3" s="1213"/>
      <c r="AD3" s="1214"/>
      <c r="AE3" s="1214"/>
      <c r="AF3" s="1214"/>
      <c r="AG3" s="1214"/>
      <c r="AH3" s="1214"/>
      <c r="AI3" s="1214"/>
      <c r="AJ3" s="1215"/>
    </row>
    <row r="4" spans="1:36" ht="15.75">
      <c r="A4" s="3741"/>
      <c r="B4" s="3742"/>
      <c r="C4" s="3742"/>
      <c r="D4" s="3743"/>
      <c r="E4" s="3743"/>
      <c r="F4" s="3743"/>
      <c r="G4" s="3743"/>
      <c r="H4" s="3743"/>
      <c r="I4" s="3743"/>
      <c r="J4" s="3744"/>
      <c r="K4" s="1115"/>
      <c r="L4" s="1999" t="s">
        <v>1946</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5935</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49">
        <f>ROUND(IF(E2="商业",C6*C7*C17+C20,(IF(E2="住宅",C6*C13*C17+C20,IF(E2="办公",C6*C12*C17+C20,C6+C20)))),0)</f>
        <v>8440</v>
      </c>
      <c r="D5" s="1335">
        <f>ROUND(C6*C17+C20,0)</f>
        <v>8440</v>
      </c>
      <c r="E5" s="1335"/>
      <c r="F5" s="2003"/>
      <c r="G5" s="2004"/>
      <c r="H5" s="2004"/>
      <c r="I5" s="2004"/>
      <c r="J5" s="2005"/>
      <c r="K5" s="2006"/>
      <c r="L5" s="1999" t="s">
        <v>1948</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5234</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1949</v>
      </c>
      <c r="B6" s="2012" t="s">
        <v>1950</v>
      </c>
      <c r="C6" s="750">
        <f>SUMIF(L1:L12,G2,M1:M12)</f>
        <v>8440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5030</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3235</v>
      </c>
      <c r="B7" s="2017" t="s">
        <v>1952</v>
      </c>
      <c r="C7" s="751">
        <f>IF(C8="不临65条商业街",1,ROUND(1+(1.6*E8+1.2*E9+0.8*E10+0.4*E11)*C9,4))</f>
        <v>1</v>
      </c>
      <c r="D7" s="2018" t="s">
        <v>1953</v>
      </c>
      <c r="E7" s="772"/>
      <c r="F7" s="2019"/>
      <c r="G7" s="2020"/>
      <c r="H7" s="2020"/>
      <c r="I7" s="2020"/>
      <c r="J7" s="2021"/>
      <c r="K7" s="1380"/>
      <c r="L7" s="1999" t="s">
        <v>1954</v>
      </c>
      <c r="M7" s="860">
        <f>SUMPRODUCT((区片价!B190:B233=I2)*(区片价!C3:G3=E2)*(区片价!C190:G233))</f>
        <v>8440</v>
      </c>
      <c r="N7" s="862">
        <f>SUMPRODUCT((因素修正幅度!B190:B233=I2)*(因素修正幅度!C3:G3=E2)*(因素修正幅度!C190:G233))</f>
        <v>0.13</v>
      </c>
      <c r="O7" s="1115"/>
      <c r="P7" s="1115"/>
      <c r="Q7" s="1115"/>
      <c r="R7" s="1208">
        <v>6</v>
      </c>
      <c r="S7" s="3415"/>
      <c r="T7" s="3357">
        <f t="shared" si="0"/>
        <v>0</v>
      </c>
      <c r="U7" s="1209"/>
      <c r="V7" s="3357">
        <f t="shared" si="1"/>
        <v>0</v>
      </c>
      <c r="W7" s="1354" t="s">
        <v>1955</v>
      </c>
      <c r="X7" s="1210" t="str">
        <f>G2</f>
        <v>七级</v>
      </c>
      <c r="Y7" s="1210" t="s">
        <v>1956</v>
      </c>
      <c r="Z7" s="1211">
        <f>G3</f>
        <v>3</v>
      </c>
      <c r="AA7" s="1212"/>
      <c r="AB7" s="1212"/>
      <c r="AC7" s="1213"/>
      <c r="AD7" s="1214"/>
      <c r="AE7" s="1214"/>
      <c r="AF7" s="1214"/>
      <c r="AG7" s="1214"/>
      <c r="AH7" s="1214"/>
      <c r="AI7" s="1214"/>
      <c r="AJ7" s="1215"/>
    </row>
    <row r="8" spans="1:36" ht="25.5">
      <c r="A8" s="3295"/>
      <c r="B8" s="170" t="s">
        <v>1957</v>
      </c>
      <c r="C8" s="2022" t="s">
        <v>3395</v>
      </c>
      <c r="D8" s="752" t="s">
        <v>112</v>
      </c>
      <c r="E8" s="753" t="e">
        <f>ROUND(C11/E7,4)</f>
        <v>#DIV/0!</v>
      </c>
      <c r="F8" s="2023" t="s">
        <v>1958</v>
      </c>
      <c r="G8" s="2024"/>
      <c r="H8" s="2024"/>
      <c r="I8" s="2024"/>
      <c r="J8" s="2025"/>
      <c r="K8" s="1115"/>
      <c r="L8" s="1999" t="s">
        <v>1959</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38" t="s">
        <v>1960</v>
      </c>
      <c r="X8" s="3739"/>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70" t="s">
        <v>1973</v>
      </c>
      <c r="C9" s="754">
        <f>SUMIF(修正!C71:C138,C8,修正!E71:E138)</f>
        <v>0</v>
      </c>
      <c r="D9" s="171" t="s">
        <v>113</v>
      </c>
      <c r="E9" s="171" t="e">
        <f>ROUND(C11/E7,4)</f>
        <v>#DIV/0!</v>
      </c>
      <c r="F9" s="2023" t="s">
        <v>1974</v>
      </c>
      <c r="G9" s="2024"/>
      <c r="H9" s="2024"/>
      <c r="I9" s="2024"/>
      <c r="J9" s="2025"/>
      <c r="K9" s="1115"/>
      <c r="L9" s="1999" t="s">
        <v>1975</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40"/>
      <c r="X9" s="3358" t="s">
        <v>3265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5"/>
      <c r="L10" s="1999"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74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3236</v>
      </c>
      <c r="B12" s="3301" t="s">
        <v>3237</v>
      </c>
      <c r="C12" s="3302"/>
      <c r="D12" s="3303" t="s">
        <v>3238</v>
      </c>
      <c r="E12" s="3304" t="s">
        <v>3239</v>
      </c>
      <c r="F12" s="3305"/>
      <c r="G12" s="3306"/>
      <c r="H12" s="3306"/>
      <c r="I12" s="3306"/>
      <c r="J12" s="3307"/>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3240</v>
      </c>
      <c r="B13" s="2030" t="s">
        <v>1982</v>
      </c>
      <c r="C13" s="751">
        <f>ROUND(C16*D16*E16*F16*G16*H16*I16*J16,4)</f>
        <v>0</v>
      </c>
      <c r="D13" s="2031" t="s">
        <v>1983</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1985</v>
      </c>
      <c r="C14" s="2037" t="s">
        <v>1986</v>
      </c>
      <c r="D14" s="1346" t="s">
        <v>1987</v>
      </c>
      <c r="E14" s="27" t="s">
        <v>1988</v>
      </c>
      <c r="F14" s="3308" t="s">
        <v>3241</v>
      </c>
      <c r="G14" s="3308" t="s">
        <v>3241</v>
      </c>
      <c r="H14" s="3308" t="s">
        <v>3241</v>
      </c>
      <c r="I14" s="3308" t="s">
        <v>3241</v>
      </c>
      <c r="J14" s="3308" t="s">
        <v>3241</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3242</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3243</v>
      </c>
      <c r="B17" s="3317" t="s">
        <v>3244</v>
      </c>
      <c r="C17" s="3327">
        <f>ROUND(IF(OR(E2="工业",E2="公共服务"),1,IF(AND(E18=0,E19=0),1,IF(AND(E18=J24,E19=G19),0.8,IF(E19=0,1+E17*(-0.2),1+E17*G17*(-0.2))))),4)</f>
        <v>1</v>
      </c>
      <c r="D17" s="3318" t="s">
        <v>3245</v>
      </c>
      <c r="E17" s="3327">
        <f>ROUND(G18/I18,2)</f>
        <v>0</v>
      </c>
      <c r="F17" s="3318" t="s">
        <v>3248</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3246</v>
      </c>
      <c r="E18" s="3325"/>
      <c r="F18" s="3320" t="s">
        <v>3249</v>
      </c>
      <c r="G18" s="3324">
        <f>ROUND(1-(1/(POWER(1+G24,E18))),4)</f>
        <v>0</v>
      </c>
      <c r="H18" s="3320" t="s">
        <v>3251</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3247</v>
      </c>
      <c r="E19" s="3334"/>
      <c r="F19" s="3335" t="s">
        <v>3250</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745" t="s">
        <v>3252</v>
      </c>
      <c r="B20" s="167" t="s">
        <v>1994</v>
      </c>
      <c r="C20" s="3321">
        <f>ROUND(IF(F21="与级别开发程度一致",0,(G21-E21)/C21),0)</f>
        <v>0</v>
      </c>
      <c r="D20" s="3337" t="s">
        <v>1998</v>
      </c>
      <c r="E20" s="3338"/>
      <c r="F20" s="3751" t="s">
        <v>1995</v>
      </c>
      <c r="G20" s="3752"/>
      <c r="H20" s="3322" t="s">
        <v>3407</v>
      </c>
      <c r="I20" s="3322" t="s">
        <v>3408</v>
      </c>
      <c r="J20" s="3323" t="s">
        <v>3409</v>
      </c>
      <c r="K20" s="2043" t="s">
        <v>3410</v>
      </c>
      <c r="L20" s="2043" t="s">
        <v>3412</v>
      </c>
      <c r="M20" s="2043" t="s">
        <v>3411</v>
      </c>
      <c r="N20" s="2043" t="s">
        <v>3413</v>
      </c>
      <c r="O20" s="2044" t="s">
        <v>3414</v>
      </c>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746"/>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3396</v>
      </c>
      <c r="G21" s="2153">
        <f>SUM(H21:O21)</f>
        <v>315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50</v>
      </c>
      <c r="N21" s="2161">
        <f>SUMPRODUCT((七通一平=N20)*(修正!B1:M1=G2)*(修正!B8:M16))</f>
        <v>40</v>
      </c>
      <c r="O21" s="2163">
        <f>SUMPRODUCT((七通一平=O20)*(修正!B1:M1=G2)*(修正!B8:M16))</f>
        <v>15</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2000</v>
      </c>
      <c r="C22" s="2156">
        <f>SUMIF(修正!C20:C51,E3,修正!E20:E51)</f>
        <v>0.9</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2001</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1.0465</v>
      </c>
      <c r="D23" s="2050" t="s">
        <v>2002</v>
      </c>
      <c r="E23" s="757">
        <v>44197</v>
      </c>
      <c r="F23" s="2050" t="s">
        <v>2003</v>
      </c>
      <c r="G23" s="758">
        <f>'数据-取费表'!B2</f>
        <v>45491</v>
      </c>
      <c r="H23" s="3339" t="s">
        <v>3253</v>
      </c>
      <c r="I23" s="3340" t="str">
        <f>IF(H23="季度增幅（自定义）",SUMIF(N25:N28,E2,O25:O28),"")</f>
        <v/>
      </c>
      <c r="J23" s="3442" t="s">
        <v>3397</v>
      </c>
      <c r="K23" s="1121"/>
      <c r="L23" s="2051" t="s">
        <v>2004</v>
      </c>
      <c r="M23" s="1324">
        <f>ROUND(SUMIF(地价!B2:G2,E2,地价!B16:G16),0)</f>
        <v>350</v>
      </c>
      <c r="N23" s="2052" t="s">
        <v>2005</v>
      </c>
      <c r="O23" s="759">
        <f>ROUNDDOWN(DATEDIF(E23,G23,"M")/3,0)</f>
        <v>14</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2006</v>
      </c>
      <c r="C24" s="760">
        <f>ROUND(POWER(1+G24,J24-I24)*(POWER(1+G24,I24)-1)/(POWER(1+G24,J24)-1),4)</f>
        <v>0.72599999999999998</v>
      </c>
      <c r="D24" s="2056" t="s">
        <v>2007</v>
      </c>
      <c r="E24" s="1331">
        <f>存贷款利率!E24/100</f>
        <v>4.3499999999999997E-2</v>
      </c>
      <c r="F24" s="2056" t="s">
        <v>1999</v>
      </c>
      <c r="G24" s="764">
        <f>SUMIF(M30:Q30,E2,M33:Q33)</f>
        <v>5.5E-2</v>
      </c>
      <c r="H24" s="2056" t="s">
        <v>2008</v>
      </c>
      <c r="I24" s="765">
        <f>SUMIF('数据-取费表'!C6:C15,E2,'数据-取费表'!F6:F15)/COUNTIF('数据-取费表'!C6:C15,E2)</f>
        <v>19.12</v>
      </c>
      <c r="J24" s="766">
        <f>IF(E2="住宅",70,IF(E2="商业",40,50))</f>
        <v>40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3415</v>
      </c>
      <c r="C25" s="767">
        <f>IF(B25="容积率修正",IF(G3&lt;10,D26,J26),C27)</f>
        <v>0.97299999999999998</v>
      </c>
      <c r="D25" s="2063"/>
      <c r="E25" s="2063"/>
      <c r="F25" s="2063"/>
      <c r="G25" s="2063"/>
      <c r="H25" s="2063"/>
      <c r="I25" s="2063"/>
      <c r="J25" s="2064"/>
      <c r="K25" s="1121"/>
      <c r="L25" s="2784"/>
      <c r="M25" s="2784"/>
      <c r="N25" s="2065" t="s">
        <v>2013</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2014</v>
      </c>
      <c r="B26" s="2066" t="s">
        <v>2015</v>
      </c>
      <c r="C26" s="3341" t="s">
        <v>3254</v>
      </c>
      <c r="D26" s="1348">
        <f>IF(E26=G26,F26,IF(G3&lt;10,ROUND(F26+(H26-F26)*(G3-E26)/(G26-E26),4),"——"))</f>
        <v>0.97299999999999998</v>
      </c>
      <c r="E26" s="748">
        <f>ROUNDDOWN(G3,1)</f>
        <v>3</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748">
        <f>ROUNDUP(G3,1)</f>
        <v>3</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3341" t="s">
        <v>3255</v>
      </c>
      <c r="J26" s="768" t="str">
        <f>IF(G3&gt;=10,D115,"——")</f>
        <v>——</v>
      </c>
      <c r="K26" s="1121"/>
      <c r="L26" s="2784"/>
      <c r="M26" s="2784"/>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2017</v>
      </c>
      <c r="B27" s="2067" t="s">
        <v>2018</v>
      </c>
      <c r="C27" s="837">
        <f>ROUND(IF(I3&lt;6,SUMPRODUCT((B106:B110=I3)*(C105:N105=G2)*(C106:N110)),SUMIF(C105:N105,G2,C112:N112)),4)</f>
        <v>1.5019</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2020</v>
      </c>
      <c r="C28" s="756">
        <f>SUMIF(A47:A101,E2,B47:B101)</f>
        <v>1.0278</v>
      </c>
      <c r="D28" s="2048"/>
      <c r="E28" s="2073"/>
      <c r="F28" s="2073"/>
      <c r="G28" s="2073"/>
      <c r="H28" s="2073"/>
      <c r="I28" s="2073"/>
      <c r="J28" s="2074"/>
      <c r="K28" s="1121"/>
      <c r="L28" s="2784"/>
      <c r="M28" s="2784"/>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2022</v>
      </c>
      <c r="C29" s="761"/>
      <c r="D29" s="2020"/>
      <c r="E29" s="2020"/>
      <c r="F29" s="2077"/>
      <c r="G29" s="2020"/>
      <c r="H29" s="2020"/>
      <c r="I29" s="2020"/>
      <c r="J29" s="2021"/>
      <c r="K29" s="1115"/>
      <c r="L29" s="1993"/>
      <c r="M29" s="1993"/>
      <c r="N29" s="2781" t="s">
        <v>2023</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2024</v>
      </c>
      <c r="C30" s="2317">
        <f>IF(B25="容积率修正",E33+SUM(E37:E42),SUM(V2:V16)+SUM(E37:E42))</f>
        <v>13582</v>
      </c>
      <c r="D30" s="2079"/>
      <c r="E30" s="2042"/>
      <c r="F30" s="2080"/>
      <c r="G30" s="2042"/>
      <c r="H30" s="2042"/>
      <c r="I30" s="2042"/>
      <c r="J30" s="2081"/>
      <c r="K30" s="1115"/>
      <c r="L30" s="3347" t="s">
        <v>1936</v>
      </c>
      <c r="M30" s="3348" t="s">
        <v>1990</v>
      </c>
      <c r="N30" s="3348" t="s">
        <v>1991</v>
      </c>
      <c r="O30" s="3348" t="s">
        <v>1992</v>
      </c>
      <c r="P30" s="3348" t="s">
        <v>1993</v>
      </c>
      <c r="Q30" s="3351" t="s">
        <v>3259</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2025</v>
      </c>
      <c r="C31" s="762">
        <f>E34+SUM(I37:I42)</f>
        <v>162</v>
      </c>
      <c r="D31" s="2083"/>
      <c r="E31" s="2084"/>
      <c r="F31" s="2085"/>
      <c r="G31" s="2084"/>
      <c r="H31" s="2084"/>
      <c r="I31" s="2084"/>
      <c r="J31" s="2086"/>
      <c r="K31" s="1115"/>
      <c r="L31" s="3349" t="s">
        <v>1996</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5"/>
      <c r="L32" s="3350" t="s">
        <v>1999</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2030</v>
      </c>
      <c r="C33" s="175">
        <f>ROUND(C5*C22*C23*C24*C25*C28,0)</f>
        <v>5771</v>
      </c>
      <c r="D33" s="2094">
        <f>'数据-汇总表'!F19</f>
        <v>22413.3</v>
      </c>
      <c r="E33" s="769">
        <f>ROUND(C33*D33/10000,0)</f>
        <v>12935</v>
      </c>
      <c r="F33" s="3342" t="s">
        <v>3257</v>
      </c>
      <c r="G33" s="2095"/>
      <c r="H33" s="2095"/>
      <c r="I33" s="2095"/>
      <c r="J33" s="2096"/>
      <c r="K33" s="1115"/>
      <c r="L33" s="3345" t="s">
        <v>3260</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2031</v>
      </c>
      <c r="C34" s="187">
        <f>ROUND(IF(E2="工业",C33*M42,IF(B25="楼层修正",SUM(V2:V16)*M41*10000/D34,C33*M41)),0)</f>
        <v>1443</v>
      </c>
      <c r="D34" s="2099"/>
      <c r="E34" s="769">
        <f>ROUND(IF(B25="楼层修正",SUM(V2:V16)*M40,C34*D34/10000),0)</f>
        <v>0</v>
      </c>
      <c r="F34" s="2100" t="s">
        <v>2032</v>
      </c>
      <c r="G34" s="2101"/>
      <c r="H34" s="2101"/>
      <c r="I34" s="2101"/>
      <c r="J34" s="2102"/>
      <c r="K34" s="1115"/>
      <c r="L34" s="3345" t="s">
        <v>3261</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43" t="s">
        <v>3258</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3262</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49"/>
      <c r="B37" s="2109" t="s">
        <v>2036</v>
      </c>
      <c r="C37" s="175">
        <f>ROUND(D5*C22*C23*C24*C28*F37,0)</f>
        <v>3559</v>
      </c>
      <c r="D37" s="2094">
        <f>'数据-汇总表'!G19</f>
        <v>1817.5</v>
      </c>
      <c r="E37" s="171">
        <f>ROUND(C37*D37/10000,0)</f>
        <v>647</v>
      </c>
      <c r="F37" s="171">
        <f>SUMIF(修正!A57:A68,G2,修正!B57:B68)</f>
        <v>0.6</v>
      </c>
      <c r="G37" s="171">
        <f>ROUND(IF(E2="工业",C37*$M$42,C37*$M$41),0)</f>
        <v>890</v>
      </c>
      <c r="H37" s="171">
        <f>D37</f>
        <v>1817.5</v>
      </c>
      <c r="I37" s="171">
        <f>ROUND(G37*H37/10000,0)</f>
        <v>162</v>
      </c>
      <c r="J37" s="3008"/>
      <c r="K37" s="3355" t="s">
        <v>3263</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50"/>
      <c r="B38" s="2037" t="s">
        <v>2037</v>
      </c>
      <c r="C38" s="175">
        <f>ROUND(D5*C22*C23*C24*C28*F38,0)</f>
        <v>1779</v>
      </c>
      <c r="D38" s="2094"/>
      <c r="E38" s="171">
        <f t="shared" ref="E38:E42" si="4">ROUND(C38*D38/10000,0)</f>
        <v>0</v>
      </c>
      <c r="F38" s="171">
        <f>SUMIF(修正!A57:A68,G2,修正!C57:C68)</f>
        <v>0.3</v>
      </c>
      <c r="G38" s="171">
        <f>ROUND(IF(E2="工业",C38*$M$42,C38*$M$41),0)</f>
        <v>445</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750"/>
      <c r="B39" s="2037" t="s">
        <v>3256</v>
      </c>
      <c r="C39" s="175">
        <f>ROUND(D5*C22*C23*C24*C28*F39,0)</f>
        <v>1483</v>
      </c>
      <c r="D39" s="2094"/>
      <c r="E39" s="171">
        <f t="shared" si="4"/>
        <v>0</v>
      </c>
      <c r="F39" s="171">
        <f>SUMIF(修正!A57:A68,G2,修正!D57:D68)</f>
        <v>0.25</v>
      </c>
      <c r="G39" s="171">
        <f>ROUND(IF(E2="工业",C39*$M$42,C39*$M$41),0)</f>
        <v>371</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71">
        <f>ROUND(D5*C22*C23*C24*C28*F40,0)</f>
        <v>1483</v>
      </c>
      <c r="D40" s="2094"/>
      <c r="E40" s="171">
        <f t="shared" si="4"/>
        <v>0</v>
      </c>
      <c r="F40" s="175">
        <f>SUMIF(修正!A57:A68,G2,修正!E57:E68)</f>
        <v>0.25</v>
      </c>
      <c r="G40" s="171">
        <f>ROUND(IF(E2="工业",C40*$M$42,C40*$M$41),0)</f>
        <v>371</v>
      </c>
      <c r="H40" s="171">
        <f t="shared" si="5"/>
        <v>0</v>
      </c>
      <c r="I40" s="171">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3264</v>
      </c>
      <c r="M41" s="2114">
        <v>0.25</v>
      </c>
      <c r="Z41" s="1116"/>
      <c r="AA41" s="1116"/>
      <c r="AB41" s="1116"/>
      <c r="AC41" s="1116"/>
      <c r="AD41" s="1116"/>
      <c r="AE41" s="1116"/>
      <c r="AF41" s="1116"/>
      <c r="AG41" s="1116"/>
      <c r="AH41" s="1116"/>
      <c r="AI41" s="1116"/>
      <c r="AJ41" s="1116"/>
    </row>
    <row r="42" spans="1:37" s="1115" customFormat="1" ht="13.5" thickBot="1">
      <c r="A42" s="2097"/>
      <c r="B42" s="2115" t="s">
        <v>2041</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2122</v>
      </c>
      <c r="C44" s="342">
        <f>ROUND(POWER(1+E44,H44-G44)*(POWER(1+E44,G44)-1)/(POWER(1+E44,H44)-1),4)</f>
        <v>0</v>
      </c>
      <c r="D44" s="171" t="s">
        <v>1999</v>
      </c>
      <c r="E44" s="2149">
        <f>G24</f>
        <v>5.5E-2</v>
      </c>
      <c r="F44" s="171" t="s">
        <v>2008</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2043</v>
      </c>
      <c r="B48" s="2123">
        <f>1+E50</f>
        <v>1.0278</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2044</v>
      </c>
      <c r="B49" s="1347" t="s">
        <v>2045</v>
      </c>
      <c r="C49" s="1347" t="s">
        <v>2046</v>
      </c>
      <c r="D49" s="1347" t="s">
        <v>2047</v>
      </c>
      <c r="E49" s="739" t="s">
        <v>2048</v>
      </c>
      <c r="F49" s="2127" t="s">
        <v>2049</v>
      </c>
      <c r="G49" s="1347" t="s">
        <v>310</v>
      </c>
      <c r="H49" s="2128"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8.25">
      <c r="A50" s="2126" t="s">
        <v>2052</v>
      </c>
      <c r="B50" s="2129" t="str">
        <f>估价对象房地状况!C4</f>
        <v>估价对象位于XX商圈，周边商业氛围成熟，人流量大，商业繁华度好</v>
      </c>
      <c r="C50" s="2040" t="s">
        <v>3398</v>
      </c>
      <c r="D50" s="1061">
        <f t="shared" ref="D50:D58" si="7">SUMIF($J$49:$N$49,C50,J50:N50)</f>
        <v>0</v>
      </c>
      <c r="E50" s="740">
        <f>ROUND(SUM(D50:D58),4)</f>
        <v>2.7799999999999998E-2</v>
      </c>
      <c r="F50" s="1810">
        <f>IF(E2="商业",SUMIF(L1:L12,G2,N1:N12),"——")</f>
        <v>0.13</v>
      </c>
      <c r="G50" s="1059">
        <v>1.95E-2</v>
      </c>
      <c r="H50" s="1062">
        <f t="shared" ref="G50:H58" si="8">IFERROR(ROUNDDOWN($F$50*I50/2,4),"——")</f>
        <v>1.95E-2</v>
      </c>
      <c r="I50" s="3363">
        <v>0.3</v>
      </c>
      <c r="J50" s="1060">
        <f t="shared" ref="J50:J58" si="9">K50+$G50</f>
        <v>3.9E-2</v>
      </c>
      <c r="K50" s="1060">
        <f t="shared" ref="K50:K58" si="10">$L50+$G50</f>
        <v>1.95E-2</v>
      </c>
      <c r="L50" s="1060">
        <v>0</v>
      </c>
      <c r="M50" s="1060">
        <f t="shared" ref="M50:N58" si="11">L50-$G50</f>
        <v>-1.95E-2</v>
      </c>
      <c r="N50" s="1060">
        <f t="shared" si="11"/>
        <v>-3.9E-2</v>
      </c>
      <c r="AA50" s="1116"/>
      <c r="AB50" s="1116"/>
      <c r="AC50" s="1116"/>
      <c r="AD50" s="1116"/>
      <c r="AE50" s="1116"/>
      <c r="AF50" s="1116"/>
      <c r="AG50" s="1116"/>
      <c r="AH50" s="1116"/>
      <c r="AI50" s="1116"/>
      <c r="AJ50" s="1116"/>
      <c r="AK50" s="1116"/>
    </row>
    <row r="51" spans="1:37" s="1115" customFormat="1" ht="38.25">
      <c r="A51" s="2126" t="s">
        <v>2053</v>
      </c>
      <c r="B51" s="2130" t="str">
        <f>估价对象房地状况!C18</f>
        <v>估价对象周边道路状况、公共交通通达情况、停车便捷程度，综合评价交通便捷度较好</v>
      </c>
      <c r="C51" s="2040" t="s">
        <v>3398</v>
      </c>
      <c r="D51" s="1061">
        <f t="shared" si="7"/>
        <v>0</v>
      </c>
      <c r="E51" s="741"/>
      <c r="F51" s="1810"/>
      <c r="G51" s="1059">
        <v>1.43E-2</v>
      </c>
      <c r="H51" s="1062">
        <f t="shared" si="8"/>
        <v>1.43E-2</v>
      </c>
      <c r="I51" s="3363">
        <v>0.22</v>
      </c>
      <c r="J51" s="1060">
        <f t="shared" si="9"/>
        <v>2.86E-2</v>
      </c>
      <c r="K51" s="1060">
        <f t="shared" si="10"/>
        <v>1.43E-2</v>
      </c>
      <c r="L51" s="1060">
        <v>0</v>
      </c>
      <c r="M51" s="1060">
        <f t="shared" si="11"/>
        <v>-1.43E-2</v>
      </c>
      <c r="N51" s="1060">
        <f t="shared" si="11"/>
        <v>-2.86E-2</v>
      </c>
      <c r="AA51" s="1116"/>
      <c r="AB51" s="1116"/>
      <c r="AC51" s="1116"/>
      <c r="AD51" s="1116"/>
      <c r="AE51" s="1116"/>
      <c r="AF51" s="1116"/>
      <c r="AG51" s="1116"/>
      <c r="AH51" s="1116"/>
      <c r="AI51" s="1116"/>
      <c r="AJ51" s="1116"/>
      <c r="AK51" s="1116"/>
    </row>
    <row r="52" spans="1:37" s="1115" customFormat="1" ht="36">
      <c r="A52" s="3365" t="s">
        <v>3266</v>
      </c>
      <c r="B52" s="2130">
        <f>估价对象房地状况!C19</f>
        <v>0</v>
      </c>
      <c r="C52" s="2040" t="s">
        <v>3399</v>
      </c>
      <c r="D52" s="1061">
        <f t="shared" si="7"/>
        <v>7.7999999999999996E-3</v>
      </c>
      <c r="E52" s="741"/>
      <c r="F52" s="1810"/>
      <c r="G52" s="1059">
        <v>7.7999999999999996E-3</v>
      </c>
      <c r="H52" s="1062">
        <f t="shared" si="8"/>
        <v>7.7999999999999996E-3</v>
      </c>
      <c r="I52" s="3363">
        <v>0.12</v>
      </c>
      <c r="J52" s="1060">
        <f t="shared" si="9"/>
        <v>1.5599999999999999E-2</v>
      </c>
      <c r="K52" s="1060">
        <f t="shared" si="10"/>
        <v>7.7999999999999996E-3</v>
      </c>
      <c r="L52" s="1060">
        <v>0</v>
      </c>
      <c r="M52" s="1060">
        <f t="shared" si="11"/>
        <v>-7.7999999999999996E-3</v>
      </c>
      <c r="N52" s="1060">
        <f t="shared" si="11"/>
        <v>-1.5599999999999999E-2</v>
      </c>
      <c r="AA52" s="1116"/>
      <c r="AB52" s="1116"/>
      <c r="AC52" s="1116"/>
      <c r="AD52" s="1116"/>
      <c r="AE52" s="1116"/>
      <c r="AF52" s="1116"/>
      <c r="AG52" s="1116"/>
      <c r="AH52" s="1116"/>
      <c r="AI52" s="1116"/>
      <c r="AJ52" s="1116"/>
      <c r="AK52" s="1116"/>
    </row>
    <row r="53" spans="1:37" s="1115" customFormat="1" ht="36.75">
      <c r="A53" s="2126" t="s">
        <v>2054</v>
      </c>
      <c r="B53" s="2131" t="s">
        <v>2055</v>
      </c>
      <c r="C53" s="2040" t="s">
        <v>3399</v>
      </c>
      <c r="D53" s="1061">
        <f t="shared" si="7"/>
        <v>3.2000000000000002E-3</v>
      </c>
      <c r="E53" s="741"/>
      <c r="F53" s="1810"/>
      <c r="G53" s="1059">
        <v>3.2000000000000002E-3</v>
      </c>
      <c r="H53" s="1062">
        <f t="shared" si="8"/>
        <v>3.2000000000000002E-3</v>
      </c>
      <c r="I53" s="3363">
        <v>0.05</v>
      </c>
      <c r="J53" s="1060">
        <f t="shared" si="9"/>
        <v>6.4000000000000003E-3</v>
      </c>
      <c r="K53" s="1060">
        <f t="shared" si="10"/>
        <v>3.2000000000000002E-3</v>
      </c>
      <c r="L53" s="1060">
        <v>0</v>
      </c>
      <c r="M53" s="1060">
        <f t="shared" si="11"/>
        <v>-3.2000000000000002E-3</v>
      </c>
      <c r="N53" s="1060">
        <f t="shared" si="11"/>
        <v>-6.4000000000000003E-3</v>
      </c>
      <c r="AA53" s="1116"/>
      <c r="AB53" s="1116"/>
      <c r="AC53" s="1116"/>
      <c r="AD53" s="1116"/>
      <c r="AE53" s="1116"/>
      <c r="AF53" s="1116"/>
      <c r="AG53" s="1116"/>
      <c r="AH53" s="1116"/>
      <c r="AI53" s="1116"/>
      <c r="AJ53" s="1116"/>
      <c r="AK53" s="1116"/>
    </row>
    <row r="54" spans="1:37" s="1115" customFormat="1" ht="24">
      <c r="A54" s="2126" t="s">
        <v>2056</v>
      </c>
      <c r="B54" s="2130">
        <f>估价对象房地状况!C24</f>
        <v>0</v>
      </c>
      <c r="C54" s="2040" t="s">
        <v>3398</v>
      </c>
      <c r="D54" s="1061">
        <f t="shared" si="7"/>
        <v>0</v>
      </c>
      <c r="E54" s="741"/>
      <c r="F54" s="1810"/>
      <c r="G54" s="1059">
        <v>5.1999999999999998E-3</v>
      </c>
      <c r="H54" s="1062">
        <f t="shared" si="8"/>
        <v>5.1999999999999998E-3</v>
      </c>
      <c r="I54" s="3363">
        <v>0.08</v>
      </c>
      <c r="J54" s="1060">
        <f t="shared" si="9"/>
        <v>1.04E-2</v>
      </c>
      <c r="K54" s="1060">
        <f t="shared" si="10"/>
        <v>5.1999999999999998E-3</v>
      </c>
      <c r="L54" s="1060">
        <v>0</v>
      </c>
      <c r="M54" s="1060">
        <f t="shared" si="11"/>
        <v>-5.1999999999999998E-3</v>
      </c>
      <c r="N54" s="1060">
        <f t="shared" si="11"/>
        <v>-1.04E-2</v>
      </c>
      <c r="AA54" s="1116"/>
      <c r="AB54" s="1116"/>
      <c r="AC54" s="1116"/>
      <c r="AD54" s="1116"/>
      <c r="AE54" s="1116"/>
      <c r="AF54" s="1116"/>
      <c r="AG54" s="1116"/>
      <c r="AH54" s="1116"/>
      <c r="AI54" s="1116"/>
      <c r="AJ54" s="1116"/>
      <c r="AK54" s="1116"/>
    </row>
    <row r="55" spans="1:37" s="1115" customFormat="1" ht="24">
      <c r="A55" s="2126" t="s">
        <v>2057</v>
      </c>
      <c r="B55" s="2132" t="s">
        <v>2058</v>
      </c>
      <c r="C55" s="2040" t="s">
        <v>3399</v>
      </c>
      <c r="D55" s="1061">
        <f t="shared" si="7"/>
        <v>3.2000000000000002E-3</v>
      </c>
      <c r="E55" s="741"/>
      <c r="F55" s="1810"/>
      <c r="G55" s="1059">
        <v>3.2000000000000002E-3</v>
      </c>
      <c r="H55" s="1062">
        <f t="shared" si="8"/>
        <v>3.2000000000000002E-3</v>
      </c>
      <c r="I55" s="3363">
        <v>0.05</v>
      </c>
      <c r="J55" s="1060">
        <f t="shared" si="9"/>
        <v>6.4000000000000003E-3</v>
      </c>
      <c r="K55" s="1060">
        <f t="shared" si="10"/>
        <v>3.2000000000000002E-3</v>
      </c>
      <c r="L55" s="1060">
        <v>0</v>
      </c>
      <c r="M55" s="1060">
        <f t="shared" si="11"/>
        <v>-3.2000000000000002E-3</v>
      </c>
      <c r="N55" s="1060">
        <f t="shared" si="11"/>
        <v>-6.4000000000000003E-3</v>
      </c>
      <c r="AA55" s="1116"/>
      <c r="AB55" s="1116"/>
      <c r="AC55" s="1116"/>
      <c r="AD55" s="1116"/>
      <c r="AE55" s="1116"/>
      <c r="AF55" s="1116"/>
      <c r="AG55" s="1116"/>
      <c r="AH55" s="1116"/>
      <c r="AI55" s="1116"/>
      <c r="AJ55" s="1116"/>
      <c r="AK55" s="1116"/>
    </row>
    <row r="56" spans="1:37" s="1115" customFormat="1" ht="25.5">
      <c r="A56" s="2133" t="s">
        <v>2059</v>
      </c>
      <c r="B56" s="1322" t="str">
        <f>估价对象房地状况!C21</f>
        <v>估价对象所在区域公共配套设施齐备情况</v>
      </c>
      <c r="C56" s="2040" t="s">
        <v>3399</v>
      </c>
      <c r="D56" s="1061">
        <f t="shared" si="7"/>
        <v>3.2000000000000002E-3</v>
      </c>
      <c r="E56" s="741"/>
      <c r="F56" s="1810"/>
      <c r="G56" s="1059">
        <v>3.2000000000000002E-3</v>
      </c>
      <c r="H56" s="1062">
        <f t="shared" si="8"/>
        <v>3.2000000000000002E-3</v>
      </c>
      <c r="I56" s="3363">
        <v>0.05</v>
      </c>
      <c r="J56" s="1060">
        <f t="shared" si="9"/>
        <v>6.4000000000000003E-3</v>
      </c>
      <c r="K56" s="1060">
        <f t="shared" si="10"/>
        <v>3.2000000000000002E-3</v>
      </c>
      <c r="L56" s="1060">
        <v>0</v>
      </c>
      <c r="M56" s="1060">
        <f t="shared" si="11"/>
        <v>-3.2000000000000002E-3</v>
      </c>
      <c r="N56" s="1060">
        <f t="shared" si="11"/>
        <v>-6.4000000000000003E-3</v>
      </c>
      <c r="AA56" s="1116"/>
      <c r="AB56" s="1116"/>
      <c r="AC56" s="1116"/>
      <c r="AD56" s="1116"/>
      <c r="AE56" s="1116"/>
      <c r="AF56" s="1116"/>
      <c r="AG56" s="1116"/>
      <c r="AH56" s="1116"/>
      <c r="AI56" s="1116"/>
      <c r="AJ56" s="1116"/>
      <c r="AK56" s="1116"/>
    </row>
    <row r="57" spans="1:37" s="1115" customFormat="1" ht="25.5">
      <c r="A57" s="2133" t="s">
        <v>2060</v>
      </c>
      <c r="B57" s="2130" t="str">
        <f>估价对象房地状况!C22</f>
        <v>估价对象所在区域基础设施水平</v>
      </c>
      <c r="C57" s="2040" t="s">
        <v>3400</v>
      </c>
      <c r="D57" s="1061">
        <f t="shared" si="7"/>
        <v>1.04E-2</v>
      </c>
      <c r="E57" s="741"/>
      <c r="F57" s="1810"/>
      <c r="G57" s="1059">
        <v>5.1999999999999998E-3</v>
      </c>
      <c r="H57" s="1062">
        <f t="shared" si="8"/>
        <v>5.1999999999999998E-3</v>
      </c>
      <c r="I57" s="3363">
        <v>0.08</v>
      </c>
      <c r="J57" s="1060">
        <f t="shared" si="9"/>
        <v>1.04E-2</v>
      </c>
      <c r="K57" s="1060">
        <f t="shared" si="10"/>
        <v>5.1999999999999998E-3</v>
      </c>
      <c r="L57" s="1060">
        <v>0</v>
      </c>
      <c r="M57" s="1060">
        <f t="shared" si="11"/>
        <v>-5.1999999999999998E-3</v>
      </c>
      <c r="N57" s="1060">
        <f t="shared" si="11"/>
        <v>-1.04E-2</v>
      </c>
      <c r="AA57" s="1116"/>
      <c r="AB57" s="1116"/>
      <c r="AC57" s="1116"/>
      <c r="AD57" s="1116"/>
      <c r="AE57" s="1116"/>
      <c r="AF57" s="1116"/>
      <c r="AG57" s="1116"/>
      <c r="AH57" s="1116"/>
      <c r="AI57" s="1116"/>
      <c r="AJ57" s="1116"/>
      <c r="AK57" s="1116"/>
    </row>
    <row r="58" spans="1:37" s="1115" customFormat="1" ht="26.25" thickBot="1">
      <c r="A58" s="2134" t="s">
        <v>2061</v>
      </c>
      <c r="B58" s="2135" t="str">
        <f>估价对象房地状况!C20</f>
        <v>区域自然环境：；人文环境；综合评价环境状况一般</v>
      </c>
      <c r="C58" s="2040" t="s">
        <v>3398</v>
      </c>
      <c r="D58" s="1061">
        <f t="shared" si="7"/>
        <v>0</v>
      </c>
      <c r="E58" s="742"/>
      <c r="F58" s="1810"/>
      <c r="G58" s="1059">
        <v>3.2000000000000002E-3</v>
      </c>
      <c r="H58" s="1062">
        <f t="shared" si="8"/>
        <v>3.2000000000000002E-3</v>
      </c>
      <c r="I58" s="3364">
        <v>0.05</v>
      </c>
      <c r="J58" s="1060">
        <f t="shared" si="9"/>
        <v>6.4000000000000003E-3</v>
      </c>
      <c r="K58" s="1060">
        <f t="shared" si="10"/>
        <v>3.2000000000000002E-3</v>
      </c>
      <c r="L58" s="1060">
        <v>0</v>
      </c>
      <c r="M58" s="1060">
        <f t="shared" si="11"/>
        <v>-3.2000000000000002E-3</v>
      </c>
      <c r="N58" s="1060">
        <f t="shared" si="11"/>
        <v>-6.4000000000000003E-3</v>
      </c>
      <c r="AA58" s="1116"/>
      <c r="AB58" s="1116"/>
      <c r="AC58" s="1116"/>
      <c r="AD58" s="1116"/>
      <c r="AE58" s="1116"/>
      <c r="AF58" s="1116"/>
      <c r="AG58" s="1116"/>
      <c r="AH58" s="1116"/>
      <c r="AI58" s="1116"/>
      <c r="AJ58" s="1116"/>
      <c r="AK58" s="1116"/>
    </row>
    <row r="59" spans="1:37" s="1115" customFormat="1" ht="15">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2044</v>
      </c>
      <c r="B60" s="1347"/>
      <c r="C60" s="1347" t="s">
        <v>2046</v>
      </c>
      <c r="D60" s="1347" t="s">
        <v>2047</v>
      </c>
      <c r="E60" s="739" t="s">
        <v>2048</v>
      </c>
      <c r="F60" s="2127" t="s">
        <v>2063</v>
      </c>
      <c r="G60" s="1347" t="s">
        <v>310</v>
      </c>
      <c r="H60" s="2128"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8.25">
      <c r="A61" s="2126" t="s">
        <v>2064</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63">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c r="A62" s="2126" t="s">
        <v>2053</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63">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5" t="s">
        <v>3266</v>
      </c>
      <c r="B63" s="2130">
        <f>估价对象房地状况!C19</f>
        <v>0</v>
      </c>
      <c r="C63" s="2040"/>
      <c r="D63" s="1061">
        <f t="shared" si="12"/>
        <v>0</v>
      </c>
      <c r="E63" s="741"/>
      <c r="F63" s="1810"/>
      <c r="G63" s="1059"/>
      <c r="H63" s="1062" t="str">
        <f t="shared" si="13"/>
        <v>——</v>
      </c>
      <c r="I63" s="3363">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6" t="s">
        <v>2054</v>
      </c>
      <c r="B64" s="2131" t="s">
        <v>2055</v>
      </c>
      <c r="C64" s="2040"/>
      <c r="D64" s="1061">
        <f t="shared" si="12"/>
        <v>0</v>
      </c>
      <c r="E64" s="741"/>
      <c r="F64" s="1810"/>
      <c r="G64" s="1059"/>
      <c r="H64" s="1062" t="str">
        <f t="shared" si="13"/>
        <v>——</v>
      </c>
      <c r="I64" s="3363">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6" t="s">
        <v>2056</v>
      </c>
      <c r="B65" s="2130">
        <f>估价对象房地状况!C24</f>
        <v>0</v>
      </c>
      <c r="C65" s="2040"/>
      <c r="D65" s="1061">
        <f t="shared" si="12"/>
        <v>0</v>
      </c>
      <c r="E65" s="741"/>
      <c r="F65" s="1810"/>
      <c r="G65" s="1059"/>
      <c r="H65" s="1062" t="str">
        <f t="shared" si="13"/>
        <v>——</v>
      </c>
      <c r="I65" s="3363">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6" t="s">
        <v>2057</v>
      </c>
      <c r="B66" s="2132" t="s">
        <v>2058</v>
      </c>
      <c r="C66" s="2040"/>
      <c r="D66" s="1061">
        <f t="shared" si="12"/>
        <v>0</v>
      </c>
      <c r="E66" s="741"/>
      <c r="F66" s="1810"/>
      <c r="G66" s="1059"/>
      <c r="H66" s="1062" t="str">
        <f t="shared" si="13"/>
        <v>——</v>
      </c>
      <c r="I66" s="3363">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c r="A67" s="2126" t="s">
        <v>2059</v>
      </c>
      <c r="B67" s="1322" t="str">
        <f>估价对象房地状况!C21</f>
        <v>估价对象所在区域公共配套设施齐备情况</v>
      </c>
      <c r="C67" s="2040"/>
      <c r="D67" s="1061">
        <f t="shared" si="12"/>
        <v>0</v>
      </c>
      <c r="E67" s="741"/>
      <c r="F67" s="1810"/>
      <c r="G67" s="1059"/>
      <c r="H67" s="1062" t="str">
        <f t="shared" si="13"/>
        <v>——</v>
      </c>
      <c r="I67" s="3363">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6" t="s">
        <v>2060</v>
      </c>
      <c r="B68" s="1322" t="str">
        <f>估价对象房地状况!C22</f>
        <v>估价对象所在区域基础设施水平</v>
      </c>
      <c r="C68" s="2040"/>
      <c r="D68" s="1061">
        <f t="shared" si="12"/>
        <v>0</v>
      </c>
      <c r="E68" s="741"/>
      <c r="F68" s="1810"/>
      <c r="G68" s="1059"/>
      <c r="H68" s="1062" t="str">
        <f t="shared" si="13"/>
        <v>——</v>
      </c>
      <c r="I68" s="3363">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thickBot="1">
      <c r="A69" s="2134" t="s">
        <v>2061</v>
      </c>
      <c r="B69" s="2136" t="str">
        <f>估价对象房地状况!C20</f>
        <v>区域自然环境：；人文环境；综合评价环境状况一般</v>
      </c>
      <c r="C69" s="2040"/>
      <c r="D69" s="1061">
        <f t="shared" si="12"/>
        <v>0</v>
      </c>
      <c r="E69" s="742"/>
      <c r="F69" s="1810"/>
      <c r="G69" s="1059"/>
      <c r="H69" s="1062" t="str">
        <f t="shared" si="13"/>
        <v>——</v>
      </c>
      <c r="I69" s="3364">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2044</v>
      </c>
      <c r="B71" s="1347"/>
      <c r="C71" s="1347" t="s">
        <v>2046</v>
      </c>
      <c r="D71" s="1347" t="s">
        <v>2047</v>
      </c>
      <c r="E71" s="739" t="s">
        <v>2048</v>
      </c>
      <c r="F71" s="2127" t="s">
        <v>2063</v>
      </c>
      <c r="G71" s="1347" t="s">
        <v>310</v>
      </c>
      <c r="H71" s="2128"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1">
      <c r="A72" s="2126" t="s">
        <v>2066</v>
      </c>
      <c r="B72" s="2129" t="str">
        <f>估价对象房地状况!C15</f>
        <v>估价对象周边居住用地比例、居住小区规模和社区发展完善程度，综合评价居住社区成熟度一般</v>
      </c>
      <c r="C72" s="2040"/>
      <c r="D72" s="1061">
        <f t="shared" ref="D72:D80" si="17">SUMIF($J$71:$N$71,C72,J72:N72)</f>
        <v>0</v>
      </c>
      <c r="E72" s="740">
        <f>ROUND(SUM(D72:D80),4)</f>
        <v>0</v>
      </c>
      <c r="F72" s="1810" t="str">
        <f>IF(E2="住宅",SUMIF(L1:L12,G2,N1:N12),"——")</f>
        <v>——</v>
      </c>
      <c r="G72" s="1059"/>
      <c r="H72" s="1062" t="str">
        <f t="shared" ref="H72:H80" si="18">IFERROR(ROUNDDOWN($F$72*I72/2,4),"——")</f>
        <v>——</v>
      </c>
      <c r="I72" s="336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6" t="s">
        <v>2053</v>
      </c>
      <c r="B73" s="2130" t="str">
        <f>估价对象房地状况!C18</f>
        <v>估价对象周边道路状况、公共交通通达情况、停车便捷程度，综合评价交通便捷度较好</v>
      </c>
      <c r="C73" s="2040"/>
      <c r="D73" s="1061">
        <f t="shared" si="17"/>
        <v>0</v>
      </c>
      <c r="E73" s="743"/>
      <c r="F73" s="1810"/>
      <c r="G73" s="1059"/>
      <c r="H73" s="1062" t="str">
        <f t="shared" si="18"/>
        <v>——</v>
      </c>
      <c r="I73" s="336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5" t="s">
        <v>3266</v>
      </c>
      <c r="B74" s="2130">
        <f>估价对象房地状况!C19</f>
        <v>0</v>
      </c>
      <c r="C74" s="2040"/>
      <c r="D74" s="1061">
        <f t="shared" si="17"/>
        <v>0</v>
      </c>
      <c r="E74" s="743"/>
      <c r="F74" s="1810"/>
      <c r="G74" s="1059"/>
      <c r="H74" s="1062" t="str">
        <f t="shared" si="18"/>
        <v>——</v>
      </c>
      <c r="I74" s="3363">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2067</v>
      </c>
      <c r="B75" s="2130">
        <f>估价对象房地状况!C24</f>
        <v>0</v>
      </c>
      <c r="C75" s="2040"/>
      <c r="D75" s="1061">
        <f t="shared" si="17"/>
        <v>0</v>
      </c>
      <c r="E75" s="743"/>
      <c r="F75" s="1810"/>
      <c r="G75" s="1059"/>
      <c r="H75" s="1062" t="str">
        <f t="shared" si="18"/>
        <v>——</v>
      </c>
      <c r="I75" s="3363">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5.5">
      <c r="A76" s="2126" t="s">
        <v>2059</v>
      </c>
      <c r="B76" s="1322" t="str">
        <f>估价对象房地状况!C21</f>
        <v>估价对象所在区域公共配套设施齐备情况</v>
      </c>
      <c r="C76" s="2040"/>
      <c r="D76" s="1061">
        <f t="shared" si="17"/>
        <v>0</v>
      </c>
      <c r="E76" s="743"/>
      <c r="F76" s="1810"/>
      <c r="G76" s="1059"/>
      <c r="H76" s="1062" t="str">
        <f t="shared" si="18"/>
        <v>——</v>
      </c>
      <c r="I76" s="3363">
        <v>0.08</v>
      </c>
      <c r="J76" s="1060">
        <f t="shared" si="19"/>
        <v>0</v>
      </c>
      <c r="K76" s="1060">
        <f t="shared" si="20"/>
        <v>0</v>
      </c>
      <c r="L76" s="1060">
        <v>0</v>
      </c>
      <c r="M76" s="1060">
        <f t="shared" si="21"/>
        <v>0</v>
      </c>
      <c r="N76" s="1060">
        <f t="shared" si="21"/>
        <v>0</v>
      </c>
      <c r="O76" s="1115"/>
      <c r="P76" s="1115"/>
      <c r="Z76" s="1994"/>
      <c r="AA76" s="2049"/>
      <c r="AG76" s="1117"/>
      <c r="AK76" s="2049"/>
    </row>
    <row r="77" spans="1:37" ht="25.5">
      <c r="A77" s="2126" t="s">
        <v>2060</v>
      </c>
      <c r="B77" s="1322" t="str">
        <f>估价对象房地状况!C22</f>
        <v>估价对象所在区域基础设施水平</v>
      </c>
      <c r="C77" s="2040"/>
      <c r="D77" s="1061">
        <f t="shared" si="17"/>
        <v>0</v>
      </c>
      <c r="E77" s="743"/>
      <c r="F77" s="1810"/>
      <c r="G77" s="1059"/>
      <c r="H77" s="1062" t="str">
        <f t="shared" si="18"/>
        <v>——</v>
      </c>
      <c r="I77" s="3363">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2057</v>
      </c>
      <c r="B78" s="2132" t="s">
        <v>2058</v>
      </c>
      <c r="C78" s="2040"/>
      <c r="D78" s="1061">
        <f t="shared" si="17"/>
        <v>0</v>
      </c>
      <c r="E78" s="743"/>
      <c r="F78" s="1810"/>
      <c r="G78" s="1059"/>
      <c r="H78" s="1062" t="str">
        <f t="shared" si="18"/>
        <v>——</v>
      </c>
      <c r="I78" s="3363">
        <v>0.05</v>
      </c>
      <c r="J78" s="1060">
        <f t="shared" si="19"/>
        <v>0</v>
      </c>
      <c r="K78" s="1060">
        <f t="shared" si="20"/>
        <v>0</v>
      </c>
      <c r="L78" s="1060">
        <v>0</v>
      </c>
      <c r="M78" s="1060">
        <f t="shared" si="21"/>
        <v>0</v>
      </c>
      <c r="N78" s="1060">
        <f t="shared" si="21"/>
        <v>0</v>
      </c>
      <c r="O78" s="1993"/>
      <c r="P78" s="1993"/>
      <c r="Z78" s="1994"/>
      <c r="AA78" s="2049"/>
      <c r="AG78" s="1117"/>
      <c r="AK78" s="2049"/>
    </row>
    <row r="79" spans="1:37" ht="25.5">
      <c r="A79" s="2126" t="s">
        <v>2061</v>
      </c>
      <c r="B79" s="2129" t="str">
        <f>估价对象房地状况!C20</f>
        <v>区域自然环境：；人文环境；综合评价环境状况一般</v>
      </c>
      <c r="C79" s="2040"/>
      <c r="D79" s="1061">
        <f t="shared" si="17"/>
        <v>0</v>
      </c>
      <c r="E79" s="743"/>
      <c r="F79" s="1810"/>
      <c r="G79" s="1059"/>
      <c r="H79" s="1062" t="str">
        <f t="shared" si="18"/>
        <v>——</v>
      </c>
      <c r="I79" s="3363">
        <v>0.12</v>
      </c>
      <c r="J79" s="1060">
        <f t="shared" si="19"/>
        <v>0</v>
      </c>
      <c r="K79" s="1060">
        <f t="shared" si="20"/>
        <v>0</v>
      </c>
      <c r="L79" s="1060">
        <v>0</v>
      </c>
      <c r="M79" s="1060">
        <f t="shared" si="21"/>
        <v>0</v>
      </c>
      <c r="N79" s="1060">
        <f t="shared" si="21"/>
        <v>0</v>
      </c>
      <c r="Z79" s="1994"/>
      <c r="AA79" s="2049"/>
      <c r="AG79" s="1117"/>
      <c r="AK79" s="2049"/>
    </row>
    <row r="80" spans="1:37" ht="24.75" thickBot="1">
      <c r="A80" s="2134" t="s">
        <v>2068</v>
      </c>
      <c r="B80" s="2138"/>
      <c r="C80" s="2040"/>
      <c r="D80" s="1061">
        <f t="shared" si="17"/>
        <v>0</v>
      </c>
      <c r="E80" s="744"/>
      <c r="F80" s="1810"/>
      <c r="G80" s="1059"/>
      <c r="H80" s="1062" t="str">
        <f t="shared" si="18"/>
        <v>——</v>
      </c>
      <c r="I80" s="3364">
        <v>0.05</v>
      </c>
      <c r="J80" s="1060">
        <f t="shared" si="19"/>
        <v>0</v>
      </c>
      <c r="K80" s="1060">
        <f t="shared" si="20"/>
        <v>0</v>
      </c>
      <c r="L80" s="1060">
        <v>0</v>
      </c>
      <c r="M80" s="1060">
        <f t="shared" si="21"/>
        <v>0</v>
      </c>
      <c r="N80" s="1060">
        <f t="shared" si="21"/>
        <v>0</v>
      </c>
      <c r="Z80" s="1994"/>
      <c r="AA80" s="2049"/>
      <c r="AG80" s="1117"/>
      <c r="AK80" s="2049"/>
    </row>
    <row r="81" spans="1:37" ht="15">
      <c r="A81" s="2122" t="s">
        <v>2069</v>
      </c>
      <c r="B81" s="2123">
        <f>1+E83</f>
        <v>1</v>
      </c>
      <c r="C81" s="737"/>
      <c r="D81" s="737"/>
      <c r="E81" s="738"/>
      <c r="F81" s="2125"/>
      <c r="G81" s="3"/>
      <c r="H81" s="3"/>
      <c r="I81" s="3"/>
      <c r="J81" s="4"/>
      <c r="K81" s="4"/>
      <c r="L81" s="4"/>
      <c r="M81" s="4"/>
      <c r="N81" s="4"/>
      <c r="Z81" s="1994"/>
      <c r="AA81" s="2049"/>
      <c r="AG81" s="1117"/>
      <c r="AK81" s="2049"/>
    </row>
    <row r="82" spans="1:37" ht="24.75">
      <c r="A82" s="2126" t="s">
        <v>2044</v>
      </c>
      <c r="B82" s="1347"/>
      <c r="C82" s="1347" t="s">
        <v>2046</v>
      </c>
      <c r="D82" s="1347" t="s">
        <v>2047</v>
      </c>
      <c r="E82" s="739" t="s">
        <v>2048</v>
      </c>
      <c r="F82" s="2127" t="s">
        <v>2063</v>
      </c>
      <c r="G82" s="1347" t="s">
        <v>310</v>
      </c>
      <c r="H82" s="2128" t="s">
        <v>2050</v>
      </c>
      <c r="I82" s="1347" t="s">
        <v>2051</v>
      </c>
      <c r="J82" s="552" t="s">
        <v>1721</v>
      </c>
      <c r="K82" s="552" t="s">
        <v>1722</v>
      </c>
      <c r="L82" s="552" t="s">
        <v>1723</v>
      </c>
      <c r="M82" s="552" t="s">
        <v>1724</v>
      </c>
      <c r="N82" s="552" t="s">
        <v>1725</v>
      </c>
      <c r="Z82" s="1994"/>
      <c r="AA82" s="2049"/>
      <c r="AG82" s="1117"/>
      <c r="AK82" s="2049"/>
    </row>
    <row r="83" spans="1:37" ht="38.25">
      <c r="A83" s="2126" t="s">
        <v>2070</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63">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2053</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63">
        <v>0.3</v>
      </c>
      <c r="J84" s="1060">
        <f t="shared" si="24"/>
        <v>0</v>
      </c>
      <c r="K84" s="1060">
        <f t="shared" si="25"/>
        <v>0</v>
      </c>
      <c r="L84" s="1060">
        <v>0</v>
      </c>
      <c r="M84" s="1060">
        <f t="shared" si="26"/>
        <v>0</v>
      </c>
      <c r="N84" s="1060">
        <f t="shared" si="26"/>
        <v>0</v>
      </c>
      <c r="Z84" s="1994"/>
      <c r="AA84" s="2049"/>
      <c r="AG84" s="1117"/>
      <c r="AK84" s="2049"/>
    </row>
    <row r="85" spans="1:37" ht="36">
      <c r="A85" s="3365" t="s">
        <v>3267</v>
      </c>
      <c r="B85" s="2130">
        <f>估价对象房地状况!G17</f>
        <v>0</v>
      </c>
      <c r="C85" s="2040"/>
      <c r="D85" s="1061">
        <f t="shared" si="22"/>
        <v>0</v>
      </c>
      <c r="E85" s="743"/>
      <c r="F85" s="1810"/>
      <c r="G85" s="1059"/>
      <c r="H85" s="1062" t="str">
        <f t="shared" si="23"/>
        <v>——</v>
      </c>
      <c r="I85" s="3363">
        <v>0.1</v>
      </c>
      <c r="J85" s="1060">
        <f t="shared" si="24"/>
        <v>0</v>
      </c>
      <c r="K85" s="1060">
        <f t="shared" si="25"/>
        <v>0</v>
      </c>
      <c r="L85" s="1060">
        <v>0</v>
      </c>
      <c r="M85" s="1060">
        <f t="shared" si="26"/>
        <v>0</v>
      </c>
      <c r="N85" s="1060">
        <f t="shared" si="26"/>
        <v>0</v>
      </c>
      <c r="Z85" s="1994"/>
      <c r="AA85" s="2049"/>
      <c r="AG85" s="1117"/>
      <c r="AK85" s="2049"/>
    </row>
    <row r="86" spans="1:37" ht="14.25">
      <c r="A86" s="2126" t="s">
        <v>2067</v>
      </c>
      <c r="B86" s="2130">
        <f>估价对象房地状况!G22</f>
        <v>0</v>
      </c>
      <c r="C86" s="2040"/>
      <c r="D86" s="1061">
        <f t="shared" si="22"/>
        <v>0</v>
      </c>
      <c r="E86" s="743"/>
      <c r="F86" s="1810"/>
      <c r="G86" s="1059"/>
      <c r="H86" s="1062" t="str">
        <f t="shared" si="23"/>
        <v>——</v>
      </c>
      <c r="I86" s="3363">
        <v>0.05</v>
      </c>
      <c r="J86" s="1060">
        <f t="shared" si="24"/>
        <v>0</v>
      </c>
      <c r="K86" s="1060">
        <f t="shared" si="25"/>
        <v>0</v>
      </c>
      <c r="L86" s="1060">
        <v>0</v>
      </c>
      <c r="M86" s="1060">
        <f t="shared" si="26"/>
        <v>0</v>
      </c>
      <c r="N86" s="1060">
        <f t="shared" si="26"/>
        <v>0</v>
      </c>
      <c r="Z86" s="1994"/>
      <c r="AA86" s="2049"/>
      <c r="AG86" s="1117"/>
      <c r="AK86" s="2049"/>
    </row>
    <row r="87" spans="1:37" ht="25.5">
      <c r="A87" s="2126" t="s">
        <v>2059</v>
      </c>
      <c r="B87" s="1322" t="str">
        <f>估价对象房地状况!G19</f>
        <v>估价对象所在区域公共配套设施齐备情况</v>
      </c>
      <c r="C87" s="2040"/>
      <c r="D87" s="1061">
        <f t="shared" si="22"/>
        <v>0</v>
      </c>
      <c r="E87" s="743"/>
      <c r="F87" s="1810"/>
      <c r="G87" s="1059"/>
      <c r="H87" s="1062" t="str">
        <f t="shared" si="23"/>
        <v>——</v>
      </c>
      <c r="I87" s="3363">
        <v>0.06</v>
      </c>
      <c r="J87" s="1060">
        <f t="shared" si="24"/>
        <v>0</v>
      </c>
      <c r="K87" s="1060">
        <f t="shared" si="25"/>
        <v>0</v>
      </c>
      <c r="L87" s="1060">
        <v>0</v>
      </c>
      <c r="M87" s="1060">
        <f t="shared" si="26"/>
        <v>0</v>
      </c>
      <c r="N87" s="1060">
        <f t="shared" si="26"/>
        <v>0</v>
      </c>
    </row>
    <row r="88" spans="1:37" ht="25.5">
      <c r="A88" s="2126" t="s">
        <v>2060</v>
      </c>
      <c r="B88" s="1322" t="str">
        <f>估价对象房地状况!G20</f>
        <v>估价对象所在区域基础设施水平</v>
      </c>
      <c r="C88" s="2040"/>
      <c r="D88" s="1061">
        <f t="shared" si="22"/>
        <v>0</v>
      </c>
      <c r="E88" s="743"/>
      <c r="F88" s="1810"/>
      <c r="G88" s="1059"/>
      <c r="H88" s="1062" t="str">
        <f t="shared" si="23"/>
        <v>——</v>
      </c>
      <c r="I88" s="3363">
        <v>0.12</v>
      </c>
      <c r="J88" s="1060">
        <f t="shared" si="24"/>
        <v>0</v>
      </c>
      <c r="K88" s="1060">
        <f t="shared" si="25"/>
        <v>0</v>
      </c>
      <c r="L88" s="1060">
        <v>0</v>
      </c>
      <c r="M88" s="1060">
        <f t="shared" si="26"/>
        <v>0</v>
      </c>
      <c r="N88" s="1060">
        <f t="shared" si="26"/>
        <v>0</v>
      </c>
    </row>
    <row r="89" spans="1:37" ht="24">
      <c r="A89" s="2126" t="s">
        <v>2057</v>
      </c>
      <c r="B89" s="2132" t="s">
        <v>2071</v>
      </c>
      <c r="C89" s="2040"/>
      <c r="D89" s="1061">
        <f t="shared" si="22"/>
        <v>0</v>
      </c>
      <c r="E89" s="743"/>
      <c r="F89" s="1810"/>
      <c r="G89" s="1059"/>
      <c r="H89" s="1062" t="str">
        <f t="shared" si="23"/>
        <v>——</v>
      </c>
      <c r="I89" s="3363">
        <v>0.06</v>
      </c>
      <c r="J89" s="1060">
        <f t="shared" si="24"/>
        <v>0</v>
      </c>
      <c r="K89" s="1060">
        <f t="shared" si="25"/>
        <v>0</v>
      </c>
      <c r="L89" s="1060">
        <v>0</v>
      </c>
      <c r="M89" s="1060">
        <f t="shared" si="26"/>
        <v>0</v>
      </c>
      <c r="N89" s="1060">
        <f t="shared" si="26"/>
        <v>0</v>
      </c>
    </row>
    <row r="90" spans="1:37" ht="39" thickBot="1">
      <c r="A90" s="2134" t="s">
        <v>2072</v>
      </c>
      <c r="B90" s="2139" t="str">
        <f>估价对象房地状况!G18</f>
        <v>该园区内是否有污染型企业，绿化情况，卫生条件，整体环境状况判断</v>
      </c>
      <c r="C90" s="2040"/>
      <c r="D90" s="1061">
        <f t="shared" si="22"/>
        <v>0</v>
      </c>
      <c r="E90" s="744"/>
      <c r="F90" s="1810"/>
      <c r="G90" s="1059"/>
      <c r="H90" s="1062" t="str">
        <f t="shared" si="23"/>
        <v>——</v>
      </c>
      <c r="I90" s="3364">
        <v>0.05</v>
      </c>
      <c r="J90" s="1060">
        <f t="shared" si="24"/>
        <v>0</v>
      </c>
      <c r="K90" s="1060">
        <f t="shared" si="25"/>
        <v>0</v>
      </c>
      <c r="L90" s="1060">
        <v>0</v>
      </c>
      <c r="M90" s="1060">
        <f t="shared" si="26"/>
        <v>0</v>
      </c>
      <c r="N90" s="1060">
        <f t="shared" si="26"/>
        <v>0</v>
      </c>
    </row>
    <row r="91" spans="1:37" ht="15">
      <c r="A91" s="3373" t="s">
        <v>2610</v>
      </c>
      <c r="B91" s="3374">
        <f>1+E93</f>
        <v>1</v>
      </c>
      <c r="C91" s="3367"/>
      <c r="D91" s="3368"/>
      <c r="E91" s="1810"/>
      <c r="F91" s="1810"/>
      <c r="G91" s="3369"/>
      <c r="H91" s="3370"/>
      <c r="I91" s="3371"/>
      <c r="J91" s="3372"/>
      <c r="K91" s="3372"/>
      <c r="L91" s="3372"/>
      <c r="M91" s="3372"/>
      <c r="N91" s="3372"/>
    </row>
    <row r="92" spans="1:37" ht="24.75">
      <c r="A92" s="3375" t="s">
        <v>3268</v>
      </c>
      <c r="B92" s="3362"/>
      <c r="C92" s="3362" t="s">
        <v>3277</v>
      </c>
      <c r="D92" s="3362" t="s">
        <v>3278</v>
      </c>
      <c r="E92" s="3344" t="s">
        <v>3279</v>
      </c>
      <c r="F92" s="3377" t="s">
        <v>3280</v>
      </c>
      <c r="G92" s="3362" t="s">
        <v>3281</v>
      </c>
      <c r="H92" s="3384" t="s">
        <v>3284</v>
      </c>
      <c r="I92" s="3362" t="s">
        <v>3285</v>
      </c>
      <c r="J92" s="3385" t="s">
        <v>3286</v>
      </c>
      <c r="K92" s="3385" t="s">
        <v>3287</v>
      </c>
      <c r="L92" s="3385" t="s">
        <v>3288</v>
      </c>
      <c r="M92" s="3385" t="s">
        <v>3289</v>
      </c>
      <c r="N92" s="3385" t="s">
        <v>3290</v>
      </c>
    </row>
    <row r="93" spans="1:37" ht="24">
      <c r="A93" s="3365" t="s">
        <v>3269</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3270</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3266</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3271</v>
      </c>
      <c r="B96" s="3381" t="s">
        <v>3282</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3272</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3273</v>
      </c>
      <c r="B98" s="3382" t="s">
        <v>3283</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3274</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3275</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3276</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47" t="s">
        <v>3291</v>
      </c>
      <c r="B103" s="3747"/>
      <c r="C103" s="3747"/>
      <c r="D103" s="3747"/>
      <c r="E103" s="3747"/>
      <c r="F103" s="3747"/>
      <c r="G103" s="3747"/>
      <c r="H103" s="3747"/>
      <c r="I103" s="3747"/>
      <c r="J103" s="3747"/>
      <c r="K103" s="3386"/>
      <c r="L103" s="3386"/>
      <c r="M103" s="3386"/>
      <c r="N103" s="3386"/>
    </row>
    <row r="104" spans="1:14">
      <c r="A104" s="3748" t="s">
        <v>3292</v>
      </c>
      <c r="B104" s="3748" t="s">
        <v>3293</v>
      </c>
      <c r="C104" s="3387" t="s">
        <v>3294</v>
      </c>
      <c r="D104" s="3388"/>
      <c r="E104" s="3388"/>
      <c r="F104" s="3388"/>
      <c r="G104" s="3388"/>
      <c r="H104" s="3388"/>
      <c r="I104" s="3388"/>
      <c r="J104" s="3389"/>
      <c r="K104" s="3390"/>
      <c r="L104" s="3390"/>
      <c r="M104" s="3390"/>
      <c r="N104" s="3390"/>
    </row>
    <row r="105" spans="1:14">
      <c r="A105" s="3748"/>
      <c r="B105" s="3748"/>
      <c r="C105" s="3391" t="s">
        <v>3295</v>
      </c>
      <c r="D105" s="3391" t="s">
        <v>3296</v>
      </c>
      <c r="E105" s="3391" t="s">
        <v>3297</v>
      </c>
      <c r="F105" s="3391" t="s">
        <v>3298</v>
      </c>
      <c r="G105" s="3391" t="s">
        <v>3299</v>
      </c>
      <c r="H105" s="3391" t="s">
        <v>3300</v>
      </c>
      <c r="I105" s="3391" t="s">
        <v>3301</v>
      </c>
      <c r="J105" s="3391" t="s">
        <v>3302</v>
      </c>
      <c r="K105" s="3391" t="s">
        <v>3303</v>
      </c>
      <c r="L105" s="3391" t="s">
        <v>3304</v>
      </c>
      <c r="M105" s="3391" t="s">
        <v>3305</v>
      </c>
      <c r="N105" s="3391" t="s">
        <v>3306</v>
      </c>
    </row>
    <row r="106" spans="1:14">
      <c r="A106" s="3734" t="s">
        <v>3307</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3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3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3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3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35"/>
      <c r="B111" s="3391" t="s">
        <v>3265</v>
      </c>
      <c r="C111" s="3392">
        <f>$I$3</f>
        <v>1</v>
      </c>
      <c r="D111" s="3392">
        <f t="shared" ref="D111:M111" si="32">$I$3</f>
        <v>1</v>
      </c>
      <c r="E111" s="3392">
        <f t="shared" si="32"/>
        <v>1</v>
      </c>
      <c r="F111" s="3392">
        <f t="shared" si="32"/>
        <v>1</v>
      </c>
      <c r="G111" s="3392">
        <f t="shared" si="32"/>
        <v>1</v>
      </c>
      <c r="H111" s="3392">
        <f t="shared" si="32"/>
        <v>1</v>
      </c>
      <c r="I111" s="3392">
        <f t="shared" si="32"/>
        <v>1</v>
      </c>
      <c r="J111" s="3392">
        <f t="shared" si="32"/>
        <v>1</v>
      </c>
      <c r="K111" s="3392">
        <f t="shared" si="32"/>
        <v>1</v>
      </c>
      <c r="L111" s="3392">
        <f t="shared" si="32"/>
        <v>1</v>
      </c>
      <c r="M111" s="3392">
        <f t="shared" si="32"/>
        <v>1</v>
      </c>
      <c r="N111" s="3392">
        <f>$I$3</f>
        <v>1</v>
      </c>
    </row>
    <row r="112" spans="1:14">
      <c r="A112" s="3736"/>
      <c r="B112" s="3391">
        <v>6</v>
      </c>
      <c r="C112" s="3384">
        <f>(-0.5556*(C111^2)-0.2719*C111+8944)*(10^(-4))</f>
        <v>0.89431725000000006</v>
      </c>
      <c r="D112" s="3384">
        <f>(-0.5556*(D111^2)-0.2719*D111+8944)*(10^(-4))</f>
        <v>0.89431725000000006</v>
      </c>
      <c r="E112" s="3384">
        <f>(-0.7912*(E111^2)-11.3794*E111+8482)*(10^(-4))</f>
        <v>0.84698294000000007</v>
      </c>
      <c r="F112" s="3384">
        <f t="shared" ref="F112:I112" si="33">(-0.7912*(F111^2)-11.3794*F111+8482)*(10^(-4))</f>
        <v>0.84698294000000007</v>
      </c>
      <c r="G112" s="3384">
        <f t="shared" si="33"/>
        <v>0.84698294000000007</v>
      </c>
      <c r="H112" s="3384">
        <f t="shared" si="33"/>
        <v>0.84698294000000007</v>
      </c>
      <c r="I112" s="3384">
        <f t="shared" si="33"/>
        <v>0.84698294000000007</v>
      </c>
      <c r="J112" s="3384">
        <f>(-0.989*(J111^2)-63.78*J111+7771)*(10^(-4))</f>
        <v>0.77062310000000001</v>
      </c>
      <c r="K112" s="3384">
        <f t="shared" ref="K112:N112" si="34">(-0.989*(K111^2)-63.78*K111+7771)*(10^(-4))</f>
        <v>0.77062310000000001</v>
      </c>
      <c r="L112" s="3384">
        <f t="shared" si="34"/>
        <v>0.77062310000000001</v>
      </c>
      <c r="M112" s="3384">
        <f t="shared" si="34"/>
        <v>0.77062310000000001</v>
      </c>
      <c r="N112" s="3384">
        <f t="shared" si="34"/>
        <v>0.77062310000000001</v>
      </c>
    </row>
    <row r="113" spans="1:14">
      <c r="A113" s="3737" t="s">
        <v>3308</v>
      </c>
      <c r="B113" s="3737"/>
      <c r="C113" s="3737"/>
      <c r="D113" s="3737"/>
      <c r="E113" s="3737"/>
      <c r="F113" s="3737"/>
      <c r="G113" s="3737"/>
      <c r="H113" s="3737"/>
      <c r="I113" s="3737"/>
      <c r="J113" s="373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3309</v>
      </c>
      <c r="B116" s="3412">
        <f>G3</f>
        <v>3</v>
      </c>
      <c r="C116" s="3396" t="s">
        <v>3310</v>
      </c>
      <c r="D116" s="3397">
        <f>SUMPRODUCT((A118:A122=F116)*(B117:M117=H116)*B118:M122)</f>
        <v>0.90700000000000003</v>
      </c>
      <c r="E116" s="1996" t="s">
        <v>3311</v>
      </c>
      <c r="F116" s="3398" t="str">
        <f>E2</f>
        <v>商业</v>
      </c>
      <c r="G116" s="1996" t="s">
        <v>3312</v>
      </c>
      <c r="H116" s="3398" t="str">
        <f>G2</f>
        <v>七级</v>
      </c>
      <c r="I116" s="1996"/>
      <c r="J116" s="3399"/>
      <c r="K116" s="3399"/>
      <c r="L116" s="3399"/>
      <c r="M116" s="3399"/>
      <c r="N116" s="3394"/>
    </row>
    <row r="117" spans="1:14">
      <c r="A117" s="3400"/>
      <c r="B117" s="3401" t="s">
        <v>3313</v>
      </c>
      <c r="C117" s="3401" t="s">
        <v>3314</v>
      </c>
      <c r="D117" s="3401" t="s">
        <v>3315</v>
      </c>
      <c r="E117" s="3402" t="s">
        <v>3316</v>
      </c>
      <c r="F117" s="3402" t="s">
        <v>3317</v>
      </c>
      <c r="G117" s="3402" t="s">
        <v>3318</v>
      </c>
      <c r="H117" s="3403" t="s">
        <v>3319</v>
      </c>
      <c r="I117" s="3403" t="s">
        <v>3320</v>
      </c>
      <c r="J117" s="3404" t="s">
        <v>3321</v>
      </c>
      <c r="K117" s="3404" t="s">
        <v>3322</v>
      </c>
      <c r="L117" s="3404" t="s">
        <v>3323</v>
      </c>
      <c r="M117" s="3405" t="s">
        <v>3324</v>
      </c>
      <c r="N117" s="3394"/>
    </row>
    <row r="118" spans="1:14">
      <c r="A118" s="3406" t="s">
        <v>3325</v>
      </c>
      <c r="B118" s="3384">
        <f>ROUND(0.9968-0.011*B116,4)</f>
        <v>0.96379999999999999</v>
      </c>
      <c r="C118" s="3384">
        <f>B118</f>
        <v>0.96379999999999999</v>
      </c>
      <c r="D118" s="3384">
        <f>ROUND(0.949-0.014*B116,4)</f>
        <v>0.90700000000000003</v>
      </c>
      <c r="E118" s="3384">
        <f>D118</f>
        <v>0.90700000000000003</v>
      </c>
      <c r="F118" s="3384">
        <f>E118</f>
        <v>0.90700000000000003</v>
      </c>
      <c r="G118" s="3384">
        <f>F118</f>
        <v>0.90700000000000003</v>
      </c>
      <c r="H118" s="3384">
        <f>G118</f>
        <v>0.90700000000000003</v>
      </c>
      <c r="I118" s="3384">
        <f>ROUND(0.8486-0.018*B116,4)</f>
        <v>0.79459999999999997</v>
      </c>
      <c r="J118" s="3384">
        <f t="shared" ref="J118:M122" si="35">I118</f>
        <v>0.79459999999999997</v>
      </c>
      <c r="K118" s="3384">
        <f t="shared" si="35"/>
        <v>0.79459999999999997</v>
      </c>
      <c r="L118" s="3384">
        <f t="shared" si="35"/>
        <v>0.79459999999999997</v>
      </c>
      <c r="M118" s="3407">
        <f t="shared" si="35"/>
        <v>0.79459999999999997</v>
      </c>
      <c r="N118" s="3394"/>
    </row>
    <row r="119" spans="1:14">
      <c r="A119" s="3406" t="s">
        <v>3326</v>
      </c>
      <c r="B119" s="3384">
        <f>ROUND(0.993-0.0112*B116,4)</f>
        <v>0.95940000000000003</v>
      </c>
      <c r="C119" s="3384">
        <f>B119</f>
        <v>0.95940000000000003</v>
      </c>
      <c r="D119" s="3384">
        <f>ROUND(0.9415-0.0142*B116,4)</f>
        <v>0.89890000000000003</v>
      </c>
      <c r="E119" s="3384">
        <f t="shared" ref="E119:H120" si="36">D119</f>
        <v>0.89890000000000003</v>
      </c>
      <c r="F119" s="3384">
        <f t="shared" si="36"/>
        <v>0.89890000000000003</v>
      </c>
      <c r="G119" s="3384">
        <f t="shared" si="36"/>
        <v>0.89890000000000003</v>
      </c>
      <c r="H119" s="3384">
        <f t="shared" si="36"/>
        <v>0.89890000000000003</v>
      </c>
      <c r="I119" s="3384">
        <f>ROUND(0.838-0.0182*B116,4)</f>
        <v>0.78339999999999999</v>
      </c>
      <c r="J119" s="3384">
        <f t="shared" si="35"/>
        <v>0.78339999999999999</v>
      </c>
      <c r="K119" s="3384">
        <f t="shared" si="35"/>
        <v>0.78339999999999999</v>
      </c>
      <c r="L119" s="3384">
        <f t="shared" si="35"/>
        <v>0.78339999999999999</v>
      </c>
      <c r="M119" s="3407">
        <f t="shared" si="35"/>
        <v>0.78339999999999999</v>
      </c>
      <c r="N119" s="3394"/>
    </row>
    <row r="120" spans="1:14">
      <c r="A120" s="3406" t="s">
        <v>3327</v>
      </c>
      <c r="B120" s="3384">
        <f>ROUND(0.9448-0.0115*B116,4)</f>
        <v>0.9103</v>
      </c>
      <c r="C120" s="3384">
        <f>B120</f>
        <v>0.9103</v>
      </c>
      <c r="D120" s="3384">
        <f>ROUND(0.937-0.0145*B116,4)</f>
        <v>0.89349999999999996</v>
      </c>
      <c r="E120" s="3384">
        <f t="shared" si="36"/>
        <v>0.89349999999999996</v>
      </c>
      <c r="F120" s="3384">
        <f t="shared" si="36"/>
        <v>0.89349999999999996</v>
      </c>
      <c r="G120" s="3384">
        <f t="shared" si="36"/>
        <v>0.89349999999999996</v>
      </c>
      <c r="H120" s="3384">
        <f t="shared" si="36"/>
        <v>0.89349999999999996</v>
      </c>
      <c r="I120" s="3384">
        <f>ROUND(0.7965-0.0185*B116,4)</f>
        <v>0.74099999999999999</v>
      </c>
      <c r="J120" s="3384">
        <f t="shared" si="35"/>
        <v>0.74099999999999999</v>
      </c>
      <c r="K120" s="3384">
        <f t="shared" si="35"/>
        <v>0.74099999999999999</v>
      </c>
      <c r="L120" s="3384">
        <f t="shared" si="35"/>
        <v>0.74099999999999999</v>
      </c>
      <c r="M120" s="3407">
        <f t="shared" si="35"/>
        <v>0.74099999999999999</v>
      </c>
      <c r="N120" s="3394"/>
    </row>
    <row r="121" spans="1:14" ht="13.5" thickBot="1">
      <c r="A121" s="3408" t="s">
        <v>3328</v>
      </c>
      <c r="B121" s="3409">
        <f>ROUND(0.7836-0.012*B116,4)</f>
        <v>0.74760000000000004</v>
      </c>
      <c r="C121" s="3409">
        <f>B121</f>
        <v>0.74760000000000004</v>
      </c>
      <c r="D121" s="3409">
        <f>ROUND(0.753-0.015*B116,4)</f>
        <v>0.70799999999999996</v>
      </c>
      <c r="E121" s="3409">
        <f>D121</f>
        <v>0.70799999999999996</v>
      </c>
      <c r="F121" s="3409">
        <f>E121</f>
        <v>0.70799999999999996</v>
      </c>
      <c r="G121" s="3409">
        <f>ROUND(0.6612-0.018*B116,4)</f>
        <v>0.60719999999999996</v>
      </c>
      <c r="H121" s="3409">
        <f>G121</f>
        <v>0.60719999999999996</v>
      </c>
      <c r="I121" s="3409">
        <f>ROUND(0.5905-0.019*B116,4)</f>
        <v>0.53349999999999997</v>
      </c>
      <c r="J121" s="3409">
        <f t="shared" si="35"/>
        <v>0.53349999999999997</v>
      </c>
      <c r="K121" s="3409">
        <f t="shared" si="35"/>
        <v>0.53349999999999997</v>
      </c>
      <c r="L121" s="3409">
        <f t="shared" si="35"/>
        <v>0.53349999999999997</v>
      </c>
      <c r="M121" s="3410">
        <f t="shared" si="35"/>
        <v>0.53349999999999997</v>
      </c>
      <c r="N121" s="3394"/>
    </row>
    <row r="122" spans="1:14">
      <c r="A122" s="3411" t="s">
        <v>2610</v>
      </c>
      <c r="B122" s="3384">
        <f>ROUND(0.9404-0.0106*B116,4)</f>
        <v>0.90859999999999996</v>
      </c>
      <c r="C122" s="3384">
        <f>B122</f>
        <v>0.90859999999999996</v>
      </c>
      <c r="D122" s="3384">
        <f>ROUND(0.8955-0.0135*B116,4)</f>
        <v>0.85499999999999998</v>
      </c>
      <c r="E122" s="3384">
        <f t="shared" ref="E122:H122" si="37">D122</f>
        <v>0.85499999999999998</v>
      </c>
      <c r="F122" s="3384">
        <f t="shared" si="37"/>
        <v>0.85499999999999998</v>
      </c>
      <c r="G122" s="3384">
        <f t="shared" si="37"/>
        <v>0.85499999999999998</v>
      </c>
      <c r="H122" s="3384">
        <f t="shared" si="37"/>
        <v>0.85499999999999998</v>
      </c>
      <c r="I122" s="3384">
        <f>ROUND(0.7632-0.0166*B116,4)</f>
        <v>0.71340000000000003</v>
      </c>
      <c r="J122" s="3384">
        <f t="shared" si="35"/>
        <v>0.71340000000000003</v>
      </c>
      <c r="K122" s="3384">
        <f t="shared" si="35"/>
        <v>0.71340000000000003</v>
      </c>
      <c r="L122" s="3384">
        <f t="shared" si="35"/>
        <v>0.71340000000000003</v>
      </c>
      <c r="M122" s="3407">
        <f t="shared" si="35"/>
        <v>0.71340000000000003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2592</v>
      </c>
      <c r="B1" s="3068" t="s">
        <v>2593</v>
      </c>
      <c r="C1" s="3068" t="s">
        <v>2594</v>
      </c>
      <c r="D1" s="3068" t="s">
        <v>2595</v>
      </c>
      <c r="E1" s="3068" t="s">
        <v>2596</v>
      </c>
      <c r="F1" s="3068" t="s">
        <v>2597</v>
      </c>
      <c r="G1" s="3068" t="s">
        <v>2598</v>
      </c>
      <c r="H1" s="3068" t="s">
        <v>2599</v>
      </c>
      <c r="I1" s="3068" t="s">
        <v>2600</v>
      </c>
      <c r="J1" s="3068" t="s">
        <v>2601</v>
      </c>
      <c r="K1" s="3068" t="s">
        <v>2602</v>
      </c>
      <c r="L1" s="3068" t="s">
        <v>2603</v>
      </c>
      <c r="M1" s="3069" t="s">
        <v>2604</v>
      </c>
    </row>
    <row r="2" spans="1:13" ht="19.5" customHeight="1">
      <c r="A2" s="3071" t="s">
        <v>2605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2621</v>
      </c>
      <c r="B18" s="3093"/>
      <c r="C18" s="3094"/>
      <c r="D18" s="3094"/>
      <c r="E18" s="3093"/>
      <c r="F18" s="3094"/>
      <c r="G18" s="3094"/>
    </row>
    <row r="19" spans="1:13" ht="19.5" customHeight="1" thickBot="1">
      <c r="A19" s="3091" t="s">
        <v>2622</v>
      </c>
      <c r="B19" s="3096" t="s">
        <v>2623</v>
      </c>
      <c r="C19" s="3096" t="s">
        <v>2624</v>
      </c>
      <c r="D19" s="3097"/>
      <c r="E19" s="3091" t="s">
        <v>2625</v>
      </c>
      <c r="F19" s="3098"/>
      <c r="G19" s="3098"/>
    </row>
    <row r="20" spans="1:13" ht="19.5" customHeight="1">
      <c r="A20" s="3762" t="s">
        <v>2605</v>
      </c>
      <c r="B20" s="3757" t="s">
        <v>2626</v>
      </c>
      <c r="C20" s="3099" t="s">
        <v>2437</v>
      </c>
      <c r="D20" s="3100"/>
      <c r="E20" s="3101">
        <v>1</v>
      </c>
      <c r="F20" s="3102" t="s">
        <v>2438</v>
      </c>
      <c r="G20" s="3102"/>
    </row>
    <row r="21" spans="1:13" ht="19.5" customHeight="1">
      <c r="A21" s="3763"/>
      <c r="B21" s="3756"/>
      <c r="C21" s="3103" t="s">
        <v>2439</v>
      </c>
      <c r="D21" s="3104"/>
      <c r="E21" s="3105">
        <v>1</v>
      </c>
      <c r="F21" s="3102" t="s">
        <v>2440</v>
      </c>
      <c r="G21" s="3102"/>
    </row>
    <row r="22" spans="1:13" ht="19.5" customHeight="1">
      <c r="A22" s="3763"/>
      <c r="B22" s="3756"/>
      <c r="C22" s="3103" t="s">
        <v>2441</v>
      </c>
      <c r="D22" s="3104"/>
      <c r="E22" s="3105">
        <v>0.9</v>
      </c>
      <c r="F22" s="3102" t="s">
        <v>2442</v>
      </c>
      <c r="G22" s="3102"/>
    </row>
    <row r="23" spans="1:13" ht="19.5" customHeight="1">
      <c r="A23" s="3763"/>
      <c r="B23" s="3756"/>
      <c r="C23" s="3103" t="s">
        <v>2443</v>
      </c>
      <c r="D23" s="3104"/>
      <c r="E23" s="3105">
        <v>0.9</v>
      </c>
      <c r="F23" s="3102" t="s">
        <v>2444</v>
      </c>
      <c r="G23" s="3102"/>
    </row>
    <row r="24" spans="1:13" ht="19.5" customHeight="1">
      <c r="A24" s="3763"/>
      <c r="B24" s="3756"/>
      <c r="C24" s="3103" t="s">
        <v>2445</v>
      </c>
      <c r="D24" s="3104"/>
      <c r="E24" s="3105">
        <v>0.8</v>
      </c>
      <c r="F24" s="3102" t="s">
        <v>2446</v>
      </c>
      <c r="G24" s="3102"/>
    </row>
    <row r="25" spans="1:13" ht="19.5" customHeight="1" thickBot="1">
      <c r="A25" s="3764"/>
      <c r="B25" s="3758"/>
      <c r="C25" s="3106" t="s">
        <v>2447</v>
      </c>
      <c r="D25" s="3107"/>
      <c r="E25" s="3108">
        <v>0.8</v>
      </c>
      <c r="F25" s="3102" t="s">
        <v>2448</v>
      </c>
      <c r="G25" s="3102"/>
    </row>
    <row r="26" spans="1:13" ht="19.5" customHeight="1" thickBot="1">
      <c r="A26" s="3109" t="s">
        <v>2627</v>
      </c>
      <c r="B26" s="3110" t="s">
        <v>2626</v>
      </c>
      <c r="C26" s="3111" t="s">
        <v>2628</v>
      </c>
      <c r="D26" s="3112"/>
      <c r="E26" s="3113">
        <v>1</v>
      </c>
      <c r="F26" s="3102" t="s">
        <v>2449</v>
      </c>
      <c r="G26" s="3102"/>
    </row>
    <row r="27" spans="1:13" ht="19.5" customHeight="1">
      <c r="A27" s="3759" t="s">
        <v>2629</v>
      </c>
      <c r="B27" s="3757" t="s">
        <v>2610</v>
      </c>
      <c r="C27" s="3099" t="s">
        <v>2450</v>
      </c>
      <c r="D27" s="3100"/>
      <c r="E27" s="3101">
        <v>1</v>
      </c>
      <c r="F27" s="3102" t="s">
        <v>2451</v>
      </c>
      <c r="G27" s="3102"/>
    </row>
    <row r="28" spans="1:13" ht="19.5" customHeight="1">
      <c r="A28" s="3760"/>
      <c r="B28" s="3756"/>
      <c r="C28" s="3103" t="s">
        <v>2452</v>
      </c>
      <c r="D28" s="3104"/>
      <c r="E28" s="3105">
        <v>1</v>
      </c>
      <c r="F28" s="3102" t="s">
        <v>2453</v>
      </c>
      <c r="G28" s="3102"/>
    </row>
    <row r="29" spans="1:13" ht="19.5" customHeight="1">
      <c r="A29" s="3760"/>
      <c r="B29" s="3756"/>
      <c r="C29" s="3103" t="s">
        <v>2454</v>
      </c>
      <c r="D29" s="3104"/>
      <c r="E29" s="3105">
        <v>0.8</v>
      </c>
      <c r="F29" s="3102" t="s">
        <v>2455</v>
      </c>
      <c r="G29" s="3102"/>
    </row>
    <row r="30" spans="1:13" ht="19.5" customHeight="1">
      <c r="A30" s="3760"/>
      <c r="B30" s="3756"/>
      <c r="C30" s="3103" t="s">
        <v>2456</v>
      </c>
      <c r="D30" s="3104"/>
      <c r="E30" s="3105">
        <v>0.8</v>
      </c>
      <c r="F30" s="3102" t="s">
        <v>2457</v>
      </c>
      <c r="G30" s="3102"/>
    </row>
    <row r="31" spans="1:13" ht="19.5" customHeight="1">
      <c r="A31" s="3760"/>
      <c r="B31" s="3756"/>
      <c r="C31" s="3103" t="s">
        <v>2458</v>
      </c>
      <c r="D31" s="3104"/>
      <c r="E31" s="3105">
        <v>0.8</v>
      </c>
      <c r="F31" s="3102" t="s">
        <v>2459</v>
      </c>
      <c r="G31" s="3102"/>
    </row>
    <row r="32" spans="1:13" ht="19.5" customHeight="1">
      <c r="A32" s="3760"/>
      <c r="B32" s="3756"/>
      <c r="C32" s="3103" t="s">
        <v>2460</v>
      </c>
      <c r="D32" s="3104"/>
      <c r="E32" s="3105">
        <v>0.7</v>
      </c>
      <c r="F32" s="3102" t="s">
        <v>2461</v>
      </c>
      <c r="G32" s="3102"/>
    </row>
    <row r="33" spans="1:7" ht="19.5" customHeight="1">
      <c r="A33" s="3760"/>
      <c r="B33" s="3756"/>
      <c r="C33" s="3103" t="s">
        <v>2462</v>
      </c>
      <c r="D33" s="3104"/>
      <c r="E33" s="3105">
        <v>0.8</v>
      </c>
      <c r="F33" s="3102" t="s">
        <v>2463</v>
      </c>
      <c r="G33" s="3102"/>
    </row>
    <row r="34" spans="1:7" ht="19.5" customHeight="1">
      <c r="A34" s="3760"/>
      <c r="B34" s="3756"/>
      <c r="C34" s="3103" t="s">
        <v>2464</v>
      </c>
      <c r="D34" s="3104"/>
      <c r="E34" s="3105">
        <v>0.6</v>
      </c>
      <c r="F34" s="3102" t="s">
        <v>2465</v>
      </c>
      <c r="G34" s="3102"/>
    </row>
    <row r="35" spans="1:7" ht="19.5" customHeight="1">
      <c r="A35" s="3760"/>
      <c r="B35" s="3756"/>
      <c r="C35" s="3103" t="s">
        <v>2466</v>
      </c>
      <c r="D35" s="3104"/>
      <c r="E35" s="3105">
        <v>0.2</v>
      </c>
      <c r="F35" s="3102" t="s">
        <v>2467</v>
      </c>
      <c r="G35" s="3102"/>
    </row>
    <row r="36" spans="1:7" ht="19.5" customHeight="1">
      <c r="A36" s="3760"/>
      <c r="B36" s="3756"/>
      <c r="C36" s="3103" t="s">
        <v>2468</v>
      </c>
      <c r="D36" s="3104"/>
      <c r="E36" s="3105">
        <v>0.2</v>
      </c>
      <c r="F36" s="3102" t="s">
        <v>2469</v>
      </c>
      <c r="G36" s="3102"/>
    </row>
    <row r="37" spans="1:7" ht="19.5" customHeight="1">
      <c r="A37" s="3760"/>
      <c r="B37" s="3754" t="s">
        <v>2630</v>
      </c>
      <c r="C37" s="3103" t="s">
        <v>2470</v>
      </c>
      <c r="D37" s="3104"/>
      <c r="E37" s="3105">
        <v>0.6</v>
      </c>
      <c r="F37" s="3102" t="s">
        <v>2471</v>
      </c>
      <c r="G37" s="3102"/>
    </row>
    <row r="38" spans="1:7" ht="19.5" customHeight="1">
      <c r="A38" s="3760"/>
      <c r="B38" s="3756"/>
      <c r="C38" s="3103" t="s">
        <v>2472</v>
      </c>
      <c r="D38" s="3104"/>
      <c r="E38" s="3105">
        <v>0.6</v>
      </c>
      <c r="F38" s="3102" t="s">
        <v>2473</v>
      </c>
      <c r="G38" s="3102"/>
    </row>
    <row r="39" spans="1:7" ht="19.5" customHeight="1" thickBot="1">
      <c r="A39" s="3761"/>
      <c r="B39" s="3758"/>
      <c r="C39" s="3106" t="s">
        <v>2474</v>
      </c>
      <c r="D39" s="3107"/>
      <c r="E39" s="3108">
        <v>0.6</v>
      </c>
      <c r="F39" s="3102" t="s">
        <v>2475</v>
      </c>
      <c r="G39" s="3102"/>
    </row>
    <row r="40" spans="1:7" ht="19.5" customHeight="1" thickBot="1">
      <c r="A40" s="3109" t="s">
        <v>2607</v>
      </c>
      <c r="B40" s="3110" t="s">
        <v>2607</v>
      </c>
      <c r="C40" s="3111" t="s">
        <v>2631</v>
      </c>
      <c r="D40" s="3112"/>
      <c r="E40" s="3113">
        <v>1</v>
      </c>
      <c r="F40" s="3102" t="s">
        <v>2476</v>
      </c>
      <c r="G40" s="3102"/>
    </row>
    <row r="41" spans="1:7" ht="19.5" customHeight="1">
      <c r="A41" s="3762" t="s">
        <v>2608</v>
      </c>
      <c r="B41" s="3757" t="s">
        <v>2632</v>
      </c>
      <c r="C41" s="3099" t="s">
        <v>2477</v>
      </c>
      <c r="D41" s="3100"/>
      <c r="E41" s="3101">
        <v>1</v>
      </c>
      <c r="F41" s="3102" t="s">
        <v>2478</v>
      </c>
      <c r="G41" s="3102"/>
    </row>
    <row r="42" spans="1:7" ht="19.5" customHeight="1">
      <c r="A42" s="3763"/>
      <c r="B42" s="3756"/>
      <c r="C42" s="3103" t="s">
        <v>2479</v>
      </c>
      <c r="D42" s="3104"/>
      <c r="E42" s="3105">
        <v>1</v>
      </c>
      <c r="F42" s="3102" t="s">
        <v>2480</v>
      </c>
      <c r="G42" s="3102"/>
    </row>
    <row r="43" spans="1:7" ht="19.5" customHeight="1">
      <c r="A43" s="3763"/>
      <c r="B43" s="3755"/>
      <c r="C43" s="3103" t="s">
        <v>2481</v>
      </c>
      <c r="D43" s="3104"/>
      <c r="E43" s="3105">
        <v>1.5</v>
      </c>
      <c r="F43" s="3102" t="s">
        <v>2482</v>
      </c>
      <c r="G43" s="3102"/>
    </row>
    <row r="44" spans="1:7" ht="19.5" customHeight="1">
      <c r="A44" s="3763"/>
      <c r="B44" s="3114" t="s">
        <v>2633</v>
      </c>
      <c r="C44" s="3103" t="s">
        <v>2634</v>
      </c>
      <c r="D44" s="3104"/>
      <c r="E44" s="3105">
        <v>2</v>
      </c>
      <c r="F44" s="3102" t="s">
        <v>2483</v>
      </c>
      <c r="G44" s="3102"/>
    </row>
    <row r="45" spans="1:7" ht="19.5" customHeight="1">
      <c r="A45" s="3763"/>
      <c r="B45" s="3754" t="s">
        <v>2635</v>
      </c>
      <c r="C45" s="3103" t="s">
        <v>2484</v>
      </c>
      <c r="D45" s="3104"/>
      <c r="E45" s="3105">
        <v>1</v>
      </c>
      <c r="F45" s="3102" t="s">
        <v>2485</v>
      </c>
      <c r="G45" s="3102"/>
    </row>
    <row r="46" spans="1:7" ht="19.5" customHeight="1">
      <c r="A46" s="3763"/>
      <c r="B46" s="3756"/>
      <c r="C46" s="3103" t="s">
        <v>2486</v>
      </c>
      <c r="D46" s="3104"/>
      <c r="E46" s="3105">
        <v>1</v>
      </c>
      <c r="F46" s="3102" t="s">
        <v>2487</v>
      </c>
      <c r="G46" s="3102"/>
    </row>
    <row r="47" spans="1:7" ht="19.5" customHeight="1">
      <c r="A47" s="3763"/>
      <c r="B47" s="3756"/>
      <c r="C47" s="3103" t="s">
        <v>2488</v>
      </c>
      <c r="D47" s="3104"/>
      <c r="E47" s="3105">
        <v>1</v>
      </c>
      <c r="F47" s="3102" t="s">
        <v>2489</v>
      </c>
      <c r="G47" s="3102"/>
    </row>
    <row r="48" spans="1:7" ht="19.5" customHeight="1">
      <c r="A48" s="3763"/>
      <c r="B48" s="3756"/>
      <c r="C48" s="3103" t="s">
        <v>2490</v>
      </c>
      <c r="D48" s="3104"/>
      <c r="E48" s="3105">
        <v>1</v>
      </c>
      <c r="F48" s="3102" t="s">
        <v>2491</v>
      </c>
      <c r="G48" s="3102"/>
    </row>
    <row r="49" spans="1:7" ht="19.5" customHeight="1">
      <c r="A49" s="3763"/>
      <c r="B49" s="3756"/>
      <c r="C49" s="3103" t="s">
        <v>2492</v>
      </c>
      <c r="D49" s="3104"/>
      <c r="E49" s="3105">
        <v>1</v>
      </c>
      <c r="F49" s="3102" t="s">
        <v>2493</v>
      </c>
      <c r="G49" s="3102"/>
    </row>
    <row r="50" spans="1:7" ht="19.5" customHeight="1">
      <c r="A50" s="3763"/>
      <c r="B50" s="3756"/>
      <c r="C50" s="3103" t="s">
        <v>2494</v>
      </c>
      <c r="D50" s="3104"/>
      <c r="E50" s="3105">
        <v>1</v>
      </c>
      <c r="F50" s="3102" t="s">
        <v>2495</v>
      </c>
      <c r="G50" s="3102"/>
    </row>
    <row r="51" spans="1:7" ht="19.5" customHeight="1" thickBot="1">
      <c r="A51" s="3764"/>
      <c r="B51" s="3758"/>
      <c r="C51" s="3106" t="s">
        <v>2496</v>
      </c>
      <c r="D51" s="3107"/>
      <c r="E51" s="3108">
        <v>1</v>
      </c>
      <c r="F51" s="3102" t="s">
        <v>2497</v>
      </c>
      <c r="G51" s="3102"/>
    </row>
    <row r="52" spans="1:7" ht="19.5" customHeight="1">
      <c r="A52" s="3115"/>
      <c r="B52" s="3115"/>
      <c r="C52" s="3115"/>
      <c r="D52" s="3115"/>
      <c r="E52" s="3115"/>
      <c r="F52" s="3115"/>
      <c r="G52" s="3115"/>
    </row>
    <row r="54" spans="1:7" ht="19.5" customHeight="1">
      <c r="A54" s="3116"/>
      <c r="B54" s="3088" t="s">
        <v>2636</v>
      </c>
      <c r="C54" s="3088" t="s">
        <v>2636</v>
      </c>
      <c r="D54" s="3088" t="s">
        <v>2636</v>
      </c>
      <c r="E54" s="3091" t="s">
        <v>2636</v>
      </c>
      <c r="F54" s="3091" t="s">
        <v>2637</v>
      </c>
      <c r="G54" s="3091" t="s">
        <v>2638</v>
      </c>
    </row>
    <row r="55" spans="1:7" ht="19.5" customHeight="1">
      <c r="A55" s="3117"/>
      <c r="B55" s="3091" t="s">
        <v>2605</v>
      </c>
      <c r="C55" s="3091" t="s">
        <v>2605</v>
      </c>
      <c r="D55" s="3091" t="s">
        <v>2605</v>
      </c>
      <c r="E55" s="3088" t="s">
        <v>2606</v>
      </c>
      <c r="F55" s="3088" t="s">
        <v>2608</v>
      </c>
      <c r="G55" s="3088" t="s">
        <v>2639</v>
      </c>
    </row>
    <row r="56" spans="1:7" ht="19.5" customHeight="1">
      <c r="A56" s="3118"/>
      <c r="B56" s="3088">
        <v>1</v>
      </c>
      <c r="C56" s="3088">
        <v>2</v>
      </c>
      <c r="D56" s="3088">
        <v>3</v>
      </c>
      <c r="E56" s="3119" t="s">
        <v>2640</v>
      </c>
      <c r="F56" s="3119" t="s">
        <v>2640</v>
      </c>
      <c r="G56" s="3119" t="s">
        <v>2640</v>
      </c>
    </row>
    <row r="57" spans="1:7" ht="19.5" customHeight="1">
      <c r="A57" s="3120" t="s">
        <v>2593</v>
      </c>
      <c r="B57" s="3088">
        <v>0.7</v>
      </c>
      <c r="C57" s="3088">
        <v>0.4</v>
      </c>
      <c r="D57" s="3088">
        <v>0.3</v>
      </c>
      <c r="E57" s="3119">
        <v>0.3</v>
      </c>
      <c r="F57" s="3088">
        <v>0.3</v>
      </c>
      <c r="G57" s="3088">
        <v>0.2</v>
      </c>
    </row>
    <row r="58" spans="1:7" ht="19.5" customHeight="1">
      <c r="A58" s="3120" t="s">
        <v>2594</v>
      </c>
      <c r="B58" s="3088">
        <v>0.7</v>
      </c>
      <c r="C58" s="3088">
        <v>0.4</v>
      </c>
      <c r="D58" s="3088">
        <v>0.3</v>
      </c>
      <c r="E58" s="3088">
        <v>0.3</v>
      </c>
      <c r="F58" s="3088">
        <v>0.3</v>
      </c>
      <c r="G58" s="3088">
        <v>0.2</v>
      </c>
    </row>
    <row r="59" spans="1:7" ht="19.5" customHeight="1">
      <c r="A59" s="3120" t="s">
        <v>2595</v>
      </c>
      <c r="B59" s="3088">
        <v>0.6</v>
      </c>
      <c r="C59" s="3088">
        <v>0.3</v>
      </c>
      <c r="D59" s="3088">
        <v>0.25</v>
      </c>
      <c r="E59" s="3088">
        <v>0.25</v>
      </c>
      <c r="F59" s="3088">
        <v>0.25</v>
      </c>
      <c r="G59" s="3088">
        <v>0.15</v>
      </c>
    </row>
    <row r="60" spans="1:7" ht="19.5" customHeight="1">
      <c r="A60" s="3120" t="s">
        <v>2596</v>
      </c>
      <c r="B60" s="3088">
        <v>0.6</v>
      </c>
      <c r="C60" s="3088">
        <v>0.3</v>
      </c>
      <c r="D60" s="3088">
        <v>0.25</v>
      </c>
      <c r="E60" s="3088">
        <v>0.25</v>
      </c>
      <c r="F60" s="3088">
        <v>0.25</v>
      </c>
      <c r="G60" s="3088">
        <v>0.15</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0.5</v>
      </c>
      <c r="C64" s="3088">
        <v>0.2</v>
      </c>
      <c r="D64" s="3088">
        <v>0.2</v>
      </c>
      <c r="E64" s="3088">
        <v>0.2</v>
      </c>
      <c r="F64" s="3088">
        <v>0.2</v>
      </c>
      <c r="G64" s="3088">
        <v>0.1</v>
      </c>
    </row>
    <row r="65" spans="1:7" ht="19.5" customHeight="1">
      <c r="A65" s="3120" t="s">
        <v>2601</v>
      </c>
      <c r="B65" s="3088">
        <v>0.5</v>
      </c>
      <c r="C65" s="3088">
        <v>0.2</v>
      </c>
      <c r="D65" s="3088">
        <v>0.2</v>
      </c>
      <c r="E65" s="3088">
        <v>0.2</v>
      </c>
      <c r="F65" s="3088">
        <v>0.2</v>
      </c>
      <c r="G65" s="3088">
        <v>0.1</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70" spans="1:7" ht="19.5" customHeight="1">
      <c r="A70" s="3121"/>
      <c r="B70" s="3122"/>
      <c r="C70" s="3122"/>
      <c r="D70" s="3122" t="s">
        <v>2641</v>
      </c>
      <c r="E70" s="3122"/>
      <c r="F70" s="3122"/>
    </row>
    <row r="71" spans="1:7" ht="19.5" customHeight="1">
      <c r="A71" s="3114" t="s">
        <v>2642</v>
      </c>
      <c r="B71" s="3114" t="s">
        <v>2643</v>
      </c>
      <c r="C71" s="3114" t="s">
        <v>2644</v>
      </c>
      <c r="D71" s="3114" t="s">
        <v>2645</v>
      </c>
      <c r="E71" s="3114" t="s">
        <v>2646</v>
      </c>
      <c r="F71" s="3114" t="s">
        <v>2647</v>
      </c>
    </row>
    <row r="72" spans="1:7" ht="13.5">
      <c r="A72" s="3114"/>
      <c r="B72" s="3114"/>
      <c r="C72" s="3114" t="s">
        <v>2648</v>
      </c>
      <c r="D72" s="3114"/>
      <c r="E72" s="3114" t="s">
        <v>2619</v>
      </c>
      <c r="F72" s="3114" t="s">
        <v>2619</v>
      </c>
    </row>
    <row r="73" spans="1:7" ht="13.5">
      <c r="A73" s="3114">
        <v>1</v>
      </c>
      <c r="B73" s="3754" t="s">
        <v>2649</v>
      </c>
      <c r="C73" s="3088" t="s">
        <v>2650</v>
      </c>
      <c r="D73" s="3088" t="s">
        <v>2651</v>
      </c>
      <c r="E73" s="3114">
        <v>0.2</v>
      </c>
      <c r="F73" s="3114">
        <v>25</v>
      </c>
    </row>
    <row r="74" spans="1:7" ht="24">
      <c r="A74" s="3114">
        <v>2</v>
      </c>
      <c r="B74" s="3756"/>
      <c r="C74" s="3088" t="s">
        <v>2652</v>
      </c>
      <c r="D74" s="3088" t="s">
        <v>2653</v>
      </c>
      <c r="E74" s="3114">
        <v>0.2</v>
      </c>
      <c r="F74" s="3114">
        <v>25</v>
      </c>
    </row>
    <row r="75" spans="1:7" ht="24">
      <c r="A75" s="3114">
        <v>3</v>
      </c>
      <c r="B75" s="3756"/>
      <c r="C75" s="3088" t="s">
        <v>2654</v>
      </c>
      <c r="D75" s="3088" t="s">
        <v>2655</v>
      </c>
      <c r="E75" s="3114">
        <v>0.2</v>
      </c>
      <c r="F75" s="3114">
        <v>25</v>
      </c>
    </row>
    <row r="76" spans="1:7" ht="13.5">
      <c r="A76" s="3114">
        <v>4</v>
      </c>
      <c r="B76" s="3756"/>
      <c r="C76" s="3088" t="s">
        <v>2656</v>
      </c>
      <c r="D76" s="3088" t="s">
        <v>2657</v>
      </c>
      <c r="E76" s="3114">
        <v>0.15</v>
      </c>
      <c r="F76" s="3114">
        <v>20</v>
      </c>
    </row>
    <row r="77" spans="1:7" ht="24">
      <c r="A77" s="3114">
        <v>5</v>
      </c>
      <c r="B77" s="3756"/>
      <c r="C77" s="3088" t="s">
        <v>2658</v>
      </c>
      <c r="D77" s="3088" t="s">
        <v>2659</v>
      </c>
      <c r="E77" s="3114">
        <v>0.15</v>
      </c>
      <c r="F77" s="3114">
        <v>20</v>
      </c>
    </row>
    <row r="78" spans="1:7" ht="24">
      <c r="A78" s="3114">
        <v>6</v>
      </c>
      <c r="B78" s="3756"/>
      <c r="C78" s="3088" t="s">
        <v>2660</v>
      </c>
      <c r="D78" s="3088" t="s">
        <v>2661</v>
      </c>
      <c r="E78" s="3114">
        <v>0.15</v>
      </c>
      <c r="F78" s="3114">
        <v>20</v>
      </c>
    </row>
    <row r="79" spans="1:7" ht="24">
      <c r="A79" s="3114">
        <v>7</v>
      </c>
      <c r="B79" s="3756"/>
      <c r="C79" s="3088" t="s">
        <v>2662</v>
      </c>
      <c r="D79" s="3088" t="s">
        <v>2663</v>
      </c>
      <c r="E79" s="3114">
        <v>0.15</v>
      </c>
      <c r="F79" s="3114">
        <v>20</v>
      </c>
    </row>
    <row r="80" spans="1:7" ht="24">
      <c r="A80" s="3114">
        <v>8</v>
      </c>
      <c r="B80" s="3756"/>
      <c r="C80" s="3088" t="s">
        <v>2664</v>
      </c>
      <c r="D80" s="3088" t="s">
        <v>2665</v>
      </c>
      <c r="E80" s="3114">
        <v>0.1</v>
      </c>
      <c r="F80" s="3114">
        <v>15</v>
      </c>
    </row>
    <row r="81" spans="1:6" ht="24">
      <c r="A81" s="3114">
        <v>9</v>
      </c>
      <c r="B81" s="3756"/>
      <c r="C81" s="3088" t="s">
        <v>2666</v>
      </c>
      <c r="D81" s="3088" t="s">
        <v>2667</v>
      </c>
      <c r="E81" s="3114">
        <v>0.1</v>
      </c>
      <c r="F81" s="3114">
        <v>15</v>
      </c>
    </row>
    <row r="82" spans="1:6" ht="24">
      <c r="A82" s="3114">
        <v>10</v>
      </c>
      <c r="B82" s="3756"/>
      <c r="C82" s="3088" t="s">
        <v>2668</v>
      </c>
      <c r="D82" s="3088" t="s">
        <v>2669</v>
      </c>
      <c r="E82" s="3114">
        <v>0.1</v>
      </c>
      <c r="F82" s="3114">
        <v>15</v>
      </c>
    </row>
    <row r="83" spans="1:6" ht="24">
      <c r="A83" s="3114">
        <v>11</v>
      </c>
      <c r="B83" s="3756"/>
      <c r="C83" s="3088" t="s">
        <v>2670</v>
      </c>
      <c r="D83" s="3088" t="s">
        <v>2671</v>
      </c>
      <c r="E83" s="3114">
        <v>0.1</v>
      </c>
      <c r="F83" s="3114">
        <v>15</v>
      </c>
    </row>
    <row r="84" spans="1:6" ht="24">
      <c r="A84" s="3114">
        <v>12</v>
      </c>
      <c r="B84" s="3756"/>
      <c r="C84" s="3088" t="s">
        <v>2672</v>
      </c>
      <c r="D84" s="3088" t="s">
        <v>2673</v>
      </c>
      <c r="E84" s="3114">
        <v>0.1</v>
      </c>
      <c r="F84" s="3114">
        <v>15</v>
      </c>
    </row>
    <row r="85" spans="1:6" ht="13.5">
      <c r="A85" s="3114">
        <v>13</v>
      </c>
      <c r="B85" s="3756"/>
      <c r="C85" s="3088" t="s">
        <v>2674</v>
      </c>
      <c r="D85" s="3088" t="s">
        <v>2675</v>
      </c>
      <c r="E85" s="3114">
        <v>0.1</v>
      </c>
      <c r="F85" s="3114">
        <v>15</v>
      </c>
    </row>
    <row r="86" spans="1:6" ht="13.5">
      <c r="A86" s="3114">
        <v>14</v>
      </c>
      <c r="B86" s="3756"/>
      <c r="C86" s="3088" t="s">
        <v>2676</v>
      </c>
      <c r="D86" s="3088" t="s">
        <v>2677</v>
      </c>
      <c r="E86" s="3114">
        <v>0.1</v>
      </c>
      <c r="F86" s="3114">
        <v>15</v>
      </c>
    </row>
    <row r="87" spans="1:6" ht="13.5">
      <c r="A87" s="3114">
        <v>15</v>
      </c>
      <c r="B87" s="3756"/>
      <c r="C87" s="3088" t="s">
        <v>2678</v>
      </c>
      <c r="D87" s="3088" t="s">
        <v>2679</v>
      </c>
      <c r="E87" s="3114">
        <v>0.1</v>
      </c>
      <c r="F87" s="3114">
        <v>15</v>
      </c>
    </row>
    <row r="88" spans="1:6" ht="24">
      <c r="A88" s="3114">
        <v>16</v>
      </c>
      <c r="B88" s="3756"/>
      <c r="C88" s="3088" t="s">
        <v>2680</v>
      </c>
      <c r="D88" s="3088" t="s">
        <v>2681</v>
      </c>
      <c r="E88" s="3114">
        <v>0.1</v>
      </c>
      <c r="F88" s="3114">
        <v>15</v>
      </c>
    </row>
    <row r="89" spans="1:6" ht="24">
      <c r="A89" s="3114">
        <v>17</v>
      </c>
      <c r="B89" s="3755"/>
      <c r="C89" s="3088" t="s">
        <v>2682</v>
      </c>
      <c r="D89" s="3088" t="s">
        <v>2683</v>
      </c>
      <c r="E89" s="3114">
        <v>0.1</v>
      </c>
      <c r="F89" s="3114">
        <v>15</v>
      </c>
    </row>
    <row r="90" spans="1:6" ht="13.5">
      <c r="A90" s="3114">
        <v>18</v>
      </c>
      <c r="B90" s="3754" t="s">
        <v>2684</v>
      </c>
      <c r="C90" s="3088" t="s">
        <v>2685</v>
      </c>
      <c r="D90" s="3088" t="s">
        <v>2686</v>
      </c>
      <c r="E90" s="3114">
        <v>0.2</v>
      </c>
      <c r="F90" s="3114">
        <v>25</v>
      </c>
    </row>
    <row r="91" spans="1:6" ht="24">
      <c r="A91" s="3114">
        <v>19</v>
      </c>
      <c r="B91" s="3756"/>
      <c r="C91" s="3088" t="s">
        <v>2687</v>
      </c>
      <c r="D91" s="3088" t="s">
        <v>2688</v>
      </c>
      <c r="E91" s="3114">
        <v>0.2</v>
      </c>
      <c r="F91" s="3114">
        <v>25</v>
      </c>
    </row>
    <row r="92" spans="1:6" ht="13.5">
      <c r="A92" s="3114">
        <v>20</v>
      </c>
      <c r="B92" s="3756"/>
      <c r="C92" s="3088" t="s">
        <v>2689</v>
      </c>
      <c r="D92" s="3088" t="s">
        <v>2690</v>
      </c>
      <c r="E92" s="3114">
        <v>0.15</v>
      </c>
      <c r="F92" s="3114">
        <v>20</v>
      </c>
    </row>
    <row r="93" spans="1:6" ht="13.5">
      <c r="A93" s="3114">
        <v>21</v>
      </c>
      <c r="B93" s="3756"/>
      <c r="C93" s="3088" t="s">
        <v>2691</v>
      </c>
      <c r="D93" s="3088" t="s">
        <v>2692</v>
      </c>
      <c r="E93" s="3114">
        <v>0.15</v>
      </c>
      <c r="F93" s="3114">
        <v>20</v>
      </c>
    </row>
    <row r="94" spans="1:6" ht="13.5">
      <c r="A94" s="3114">
        <v>22</v>
      </c>
      <c r="B94" s="3756"/>
      <c r="C94" s="3088" t="s">
        <v>2693</v>
      </c>
      <c r="D94" s="3088" t="s">
        <v>2694</v>
      </c>
      <c r="E94" s="3114">
        <v>0.15</v>
      </c>
      <c r="F94" s="3114">
        <v>20</v>
      </c>
    </row>
    <row r="95" spans="1:6" ht="36">
      <c r="A95" s="3114">
        <v>23</v>
      </c>
      <c r="B95" s="3756"/>
      <c r="C95" s="3088" t="s">
        <v>2695</v>
      </c>
      <c r="D95" s="3088" t="s">
        <v>2696</v>
      </c>
      <c r="E95" s="3114">
        <v>0.15</v>
      </c>
      <c r="F95" s="3114">
        <v>20</v>
      </c>
    </row>
    <row r="96" spans="1:6" ht="13.5">
      <c r="A96" s="3114">
        <v>24</v>
      </c>
      <c r="B96" s="3756"/>
      <c r="C96" s="3088" t="s">
        <v>2697</v>
      </c>
      <c r="D96" s="3088" t="s">
        <v>2698</v>
      </c>
      <c r="E96" s="3114">
        <v>0.1</v>
      </c>
      <c r="F96" s="3114">
        <v>15</v>
      </c>
    </row>
    <row r="97" spans="1:6" ht="13.5">
      <c r="A97" s="3114">
        <v>25</v>
      </c>
      <c r="B97" s="3756"/>
      <c r="C97" s="3088" t="s">
        <v>2699</v>
      </c>
      <c r="D97" s="3088" t="s">
        <v>2700</v>
      </c>
      <c r="E97" s="3114">
        <v>0.1</v>
      </c>
      <c r="F97" s="3114">
        <v>15</v>
      </c>
    </row>
    <row r="98" spans="1:6" ht="24">
      <c r="A98" s="3114">
        <v>26</v>
      </c>
      <c r="B98" s="3756"/>
      <c r="C98" s="3088" t="s">
        <v>2701</v>
      </c>
      <c r="D98" s="3088" t="s">
        <v>2702</v>
      </c>
      <c r="E98" s="3114">
        <v>0.1</v>
      </c>
      <c r="F98" s="3114">
        <v>15</v>
      </c>
    </row>
    <row r="99" spans="1:6" ht="24">
      <c r="A99" s="3114">
        <v>27</v>
      </c>
      <c r="B99" s="3756"/>
      <c r="C99" s="3088" t="s">
        <v>2703</v>
      </c>
      <c r="D99" s="3088" t="s">
        <v>2704</v>
      </c>
      <c r="E99" s="3114">
        <v>0.1</v>
      </c>
      <c r="F99" s="3114">
        <v>15</v>
      </c>
    </row>
    <row r="100" spans="1:6" ht="13.5">
      <c r="A100" s="3114">
        <v>28</v>
      </c>
      <c r="B100" s="3756"/>
      <c r="C100" s="3088" t="s">
        <v>2705</v>
      </c>
      <c r="D100" s="3088" t="s">
        <v>2706</v>
      </c>
      <c r="E100" s="3114">
        <v>0.1</v>
      </c>
      <c r="F100" s="3114">
        <v>15</v>
      </c>
    </row>
    <row r="101" spans="1:6" ht="13.5">
      <c r="A101" s="3114">
        <v>29</v>
      </c>
      <c r="B101" s="3756"/>
      <c r="C101" s="3088" t="s">
        <v>2707</v>
      </c>
      <c r="D101" s="3088" t="s">
        <v>2708</v>
      </c>
      <c r="E101" s="3114">
        <v>0.1</v>
      </c>
      <c r="F101" s="3114">
        <v>15</v>
      </c>
    </row>
    <row r="102" spans="1:6" ht="13.5">
      <c r="A102" s="3114">
        <v>30</v>
      </c>
      <c r="B102" s="3756"/>
      <c r="C102" s="3088" t="s">
        <v>2709</v>
      </c>
      <c r="D102" s="3088" t="s">
        <v>2710</v>
      </c>
      <c r="E102" s="3114">
        <v>0.1</v>
      </c>
      <c r="F102" s="3114">
        <v>15</v>
      </c>
    </row>
    <row r="103" spans="1:6" ht="24">
      <c r="A103" s="3114">
        <v>31</v>
      </c>
      <c r="B103" s="3756"/>
      <c r="C103" s="3088" t="s">
        <v>2711</v>
      </c>
      <c r="D103" s="3088" t="s">
        <v>2712</v>
      </c>
      <c r="E103" s="3114">
        <v>0.1</v>
      </c>
      <c r="F103" s="3114">
        <v>15</v>
      </c>
    </row>
    <row r="104" spans="1:6" ht="24">
      <c r="A104" s="3114">
        <v>32</v>
      </c>
      <c r="B104" s="3756"/>
      <c r="C104" s="3088" t="s">
        <v>2713</v>
      </c>
      <c r="D104" s="3088" t="s">
        <v>2714</v>
      </c>
      <c r="E104" s="3114">
        <v>0.1</v>
      </c>
      <c r="F104" s="3114">
        <v>15</v>
      </c>
    </row>
    <row r="105" spans="1:6" ht="24">
      <c r="A105" s="3114">
        <v>33</v>
      </c>
      <c r="B105" s="3756"/>
      <c r="C105" s="3088" t="s">
        <v>2715</v>
      </c>
      <c r="D105" s="3088" t="s">
        <v>2716</v>
      </c>
      <c r="E105" s="3114">
        <v>0.1</v>
      </c>
      <c r="F105" s="3114">
        <v>15</v>
      </c>
    </row>
    <row r="106" spans="1:6" ht="24">
      <c r="A106" s="3114">
        <v>34</v>
      </c>
      <c r="B106" s="3755"/>
      <c r="C106" s="3088" t="s">
        <v>2717</v>
      </c>
      <c r="D106" s="3088" t="s">
        <v>2718</v>
      </c>
      <c r="E106" s="3114">
        <v>0.1</v>
      </c>
      <c r="F106" s="3114">
        <v>15</v>
      </c>
    </row>
    <row r="107" spans="1:6" ht="24">
      <c r="A107" s="3114">
        <v>35</v>
      </c>
      <c r="B107" s="3754" t="s">
        <v>2719</v>
      </c>
      <c r="C107" s="3114" t="s">
        <v>2720</v>
      </c>
      <c r="D107" s="3088" t="s">
        <v>2721</v>
      </c>
      <c r="E107" s="3114">
        <v>0.15</v>
      </c>
      <c r="F107" s="3114">
        <v>20</v>
      </c>
    </row>
    <row r="108" spans="1:6" ht="13.5">
      <c r="A108" s="3114">
        <v>36</v>
      </c>
      <c r="B108" s="3756"/>
      <c r="C108" s="3114" t="s">
        <v>2722</v>
      </c>
      <c r="D108" s="3088" t="s">
        <v>2723</v>
      </c>
      <c r="E108" s="3114">
        <v>0.15</v>
      </c>
      <c r="F108" s="3114">
        <v>20</v>
      </c>
    </row>
    <row r="109" spans="1:6" ht="13.5">
      <c r="A109" s="3114">
        <v>37</v>
      </c>
      <c r="B109" s="3756"/>
      <c r="C109" s="3114" t="s">
        <v>2724</v>
      </c>
      <c r="D109" s="3088" t="s">
        <v>2725</v>
      </c>
      <c r="E109" s="3114">
        <v>0.15</v>
      </c>
      <c r="F109" s="3114">
        <v>20</v>
      </c>
    </row>
    <row r="110" spans="1:6" ht="13.5">
      <c r="A110" s="3114">
        <v>38</v>
      </c>
      <c r="B110" s="3756"/>
      <c r="C110" s="3114" t="s">
        <v>2726</v>
      </c>
      <c r="D110" s="3088" t="s">
        <v>2727</v>
      </c>
      <c r="E110" s="3114">
        <v>0.1</v>
      </c>
      <c r="F110" s="3114">
        <v>15</v>
      </c>
    </row>
    <row r="111" spans="1:6" ht="24">
      <c r="A111" s="3114">
        <v>39</v>
      </c>
      <c r="B111" s="3756"/>
      <c r="C111" s="3114" t="s">
        <v>2728</v>
      </c>
      <c r="D111" s="3088" t="s">
        <v>2729</v>
      </c>
      <c r="E111" s="3114">
        <v>0.1</v>
      </c>
      <c r="F111" s="3114">
        <v>15</v>
      </c>
    </row>
    <row r="112" spans="1:6" ht="24">
      <c r="A112" s="3114">
        <v>40</v>
      </c>
      <c r="B112" s="3755"/>
      <c r="C112" s="3114" t="s">
        <v>2730</v>
      </c>
      <c r="D112" s="3088" t="s">
        <v>2731</v>
      </c>
      <c r="E112" s="3114">
        <v>0.1</v>
      </c>
      <c r="F112" s="3114">
        <v>15</v>
      </c>
    </row>
    <row r="113" spans="1:6" ht="13.5">
      <c r="A113" s="3114">
        <v>41</v>
      </c>
      <c r="B113" s="3753" t="s">
        <v>2732</v>
      </c>
      <c r="C113" s="3114" t="s">
        <v>2733</v>
      </c>
      <c r="D113" s="3088" t="s">
        <v>2734</v>
      </c>
      <c r="E113" s="3114">
        <v>0.1</v>
      </c>
      <c r="F113" s="3114">
        <v>15</v>
      </c>
    </row>
    <row r="114" spans="1:6" ht="13.5">
      <c r="A114" s="3114">
        <v>42</v>
      </c>
      <c r="B114" s="3753"/>
      <c r="C114" s="3114" t="s">
        <v>2735</v>
      </c>
      <c r="D114" s="3088" t="s">
        <v>2736</v>
      </c>
      <c r="E114" s="3114">
        <v>0.1</v>
      </c>
      <c r="F114" s="3114">
        <v>15</v>
      </c>
    </row>
    <row r="115" spans="1:6" ht="24">
      <c r="A115" s="3114">
        <v>43</v>
      </c>
      <c r="B115" s="3753"/>
      <c r="C115" s="3114" t="s">
        <v>2737</v>
      </c>
      <c r="D115" s="3088" t="s">
        <v>2738</v>
      </c>
      <c r="E115" s="3114">
        <v>0.1</v>
      </c>
      <c r="F115" s="3114">
        <v>15</v>
      </c>
    </row>
    <row r="116" spans="1:6" ht="13.5">
      <c r="A116" s="3114">
        <v>44</v>
      </c>
      <c r="B116" s="3754" t="s">
        <v>2739</v>
      </c>
      <c r="C116" s="3114" t="s">
        <v>2740</v>
      </c>
      <c r="D116" s="3088" t="s">
        <v>2741</v>
      </c>
      <c r="E116" s="3114">
        <v>0.1</v>
      </c>
      <c r="F116" s="3114">
        <v>15</v>
      </c>
    </row>
    <row r="117" spans="1:6" ht="24">
      <c r="A117" s="3114">
        <v>45</v>
      </c>
      <c r="B117" s="3755"/>
      <c r="C117" s="3088" t="s">
        <v>2742</v>
      </c>
      <c r="D117" s="3088" t="s">
        <v>2743</v>
      </c>
      <c r="E117" s="3114">
        <v>0.1</v>
      </c>
      <c r="F117" s="3114">
        <v>15</v>
      </c>
    </row>
    <row r="118" spans="1:6" ht="24">
      <c r="A118" s="3114">
        <v>46</v>
      </c>
      <c r="B118" s="3754" t="s">
        <v>2744</v>
      </c>
      <c r="C118" s="3114" t="s">
        <v>2745</v>
      </c>
      <c r="D118" s="3088" t="s">
        <v>2746</v>
      </c>
      <c r="E118" s="3114">
        <v>0.1</v>
      </c>
      <c r="F118" s="3114">
        <v>15</v>
      </c>
    </row>
    <row r="119" spans="1:6" ht="24">
      <c r="A119" s="3114">
        <v>47</v>
      </c>
      <c r="B119" s="3755"/>
      <c r="C119" s="3114" t="s">
        <v>2747</v>
      </c>
      <c r="D119" s="3088" t="s">
        <v>2748</v>
      </c>
      <c r="E119" s="3114">
        <v>0.1</v>
      </c>
      <c r="F119" s="3114">
        <v>15</v>
      </c>
    </row>
    <row r="120" spans="1:6" ht="13.5">
      <c r="A120" s="3114">
        <v>48</v>
      </c>
      <c r="B120" s="3754" t="s">
        <v>2749</v>
      </c>
      <c r="C120" s="3114" t="s">
        <v>2750</v>
      </c>
      <c r="D120" s="3088" t="s">
        <v>2751</v>
      </c>
      <c r="E120" s="3114">
        <v>0.1</v>
      </c>
      <c r="F120" s="3114">
        <v>15</v>
      </c>
    </row>
    <row r="121" spans="1:6" ht="13.5">
      <c r="A121" s="3114">
        <v>49</v>
      </c>
      <c r="B121" s="3755"/>
      <c r="C121" s="3114" t="s">
        <v>2752</v>
      </c>
      <c r="D121" s="3088" t="s">
        <v>2753</v>
      </c>
      <c r="E121" s="3114">
        <v>0.1</v>
      </c>
      <c r="F121" s="3114">
        <v>15</v>
      </c>
    </row>
    <row r="122" spans="1:6" ht="24">
      <c r="A122" s="3114">
        <v>50</v>
      </c>
      <c r="B122" s="3753" t="s">
        <v>2754</v>
      </c>
      <c r="C122" s="3114" t="s">
        <v>2755</v>
      </c>
      <c r="D122" s="3088" t="s">
        <v>2756</v>
      </c>
      <c r="E122" s="3114">
        <v>0.1</v>
      </c>
      <c r="F122" s="3114">
        <v>15</v>
      </c>
    </row>
    <row r="123" spans="1:6" ht="24">
      <c r="A123" s="3114">
        <v>51</v>
      </c>
      <c r="B123" s="3753"/>
      <c r="C123" s="3114" t="s">
        <v>2757</v>
      </c>
      <c r="D123" s="3088" t="s">
        <v>2758</v>
      </c>
      <c r="E123" s="3114">
        <v>0.1</v>
      </c>
      <c r="F123" s="3114">
        <v>15</v>
      </c>
    </row>
    <row r="124" spans="1:6" ht="24">
      <c r="A124" s="3114">
        <v>52</v>
      </c>
      <c r="B124" s="3753" t="s">
        <v>2759</v>
      </c>
      <c r="C124" s="3114" t="s">
        <v>2760</v>
      </c>
      <c r="D124" s="3088" t="s">
        <v>2761</v>
      </c>
      <c r="E124" s="3114">
        <v>0.1</v>
      </c>
      <c r="F124" s="3114">
        <v>15</v>
      </c>
    </row>
    <row r="125" spans="1:6" ht="24">
      <c r="A125" s="3114">
        <v>53</v>
      </c>
      <c r="B125" s="3753"/>
      <c r="C125" s="3114" t="s">
        <v>2762</v>
      </c>
      <c r="D125" s="3088" t="s">
        <v>2763</v>
      </c>
      <c r="E125" s="3114">
        <v>0.1</v>
      </c>
      <c r="F125" s="3114">
        <v>15</v>
      </c>
    </row>
    <row r="126" spans="1:6" ht="13.5">
      <c r="A126" s="3114">
        <v>54</v>
      </c>
      <c r="B126" s="3114" t="s">
        <v>2764</v>
      </c>
      <c r="C126" s="3114" t="s">
        <v>2765</v>
      </c>
      <c r="D126" s="3088" t="s">
        <v>2766</v>
      </c>
      <c r="E126" s="3114">
        <v>0.1</v>
      </c>
      <c r="F126" s="3114">
        <v>15</v>
      </c>
    </row>
    <row r="127" spans="1:6" ht="13.5">
      <c r="A127" s="3114">
        <v>55</v>
      </c>
      <c r="B127" s="3753" t="s">
        <v>2767</v>
      </c>
      <c r="C127" s="3114" t="s">
        <v>2768</v>
      </c>
      <c r="D127" s="3088" t="s">
        <v>2769</v>
      </c>
      <c r="E127" s="3114">
        <v>0.1</v>
      </c>
      <c r="F127" s="3114">
        <v>15</v>
      </c>
    </row>
    <row r="128" spans="1:6" ht="13.5">
      <c r="A128" s="3114">
        <v>56</v>
      </c>
      <c r="B128" s="3753"/>
      <c r="C128" s="3114" t="s">
        <v>2770</v>
      </c>
      <c r="D128" s="3088" t="s">
        <v>2771</v>
      </c>
      <c r="E128" s="3114">
        <v>0.1</v>
      </c>
      <c r="F128" s="3114">
        <v>15</v>
      </c>
    </row>
    <row r="129" spans="1:6" ht="24">
      <c r="A129" s="3114">
        <v>57</v>
      </c>
      <c r="B129" s="3753"/>
      <c r="C129" s="3114" t="s">
        <v>2772</v>
      </c>
      <c r="D129" s="3088" t="s">
        <v>2773</v>
      </c>
      <c r="E129" s="3114">
        <v>0.1</v>
      </c>
      <c r="F129" s="3114">
        <v>15</v>
      </c>
    </row>
    <row r="130" spans="1:6" ht="24">
      <c r="A130" s="3114">
        <v>58</v>
      </c>
      <c r="B130" s="3753" t="s">
        <v>2774</v>
      </c>
      <c r="C130" s="3114" t="s">
        <v>2775</v>
      </c>
      <c r="D130" s="3088" t="s">
        <v>2776</v>
      </c>
      <c r="E130" s="3114">
        <v>0.1</v>
      </c>
      <c r="F130" s="3114">
        <v>15</v>
      </c>
    </row>
    <row r="131" spans="1:6" ht="13.5">
      <c r="A131" s="3114">
        <v>59</v>
      </c>
      <c r="B131" s="3753"/>
      <c r="C131" s="3114" t="s">
        <v>2777</v>
      </c>
      <c r="D131" s="3088" t="s">
        <v>2778</v>
      </c>
      <c r="E131" s="3114">
        <v>0.1</v>
      </c>
      <c r="F131" s="3114">
        <v>15</v>
      </c>
    </row>
    <row r="132" spans="1:6" ht="13.5">
      <c r="A132" s="3114">
        <v>60</v>
      </c>
      <c r="B132" s="3754" t="s">
        <v>2779</v>
      </c>
      <c r="C132" s="3114" t="s">
        <v>2780</v>
      </c>
      <c r="D132" s="3088" t="s">
        <v>2781</v>
      </c>
      <c r="E132" s="3114">
        <v>0.1</v>
      </c>
      <c r="F132" s="3114">
        <v>15</v>
      </c>
    </row>
    <row r="133" spans="1:6" ht="13.5">
      <c r="A133" s="3114">
        <v>61</v>
      </c>
      <c r="B133" s="3755"/>
      <c r="C133" s="3114" t="s">
        <v>2782</v>
      </c>
      <c r="D133" s="3088" t="s">
        <v>2783</v>
      </c>
      <c r="E133" s="3114">
        <v>0.1</v>
      </c>
      <c r="F133" s="3114">
        <v>15</v>
      </c>
    </row>
    <row r="134" spans="1:6" ht="24">
      <c r="A134" s="3114">
        <v>62</v>
      </c>
      <c r="B134" s="3114" t="s">
        <v>2784</v>
      </c>
      <c r="C134" s="3114" t="s">
        <v>2785</v>
      </c>
      <c r="D134" s="3088" t="s">
        <v>2786</v>
      </c>
      <c r="E134" s="3114">
        <v>0.1</v>
      </c>
      <c r="F134" s="3114">
        <v>15</v>
      </c>
    </row>
    <row r="135" spans="1:6" ht="13.5">
      <c r="A135" s="3114">
        <v>63</v>
      </c>
      <c r="B135" s="3753" t="s">
        <v>2787</v>
      </c>
      <c r="C135" s="3114" t="s">
        <v>2788</v>
      </c>
      <c r="D135" s="3088" t="s">
        <v>2789</v>
      </c>
      <c r="E135" s="3114">
        <v>0.1</v>
      </c>
      <c r="F135" s="3114">
        <v>15</v>
      </c>
    </row>
    <row r="136" spans="1:6" ht="13.5">
      <c r="A136" s="3114">
        <v>64</v>
      </c>
      <c r="B136" s="3753"/>
      <c r="C136" s="3114" t="s">
        <v>2790</v>
      </c>
      <c r="D136" s="3088" t="s">
        <v>2791</v>
      </c>
      <c r="E136" s="3114">
        <v>0.1</v>
      </c>
      <c r="F136" s="3114">
        <v>15</v>
      </c>
    </row>
    <row r="137" spans="1:6" ht="13.5">
      <c r="A137" s="3114">
        <v>65</v>
      </c>
      <c r="B137" s="3114" t="s">
        <v>2792</v>
      </c>
      <c r="C137" s="3114" t="s">
        <v>2793</v>
      </c>
      <c r="D137" s="3088" t="s">
        <v>2794</v>
      </c>
      <c r="E137" s="3114">
        <v>0.1</v>
      </c>
      <c r="F137" s="3114">
        <v>15</v>
      </c>
    </row>
    <row r="138" spans="1:6" ht="13.5">
      <c r="A138" s="3114"/>
      <c r="B138" s="3114"/>
      <c r="C138" s="3114"/>
      <c r="D138" s="3114"/>
      <c r="E138" s="3114" t="s">
        <v>2795</v>
      </c>
      <c r="F138" s="3114"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2796</v>
      </c>
      <c r="B1" s="3123"/>
      <c r="C1" s="3123"/>
      <c r="D1" s="3123"/>
      <c r="E1" s="3123"/>
      <c r="F1" s="3123"/>
      <c r="G1" s="3123"/>
      <c r="H1" s="3123"/>
      <c r="I1" s="3123"/>
      <c r="J1" s="3123"/>
      <c r="K1" s="3123"/>
      <c r="L1" s="3123"/>
      <c r="M1" s="3123"/>
      <c r="N1" s="745"/>
    </row>
    <row r="2" spans="1:20">
      <c r="A2" s="3124" t="s">
        <v>2797</v>
      </c>
      <c r="B2" s="3125" t="s">
        <v>2593</v>
      </c>
      <c r="C2" s="3125" t="s">
        <v>2594</v>
      </c>
      <c r="D2" s="3125" t="s">
        <v>2595</v>
      </c>
      <c r="E2" s="3125" t="s">
        <v>2596</v>
      </c>
      <c r="F2" s="3125" t="s">
        <v>2597</v>
      </c>
      <c r="G2" s="3125" t="s">
        <v>2598</v>
      </c>
      <c r="H2" s="3126" t="s">
        <v>2599</v>
      </c>
      <c r="I2" s="3126" t="s">
        <v>2600</v>
      </c>
      <c r="J2" s="3127" t="s">
        <v>2601</v>
      </c>
      <c r="K2" s="3127" t="s">
        <v>2602</v>
      </c>
      <c r="L2" s="3127" t="s">
        <v>2603</v>
      </c>
      <c r="M2" s="3128" t="s">
        <v>2604</v>
      </c>
      <c r="Q2" s="3138" t="s">
        <v>2802</v>
      </c>
      <c r="R2" s="3138" t="s">
        <v>2803</v>
      </c>
      <c r="S2" s="3138" t="s">
        <v>2804</v>
      </c>
      <c r="T2" s="3138" t="s">
        <v>2805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2798</v>
      </c>
      <c r="B93" s="3123"/>
      <c r="C93" s="3123"/>
      <c r="D93" s="3123"/>
      <c r="E93" s="3123"/>
      <c r="F93" s="3123"/>
      <c r="G93" s="3123"/>
      <c r="H93" s="3123"/>
      <c r="I93" s="3123"/>
      <c r="J93" s="3123"/>
      <c r="K93" s="3123"/>
      <c r="L93" s="3123"/>
      <c r="M93" s="3123"/>
    </row>
    <row r="94" spans="1:20">
      <c r="A94" s="3124" t="s">
        <v>2797</v>
      </c>
      <c r="B94" s="3125" t="s">
        <v>2593</v>
      </c>
      <c r="C94" s="3125" t="s">
        <v>2594</v>
      </c>
      <c r="D94" s="3125" t="s">
        <v>2595</v>
      </c>
      <c r="E94" s="3125" t="s">
        <v>2596</v>
      </c>
      <c r="F94" s="3125" t="s">
        <v>2597</v>
      </c>
      <c r="G94" s="3125" t="s">
        <v>2598</v>
      </c>
      <c r="H94" s="3126" t="s">
        <v>2599</v>
      </c>
      <c r="I94" s="3126" t="s">
        <v>2600</v>
      </c>
      <c r="J94" s="3127" t="s">
        <v>2601</v>
      </c>
      <c r="K94" s="3127" t="s">
        <v>2602</v>
      </c>
      <c r="L94" s="3127" t="s">
        <v>2603</v>
      </c>
      <c r="M94" s="3128" t="s">
        <v>2604</v>
      </c>
      <c r="N94" s="746">
        <f>SUMPRODUCT((A95:A184=ROUNDDOWN(基准地价修正!G3,1))*(B94:M94=基准地价修正!G2)*(B95:M184))</f>
        <v>0.96309999999999996</v>
      </c>
      <c r="Q94" s="3138" t="s">
        <v>2802</v>
      </c>
      <c r="R94" s="3138" t="s">
        <v>2803</v>
      </c>
      <c r="S94" s="3138" t="s">
        <v>2804</v>
      </c>
      <c r="T94" s="3138" t="s">
        <v>2805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2799</v>
      </c>
      <c r="B185" s="3123"/>
      <c r="C185" s="3123"/>
      <c r="D185" s="3123"/>
      <c r="E185" s="3123"/>
      <c r="F185" s="3123"/>
      <c r="G185" s="3123"/>
      <c r="H185" s="3123"/>
      <c r="I185" s="3123"/>
      <c r="J185" s="3123"/>
      <c r="K185" s="3123"/>
      <c r="L185" s="3123"/>
      <c r="M185" s="3123"/>
    </row>
    <row r="186" spans="1:20">
      <c r="A186" s="3124" t="s">
        <v>2797</v>
      </c>
      <c r="B186" s="3125" t="s">
        <v>2593</v>
      </c>
      <c r="C186" s="3125" t="s">
        <v>2594</v>
      </c>
      <c r="D186" s="3125" t="s">
        <v>2595</v>
      </c>
      <c r="E186" s="3125" t="s">
        <v>2596</v>
      </c>
      <c r="F186" s="3125" t="s">
        <v>2597</v>
      </c>
      <c r="G186" s="3125" t="s">
        <v>2598</v>
      </c>
      <c r="H186" s="3126" t="s">
        <v>2599</v>
      </c>
      <c r="I186" s="3126" t="s">
        <v>2600</v>
      </c>
      <c r="J186" s="3127" t="s">
        <v>2601</v>
      </c>
      <c r="K186" s="3127" t="s">
        <v>2602</v>
      </c>
      <c r="L186" s="3127" t="s">
        <v>2603</v>
      </c>
      <c r="M186" s="3128" t="s">
        <v>2604</v>
      </c>
      <c r="Q186" s="3138" t="s">
        <v>2802</v>
      </c>
      <c r="R186" s="3138" t="s">
        <v>2803</v>
      </c>
      <c r="S186" s="3138" t="s">
        <v>2804</v>
      </c>
      <c r="T186" s="3138" t="s">
        <v>2805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2800</v>
      </c>
      <c r="B277" s="3123"/>
      <c r="C277" s="3123"/>
      <c r="D277" s="3123"/>
      <c r="E277" s="3123"/>
      <c r="F277" s="3123"/>
      <c r="G277" s="3123"/>
      <c r="H277" s="3123"/>
      <c r="I277" s="3123"/>
      <c r="J277" s="3123"/>
      <c r="K277" s="3123"/>
      <c r="L277" s="3123"/>
      <c r="M277" s="3123"/>
    </row>
    <row r="278" spans="1:21">
      <c r="A278" s="3124" t="s">
        <v>2797</v>
      </c>
      <c r="B278" s="3125" t="s">
        <v>2593</v>
      </c>
      <c r="C278" s="3125" t="s">
        <v>2594</v>
      </c>
      <c r="D278" s="3125" t="s">
        <v>2595</v>
      </c>
      <c r="E278" s="3125" t="s">
        <v>2596</v>
      </c>
      <c r="F278" s="3125" t="s">
        <v>2597</v>
      </c>
      <c r="G278" s="3125" t="s">
        <v>2598</v>
      </c>
      <c r="H278" s="3126" t="s">
        <v>2599</v>
      </c>
      <c r="I278" s="3126" t="s">
        <v>2600</v>
      </c>
      <c r="J278" s="3127" t="s">
        <v>2601</v>
      </c>
      <c r="K278" s="3127" t="s">
        <v>2602</v>
      </c>
      <c r="L278" s="3127" t="s">
        <v>2603</v>
      </c>
      <c r="M278" s="3128" t="s">
        <v>2604</v>
      </c>
      <c r="Q278" s="3138" t="s">
        <v>2802</v>
      </c>
      <c r="R278" s="3138" t="s">
        <v>2803</v>
      </c>
      <c r="S278" s="3138" t="s">
        <v>2806</v>
      </c>
      <c r="T278" s="3138" t="s">
        <v>2807</v>
      </c>
      <c r="U278" s="3138" t="s">
        <v>2805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2801</v>
      </c>
      <c r="B369" s="3136"/>
      <c r="C369" s="3136"/>
      <c r="D369" s="3136"/>
      <c r="E369" s="3136"/>
      <c r="F369" s="3136"/>
      <c r="G369" s="3136"/>
      <c r="H369" s="3136"/>
      <c r="I369" s="3136"/>
      <c r="J369" s="3136"/>
      <c r="K369" s="3136"/>
      <c r="L369" s="3136"/>
      <c r="M369" s="3136"/>
    </row>
    <row r="370" spans="1:20">
      <c r="A370" s="3124" t="s">
        <v>2797</v>
      </c>
      <c r="B370" s="3125" t="s">
        <v>2593</v>
      </c>
      <c r="C370" s="3125" t="s">
        <v>2594</v>
      </c>
      <c r="D370" s="3125" t="s">
        <v>2595</v>
      </c>
      <c r="E370" s="3125" t="s">
        <v>2596</v>
      </c>
      <c r="F370" s="3125" t="s">
        <v>2597</v>
      </c>
      <c r="G370" s="3125" t="s">
        <v>2598</v>
      </c>
      <c r="H370" s="3126" t="s">
        <v>2599</v>
      </c>
      <c r="I370" s="3126" t="s">
        <v>2600</v>
      </c>
      <c r="J370" s="3127" t="s">
        <v>2601</v>
      </c>
      <c r="K370" s="3127" t="s">
        <v>2602</v>
      </c>
      <c r="L370" s="3127" t="s">
        <v>2603</v>
      </c>
      <c r="M370" s="3128" t="s">
        <v>2604</v>
      </c>
      <c r="N370" s="746">
        <f>SUMPRODUCT((A371:A460=ROUNDDOWN(基准地价修正!G3,1))*(B370:M370=基准地价修正!G2)*(B371:M460))</f>
        <v>0.91610000000000003</v>
      </c>
      <c r="Q370" s="3138" t="s">
        <v>2802</v>
      </c>
      <c r="R370" s="3138" t="s">
        <v>2803</v>
      </c>
      <c r="S370" s="3138" t="s">
        <v>2804</v>
      </c>
      <c r="T370" s="3138" t="s">
        <v>2805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47140</v>
      </c>
      <c r="C2" s="2" t="s">
        <v>106</v>
      </c>
      <c r="D2" s="199"/>
      <c r="E2" s="199"/>
      <c r="F2" s="199"/>
      <c r="G2" s="199"/>
    </row>
    <row r="3" spans="1:7" s="200" customFormat="1" ht="18" customHeight="1" thickBot="1">
      <c r="A3" s="203" t="s">
        <v>58</v>
      </c>
      <c r="B3" s="204">
        <f ca="1">ROUND(B2*10000/'数据-汇总表'!E3,0)</f>
        <v>19455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150</v>
      </c>
      <c r="F9" s="221"/>
      <c r="G9" s="226"/>
    </row>
    <row r="10" spans="1:7" s="214" customFormat="1" ht="13.5" customHeight="1">
      <c r="A10" s="775" t="s">
        <v>356</v>
      </c>
      <c r="B10" s="224" t="s">
        <v>67</v>
      </c>
      <c r="C10" s="225">
        <f>ROUND(D10*E10/10000,0)</f>
        <v>460</v>
      </c>
      <c r="D10" s="841">
        <f>'数据-汇总表'!E6</f>
        <v>24230.799999999999</v>
      </c>
      <c r="E10" s="225">
        <f>'数据-取费表'!B28</f>
        <v>190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485</v>
      </c>
      <c r="D19" s="845">
        <f>'数据-汇总表'!E3</f>
        <v>24230.799999999999</v>
      </c>
      <c r="E19" s="211">
        <f>'数据-取费表'!B31</f>
        <v>200</v>
      </c>
      <c r="F19" s="231"/>
      <c r="G19" s="1" t="s">
        <v>436</v>
      </c>
    </row>
    <row r="20" spans="1:7" s="214" customFormat="1" ht="13.5" customHeight="1">
      <c r="A20" s="773" t="s">
        <v>419</v>
      </c>
      <c r="B20" s="210" t="s">
        <v>77</v>
      </c>
      <c r="C20" s="232">
        <f>ROUND((C5+C19)*F20,0)</f>
        <v>422</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1496</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34</v>
      </c>
      <c r="D24" s="238"/>
      <c r="E24" s="238"/>
      <c r="F24" s="239"/>
      <c r="G24" s="240" t="s">
        <v>82</v>
      </c>
    </row>
    <row r="25" spans="1:7" s="214" customFormat="1" ht="24">
      <c r="A25" s="776" t="s">
        <v>348</v>
      </c>
      <c r="B25" s="215" t="s">
        <v>420</v>
      </c>
      <c r="C25" s="1101">
        <f ca="1">ROUND(IF('数据-取费表'!B22&lt;=1,C20*F22*'数据-取费表'!B23/2,C20*(POWER((1+F22),'数据-取费表'!B23/2)-1)),0)</f>
        <v>15</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4303</v>
      </c>
      <c r="D27" s="235">
        <f>C29</f>
        <v>4.0000000000000001E-3</v>
      </c>
      <c r="E27" s="236" t="s">
        <v>99</v>
      </c>
      <c r="F27" s="246">
        <f>'数据-取费表'!Q16</f>
        <v>0.2</v>
      </c>
      <c r="G27" s="247" t="s">
        <v>431</v>
      </c>
    </row>
    <row r="28" spans="1:7" s="214" customFormat="1" ht="13.5" customHeight="1">
      <c r="A28" s="776" t="s">
        <v>349</v>
      </c>
      <c r="B28" s="248" t="s">
        <v>424</v>
      </c>
      <c r="C28" s="249">
        <f>ROUND((C5+C19+C20)*F27*'数据-取费表'!B21/'数据-取费表'!B20,0)</f>
        <v>4303</v>
      </c>
      <c r="D28" s="235"/>
      <c r="E28" s="236"/>
      <c r="F28" s="246"/>
      <c r="G28" s="247"/>
    </row>
    <row r="29" spans="1:7" s="214" customFormat="1" ht="13.5" customHeight="1">
      <c r="A29" s="776" t="s">
        <v>347</v>
      </c>
      <c r="B29" s="248" t="s">
        <v>425</v>
      </c>
      <c r="C29" s="238">
        <f>ROUND(C21*F27*'数据-取费表'!B21/'数据-取费表'!B20,4)</f>
        <v>4.0000000000000001E-3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29597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18634</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16962</v>
      </c>
      <c r="D34" s="217"/>
      <c r="E34" s="220"/>
      <c r="F34" s="257">
        <f>IF('数据-取费表'!B24=0,1,'数据-取费表'!N16)</f>
        <v>1</v>
      </c>
      <c r="G34" s="219" t="s">
        <v>89</v>
      </c>
    </row>
    <row r="35" spans="1:7" ht="13.5" customHeight="1">
      <c r="A35" s="776" t="s">
        <v>351</v>
      </c>
      <c r="B35" s="215" t="s">
        <v>33</v>
      </c>
      <c r="C35" s="220">
        <f>ROUND(C34*F35,0)</f>
        <v>848</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485</v>
      </c>
      <c r="D37" s="217">
        <f>'数据-汇总表'!E3</f>
        <v>24230.799999999999</v>
      </c>
      <c r="E37" s="249">
        <f>'数据-取费表'!B35</f>
        <v>200</v>
      </c>
      <c r="F37" s="259"/>
      <c r="G37" s="261" t="s">
        <v>92</v>
      </c>
    </row>
    <row r="38" spans="1:7" ht="13.5" customHeight="1">
      <c r="A38" s="776" t="s">
        <v>354</v>
      </c>
      <c r="B38" s="215" t="s">
        <v>36</v>
      </c>
      <c r="C38" s="220">
        <f>ROUND(C34*F38,0)</f>
        <v>339</v>
      </c>
      <c r="D38" s="220"/>
      <c r="E38" s="220"/>
      <c r="F38" s="259">
        <f>'数据-取费表'!B36</f>
        <v>0.02</v>
      </c>
      <c r="G38" s="219" t="s">
        <v>90</v>
      </c>
    </row>
    <row r="39" spans="1:7" s="214" customFormat="1" ht="13.5" customHeight="1">
      <c r="A39" s="773" t="s">
        <v>338</v>
      </c>
      <c r="B39" s="210" t="s">
        <v>77</v>
      </c>
      <c r="C39" s="232">
        <f>ROUND(C33*F20,0)</f>
        <v>373</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656</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643</v>
      </c>
      <c r="D42" s="238"/>
      <c r="E42" s="238"/>
      <c r="F42" s="239"/>
      <c r="G42" s="3629" t="s">
        <v>94</v>
      </c>
    </row>
    <row r="43" spans="1:7" ht="13.5" customHeight="1">
      <c r="A43" s="776" t="s">
        <v>347</v>
      </c>
      <c r="B43" s="215" t="s">
        <v>426</v>
      </c>
      <c r="C43" s="238">
        <f ca="1">ROUND(IF('数据-取费表'!B22&lt;=1,C39*F22*'数据-取费表'!B21/2,C39*(POWER((1+F22),'数据-取费表'!B21/2)-1)),0)</f>
        <v>13</v>
      </c>
      <c r="D43" s="238"/>
      <c r="E43" s="238"/>
      <c r="F43" s="239"/>
      <c r="G43" s="3630"/>
    </row>
    <row r="44" spans="1:7" ht="13.5" customHeight="1">
      <c r="A44" s="776" t="s">
        <v>348</v>
      </c>
      <c r="B44" s="215" t="s">
        <v>428</v>
      </c>
      <c r="C44" s="238">
        <f ca="1">ROUND(IF('数据-取费表'!B22&lt;=1,C40*F22*'数据-取费表'!B21/2,C40*(POWER((1+F22),'数据-取费表'!B21/2)-1)),4)</f>
        <v>6.9999999999999999E-4</v>
      </c>
      <c r="D44" s="238"/>
      <c r="E44" s="238"/>
      <c r="F44" s="239"/>
      <c r="G44" s="3631"/>
    </row>
    <row r="45" spans="1:7" s="214" customFormat="1" ht="13.5" customHeight="1">
      <c r="A45" s="773" t="s">
        <v>341</v>
      </c>
      <c r="B45" s="244" t="s">
        <v>85</v>
      </c>
      <c r="C45" s="245">
        <f>C46</f>
        <v>3801</v>
      </c>
      <c r="D45" s="235">
        <f>C47</f>
        <v>4.0000000000000001E-3</v>
      </c>
      <c r="E45" s="236" t="s">
        <v>102</v>
      </c>
      <c r="F45" s="246"/>
      <c r="G45" s="247" t="s">
        <v>434</v>
      </c>
    </row>
    <row r="46" spans="1:7" s="214" customFormat="1" ht="13.5" customHeight="1">
      <c r="A46" s="776" t="s">
        <v>349</v>
      </c>
      <c r="B46" s="248" t="s">
        <v>427</v>
      </c>
      <c r="C46" s="249">
        <f>ROUND((C33+C39)*F27,0)</f>
        <v>3801</v>
      </c>
      <c r="D46" s="263"/>
      <c r="E46" s="236"/>
      <c r="F46" s="246"/>
      <c r="G46" s="247"/>
    </row>
    <row r="47" spans="1:7" s="214" customFormat="1" ht="13.5" customHeight="1">
      <c r="A47" s="776" t="s">
        <v>347</v>
      </c>
      <c r="B47" s="248" t="s">
        <v>429</v>
      </c>
      <c r="C47" s="238">
        <f>ROUND(C40*F27,4)</f>
        <v>4.0000000000000001E-3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25424</v>
      </c>
      <c r="D49" s="232"/>
      <c r="E49" s="232"/>
      <c r="F49" s="264"/>
      <c r="G49" s="234" t="s">
        <v>435</v>
      </c>
    </row>
    <row r="50" spans="1:7" s="258" customFormat="1" ht="24">
      <c r="A50" s="773" t="s">
        <v>344</v>
      </c>
      <c r="B50" s="210" t="s">
        <v>97</v>
      </c>
      <c r="C50" s="232"/>
      <c r="D50" s="232"/>
      <c r="E50" s="232"/>
      <c r="F50" s="264">
        <f>IF('数据-取费表'!B24=0,'数据-取费表'!N16,1)</f>
        <v>0.69</v>
      </c>
      <c r="G50" s="247" t="s">
        <v>98</v>
      </c>
    </row>
    <row r="51" spans="1:7" ht="16.5" customHeight="1">
      <c r="A51" s="773" t="s">
        <v>345</v>
      </c>
      <c r="B51" s="210" t="s">
        <v>105</v>
      </c>
      <c r="C51" s="232">
        <f ca="1">ROUND(C49*F50,0)</f>
        <v>17543</v>
      </c>
      <c r="D51" s="232"/>
      <c r="E51" s="232"/>
      <c r="F51" s="264"/>
      <c r="G51" s="234" t="s">
        <v>37</v>
      </c>
    </row>
    <row r="52" spans="1:7" s="208" customFormat="1" ht="16.5" thickBot="1">
      <c r="A52" s="265" t="s">
        <v>38</v>
      </c>
      <c r="B52" s="266"/>
      <c r="C52" s="267">
        <f ca="1">C31+C51</f>
        <v>47140</v>
      </c>
      <c r="D52" s="266"/>
      <c r="E52" s="266"/>
      <c r="F52" s="266"/>
      <c r="G52" s="268"/>
    </row>
    <row r="55" spans="1:7" ht="15">
      <c r="B55" s="270" t="s">
        <v>39</v>
      </c>
      <c r="C55" s="271"/>
    </row>
    <row r="56" spans="1:7">
      <c r="B56" s="273" t="s">
        <v>40</v>
      </c>
      <c r="C56" s="274">
        <f ca="1">ROUND(C51/C52,3)</f>
        <v>0.372</v>
      </c>
    </row>
    <row r="57" spans="1:7">
      <c r="B57" s="273" t="s">
        <v>41</v>
      </c>
      <c r="C57" s="275">
        <f ca="1">1-C56</f>
        <v>0.628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9.5" thickBot="1">
      <c r="A4" s="1489"/>
      <c r="B4" s="3450" t="s">
        <v>917</v>
      </c>
      <c r="C4" s="3450"/>
      <c r="D4" s="3450"/>
      <c r="E4" s="1489"/>
    </row>
    <row r="5" spans="1:5" ht="16.5" thickTop="1">
      <c r="A5" s="1487"/>
      <c r="B5" s="3448" t="s">
        <v>909</v>
      </c>
      <c r="C5" s="1490" t="s">
        <v>910</v>
      </c>
      <c r="D5" s="846" t="e">
        <f ca="1">结果表!H101</f>
        <v>#REF!</v>
      </c>
      <c r="E5" s="1487"/>
    </row>
    <row r="6" spans="1:5" ht="15.75">
      <c r="A6" s="1487"/>
      <c r="B6" s="3448"/>
      <c r="C6" s="1490" t="s">
        <v>911</v>
      </c>
      <c r="D6" s="846" t="e">
        <f ca="1">NUMBERSTRING(INT(D5*10000),2)&amp;"元整"</f>
        <v>#REF!</v>
      </c>
      <c r="E6" s="1487"/>
    </row>
    <row r="7" spans="1:5" ht="15.75">
      <c r="A7" s="1487"/>
      <c r="B7" s="3453"/>
      <c r="C7" s="1491" t="s">
        <v>912</v>
      </c>
      <c r="D7" s="847" t="e">
        <f ca="1">结果表!H102</f>
        <v>#REF!</v>
      </c>
      <c r="E7" s="1487"/>
    </row>
    <row r="8" spans="1:5" ht="15.75">
      <c r="A8" s="1487"/>
      <c r="B8" s="3454" t="str">
        <f>结果表!E103</f>
        <v>2.估价师知悉的法定优先受偿款</v>
      </c>
      <c r="C8" s="1492" t="s">
        <v>913</v>
      </c>
      <c r="D8" s="847">
        <f>结果表!H103</f>
        <v>0</v>
      </c>
      <c r="E8" s="1487"/>
    </row>
    <row r="9" spans="1:5" ht="15.75">
      <c r="A9" s="1487"/>
      <c r="B9" s="3456"/>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447" t="str">
        <f>结果表!E107</f>
        <v>3.房地产抵押价值</v>
      </c>
      <c r="C13" s="1495" t="s">
        <v>910</v>
      </c>
      <c r="D13" s="849" t="e">
        <f ca="1">结果表!H107</f>
        <v>#REF!</v>
      </c>
      <c r="E13" s="1487"/>
    </row>
    <row r="14" spans="1:5" ht="15.75">
      <c r="A14" s="1487"/>
      <c r="B14" s="3448"/>
      <c r="C14" s="1490" t="s">
        <v>911</v>
      </c>
      <c r="D14" s="846" t="e">
        <f ca="1">NUMBERSTRING(INT(D13*10000),2)&amp;"元整"</f>
        <v>#REF!</v>
      </c>
      <c r="E14" s="1487"/>
    </row>
    <row r="15" spans="1:5" ht="15">
      <c r="A15" s="1487"/>
      <c r="B15" s="3453"/>
      <c r="C15" s="1491" t="s">
        <v>921</v>
      </c>
      <c r="D15" s="855" t="e">
        <f ca="1">结果表!H108</f>
        <v>#REF!</v>
      </c>
      <c r="E15" s="1487"/>
    </row>
    <row r="16" spans="1:5" ht="15">
      <c r="A16" s="1487"/>
      <c r="B16" s="3454" t="str">
        <f>结果表!E109</f>
        <v>——</v>
      </c>
      <c r="C16" s="1495" t="s">
        <v>922</v>
      </c>
      <c r="D16" s="1496" t="str">
        <f>结果表!H109</f>
        <v>——</v>
      </c>
      <c r="E16" s="1487"/>
    </row>
    <row r="17" spans="1:5" ht="15.75">
      <c r="A17" s="1487"/>
      <c r="B17" s="3455"/>
      <c r="C17" s="1490" t="s">
        <v>923</v>
      </c>
      <c r="D17" s="846" t="e">
        <f>NUMBERSTRING(INT(D16*10000),2)&amp;"元整"</f>
        <v>#VALUE!</v>
      </c>
      <c r="E17" s="1487"/>
    </row>
    <row r="18" spans="1:5" ht="15">
      <c r="A18" s="1487"/>
      <c r="B18" s="3456"/>
      <c r="C18" s="1491" t="s">
        <v>912</v>
      </c>
      <c r="D18" s="855" t="str">
        <f>结果表!H110</f>
        <v>——</v>
      </c>
      <c r="E18" s="1487"/>
    </row>
    <row r="19" spans="1:5" ht="15.75">
      <c r="A19" s="1487"/>
      <c r="B19" s="3447" t="str">
        <f>结果表!E111</f>
        <v>——</v>
      </c>
      <c r="C19" s="1495" t="s">
        <v>910</v>
      </c>
      <c r="D19" s="847" t="str">
        <f>结果表!H111</f>
        <v>——</v>
      </c>
      <c r="E19" s="1487"/>
    </row>
    <row r="20" spans="1:5" ht="15.75">
      <c r="A20" s="1487"/>
      <c r="B20" s="3448"/>
      <c r="C20" s="1490" t="s">
        <v>923</v>
      </c>
      <c r="D20" s="846" t="e">
        <f>NUMBERSTRING(INT(D19*10000),2)&amp;"元整"</f>
        <v>#VALUE!</v>
      </c>
      <c r="E20" s="1487"/>
    </row>
    <row r="21" spans="1:5" ht="15.75" thickBot="1">
      <c r="A21" s="1487"/>
      <c r="B21" s="3449"/>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67" t="s">
        <v>2837</v>
      </c>
      <c r="B1" s="3767"/>
      <c r="C1" s="3767"/>
      <c r="D1" s="3767"/>
      <c r="E1" s="3767"/>
      <c r="F1" s="3767"/>
      <c r="G1" s="3768"/>
      <c r="I1" s="3219" t="s">
        <v>2838</v>
      </c>
      <c r="J1" s="3220" t="s">
        <v>2839</v>
      </c>
      <c r="K1" s="3220" t="s">
        <v>2840</v>
      </c>
      <c r="L1" s="3220" t="s">
        <v>2841</v>
      </c>
      <c r="M1" s="3220" t="s">
        <v>2842</v>
      </c>
      <c r="N1" s="3220" t="s">
        <v>2843</v>
      </c>
      <c r="O1" s="3220" t="s">
        <v>2844</v>
      </c>
      <c r="P1" s="3220" t="s">
        <v>2845</v>
      </c>
      <c r="Q1" s="3220" t="s">
        <v>2846</v>
      </c>
      <c r="R1" s="3220" t="s">
        <v>2847</v>
      </c>
      <c r="S1" s="3220" t="s">
        <v>2848</v>
      </c>
      <c r="T1" s="3221" t="s">
        <v>2849</v>
      </c>
    </row>
    <row r="2" spans="1:20" ht="12" thickBot="1">
      <c r="A2" s="3223" t="s">
        <v>2850</v>
      </c>
      <c r="B2" s="3223"/>
      <c r="C2" s="3223"/>
      <c r="D2" s="3223"/>
      <c r="E2" s="3223"/>
      <c r="F2" s="3223"/>
      <c r="G2" s="3224" t="s">
        <v>2851</v>
      </c>
      <c r="I2" s="3225" t="s">
        <v>2852</v>
      </c>
      <c r="J2" s="3225" t="s">
        <v>2853</v>
      </c>
      <c r="K2" s="3225" t="s">
        <v>2854</v>
      </c>
      <c r="L2" s="3225" t="s">
        <v>2855</v>
      </c>
      <c r="M2" s="3225" t="s">
        <v>2856</v>
      </c>
      <c r="N2" s="3225" t="s">
        <v>2857</v>
      </c>
      <c r="O2" s="3225" t="s">
        <v>2858</v>
      </c>
      <c r="P2" s="3225" t="s">
        <v>2859</v>
      </c>
      <c r="Q2" s="3225" t="s">
        <v>2860</v>
      </c>
      <c r="R2" s="3225" t="s">
        <v>2861</v>
      </c>
      <c r="S2" s="3225" t="s">
        <v>2862</v>
      </c>
      <c r="T2" s="3225" t="s">
        <v>2863</v>
      </c>
    </row>
    <row r="3" spans="1:20" s="3231" customFormat="1">
      <c r="A3" s="3765" t="s">
        <v>2864</v>
      </c>
      <c r="B3" s="3226"/>
      <c r="C3" s="3227" t="s">
        <v>2809</v>
      </c>
      <c r="D3" s="3227" t="s">
        <v>2865</v>
      </c>
      <c r="E3" s="3227" t="s">
        <v>2811</v>
      </c>
      <c r="F3" s="3227" t="s">
        <v>2866</v>
      </c>
      <c r="G3" s="3227" t="s">
        <v>2629</v>
      </c>
      <c r="H3" s="3228"/>
      <c r="I3" s="3229" t="s">
        <v>2867</v>
      </c>
      <c r="J3" s="3230" t="s">
        <v>128</v>
      </c>
      <c r="K3" s="3230" t="s">
        <v>129</v>
      </c>
      <c r="L3" s="3229" t="s">
        <v>130</v>
      </c>
      <c r="M3" s="3229" t="s">
        <v>131</v>
      </c>
      <c r="N3" s="3229" t="s">
        <v>132</v>
      </c>
      <c r="O3" s="3229" t="s">
        <v>133</v>
      </c>
      <c r="P3" s="3229" t="s">
        <v>134</v>
      </c>
      <c r="Q3" s="3229" t="s">
        <v>135</v>
      </c>
      <c r="R3" s="3229" t="s">
        <v>136</v>
      </c>
      <c r="S3" s="3229" t="s">
        <v>2868</v>
      </c>
      <c r="T3" s="3229" t="s">
        <v>2869</v>
      </c>
    </row>
    <row r="4" spans="1:20" s="3231" customFormat="1" ht="12" thickBot="1">
      <c r="A4" s="3766"/>
      <c r="B4" s="3232" t="s">
        <v>2870</v>
      </c>
      <c r="C4" s="3232" t="s">
        <v>2871</v>
      </c>
      <c r="D4" s="3232" t="s">
        <v>2871</v>
      </c>
      <c r="E4" s="3232" t="s">
        <v>2871</v>
      </c>
      <c r="F4" s="3233" t="s">
        <v>2871</v>
      </c>
      <c r="G4" s="3233" t="s">
        <v>2871</v>
      </c>
      <c r="H4" s="3228"/>
      <c r="I4" s="3230" t="s">
        <v>137</v>
      </c>
      <c r="J4" s="3230" t="s">
        <v>111</v>
      </c>
      <c r="K4" s="3230" t="s">
        <v>138</v>
      </c>
      <c r="L4" s="3229" t="s">
        <v>139</v>
      </c>
      <c r="M4" s="3229" t="s">
        <v>140</v>
      </c>
      <c r="N4" s="3229" t="s">
        <v>141</v>
      </c>
      <c r="O4" s="3229" t="s">
        <v>142</v>
      </c>
      <c r="P4" s="3229" t="s">
        <v>143</v>
      </c>
      <c r="Q4" s="3229" t="s">
        <v>2872</v>
      </c>
      <c r="R4" s="3229" t="s">
        <v>2873</v>
      </c>
      <c r="S4" s="3229" t="s">
        <v>2874</v>
      </c>
      <c r="T4" s="3229" t="s">
        <v>2875</v>
      </c>
    </row>
    <row r="5" spans="1:20">
      <c r="A5" s="3234" t="s">
        <v>2838</v>
      </c>
      <c r="B5" s="3225" t="s">
        <v>2852</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2876</v>
      </c>
      <c r="R5" s="3229" t="s">
        <v>2877</v>
      </c>
      <c r="S5" s="3229" t="s">
        <v>153</v>
      </c>
      <c r="T5" s="3229" t="s">
        <v>2878</v>
      </c>
    </row>
    <row r="6" spans="1:20" ht="12" thickBot="1">
      <c r="A6" s="3229" t="s">
        <v>144</v>
      </c>
      <c r="B6" s="3229" t="s">
        <v>2867</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2879</v>
      </c>
      <c r="Q6" s="3229" t="s">
        <v>2880</v>
      </c>
      <c r="R6" s="3229" t="s">
        <v>161</v>
      </c>
      <c r="S6" s="3229" t="s">
        <v>2881</v>
      </c>
      <c r="T6" s="3229" t="s">
        <v>2882</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2883</v>
      </c>
      <c r="Q7" s="3229" t="s">
        <v>2884</v>
      </c>
      <c r="R7" s="3229" t="s">
        <v>2885</v>
      </c>
      <c r="S7" s="3229" t="s">
        <v>2886</v>
      </c>
      <c r="T7" s="3229" t="s">
        <v>2887</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2888</v>
      </c>
      <c r="Q8" s="3229" t="s">
        <v>174</v>
      </c>
      <c r="R8" s="3229" t="s">
        <v>2889</v>
      </c>
      <c r="S8" s="3229" t="s">
        <v>2890</v>
      </c>
      <c r="T8" s="3236" t="s">
        <v>2891</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2892</v>
      </c>
      <c r="Q9" s="3229" t="s">
        <v>182</v>
      </c>
      <c r="R9" s="3229" t="s">
        <v>183</v>
      </c>
      <c r="S9" s="3229" t="s">
        <v>200</v>
      </c>
    </row>
    <row r="10" spans="1:20">
      <c r="A10" s="3234" t="s">
        <v>184</v>
      </c>
      <c r="B10" s="3225" t="s">
        <v>2853</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2893</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2894</v>
      </c>
      <c r="P11" s="3229" t="s">
        <v>191</v>
      </c>
      <c r="Q11" s="3229" t="s">
        <v>199</v>
      </c>
      <c r="R11" s="3229" t="s">
        <v>2895</v>
      </c>
      <c r="S11" s="3229" t="s">
        <v>2896</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2897</v>
      </c>
      <c r="P12" s="3229" t="s">
        <v>2898</v>
      </c>
      <c r="Q12" s="3229" t="s">
        <v>2899</v>
      </c>
      <c r="R12" s="3229" t="s">
        <v>2900</v>
      </c>
      <c r="S12" s="3229" t="s">
        <v>2901</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2902</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2903</v>
      </c>
      <c r="K14" s="3230" t="s">
        <v>215</v>
      </c>
      <c r="L14" s="3229" t="s">
        <v>216</v>
      </c>
      <c r="M14" s="3229" t="s">
        <v>217</v>
      </c>
      <c r="N14" s="3229" t="s">
        <v>218</v>
      </c>
      <c r="O14" s="3229" t="s">
        <v>240</v>
      </c>
      <c r="P14" s="3229" t="s">
        <v>213</v>
      </c>
      <c r="Q14" s="3229" t="s">
        <v>2904</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2905</v>
      </c>
      <c r="P15" s="3229" t="s">
        <v>2906</v>
      </c>
      <c r="Q15" s="3229" t="s">
        <v>242</v>
      </c>
      <c r="R15" s="3229" t="s">
        <v>2907</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2908</v>
      </c>
      <c r="P16" s="3229" t="s">
        <v>227</v>
      </c>
      <c r="Q16" s="3229" t="s">
        <v>250</v>
      </c>
      <c r="R16" s="3229" t="s">
        <v>207</v>
      </c>
      <c r="S16" s="3229" t="s">
        <v>2909</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2910</v>
      </c>
      <c r="P17" s="3229" t="s">
        <v>2911</v>
      </c>
      <c r="Q17" s="3229" t="s">
        <v>256</v>
      </c>
      <c r="R17" s="3229" t="s">
        <v>2912</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2913</v>
      </c>
      <c r="P18" s="3229" t="s">
        <v>241</v>
      </c>
      <c r="Q18" s="3229" t="s">
        <v>2914</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2915</v>
      </c>
      <c r="P19" s="3229" t="s">
        <v>249</v>
      </c>
      <c r="Q19" s="3229" t="s">
        <v>2916</v>
      </c>
      <c r="R19" s="3229" t="s">
        <v>265</v>
      </c>
      <c r="S19" s="3229" t="s">
        <v>2917</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2918</v>
      </c>
      <c r="P20" s="3229" t="s">
        <v>2919</v>
      </c>
      <c r="Q20" s="3229" t="s">
        <v>290</v>
      </c>
      <c r="R20" s="3229" t="s">
        <v>2920</v>
      </c>
      <c r="S20" s="3229" t="s">
        <v>277</v>
      </c>
    </row>
    <row r="21" spans="1:19" ht="14.25" customHeight="1" thickBot="1">
      <c r="A21" s="3229" t="s">
        <v>184</v>
      </c>
      <c r="B21" s="3230" t="s">
        <v>208</v>
      </c>
      <c r="C21" s="3229">
        <v>32370</v>
      </c>
      <c r="D21" s="3229">
        <v>26730</v>
      </c>
      <c r="E21" s="3229">
        <v>26640</v>
      </c>
      <c r="F21" s="3229"/>
      <c r="G21" s="3229">
        <v>19440</v>
      </c>
      <c r="J21" s="3236" t="s">
        <v>2921</v>
      </c>
      <c r="K21" s="3230" t="s">
        <v>267</v>
      </c>
      <c r="L21" s="3229" t="s">
        <v>268</v>
      </c>
      <c r="M21" s="3229" t="s">
        <v>269</v>
      </c>
      <c r="N21" s="3229" t="s">
        <v>270</v>
      </c>
      <c r="O21" s="3229" t="s">
        <v>264</v>
      </c>
      <c r="P21" s="3229" t="s">
        <v>283</v>
      </c>
      <c r="Q21" s="3229" t="s">
        <v>293</v>
      </c>
      <c r="R21" s="3229" t="s">
        <v>2922</v>
      </c>
      <c r="S21" s="3236" t="s">
        <v>2923</v>
      </c>
    </row>
    <row r="22" spans="1:19" ht="14.25" customHeight="1">
      <c r="A22" s="3229" t="s">
        <v>184</v>
      </c>
      <c r="B22" s="3230" t="s">
        <v>2903</v>
      </c>
      <c r="C22" s="3229">
        <v>29830</v>
      </c>
      <c r="D22" s="3229">
        <v>27600</v>
      </c>
      <c r="E22" s="3229">
        <v>28150</v>
      </c>
      <c r="F22" s="3229"/>
      <c r="G22" s="3229">
        <v>20080</v>
      </c>
      <c r="K22" s="3230" t="s">
        <v>2924</v>
      </c>
      <c r="L22" s="3229" t="s">
        <v>272</v>
      </c>
      <c r="M22" s="3229" t="s">
        <v>273</v>
      </c>
      <c r="N22" s="3229" t="s">
        <v>274</v>
      </c>
      <c r="O22" s="3229" t="s">
        <v>2925</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2926</v>
      </c>
      <c r="L23" s="3229" t="s">
        <v>278</v>
      </c>
      <c r="M23" s="3229" t="s">
        <v>279</v>
      </c>
      <c r="N23" s="3229" t="s">
        <v>2927</v>
      </c>
      <c r="O23" s="3229" t="s">
        <v>2928</v>
      </c>
      <c r="P23" s="3229" t="s">
        <v>289</v>
      </c>
      <c r="Q23" s="3229" t="s">
        <v>298</v>
      </c>
      <c r="R23" s="3229" t="s">
        <v>2929</v>
      </c>
    </row>
    <row r="24" spans="1:19" ht="14.25" customHeight="1">
      <c r="A24" s="3229" t="s">
        <v>184</v>
      </c>
      <c r="B24" s="3230" t="s">
        <v>230</v>
      </c>
      <c r="C24" s="3229">
        <v>27930</v>
      </c>
      <c r="D24" s="3229">
        <v>32260</v>
      </c>
      <c r="E24" s="3229">
        <v>32120</v>
      </c>
      <c r="F24" s="3229"/>
      <c r="G24" s="3229">
        <v>23470</v>
      </c>
      <c r="K24" s="3230" t="s">
        <v>2930</v>
      </c>
      <c r="L24" s="3229" t="s">
        <v>281</v>
      </c>
      <c r="M24" s="3229" t="s">
        <v>282</v>
      </c>
      <c r="N24" s="3229" t="s">
        <v>2931</v>
      </c>
      <c r="O24" s="3229" t="s">
        <v>285</v>
      </c>
      <c r="P24" s="3229" t="s">
        <v>2932</v>
      </c>
      <c r="Q24" s="3238" t="s">
        <v>2933</v>
      </c>
      <c r="R24" s="3229" t="s">
        <v>2934</v>
      </c>
    </row>
    <row r="25" spans="1:19" ht="14.25" customHeight="1">
      <c r="A25" s="3229" t="s">
        <v>184</v>
      </c>
      <c r="B25" s="3230" t="s">
        <v>235</v>
      </c>
      <c r="C25" s="3229">
        <v>32230</v>
      </c>
      <c r="D25" s="3229">
        <v>29640</v>
      </c>
      <c r="E25" s="3229">
        <v>29510</v>
      </c>
      <c r="F25" s="3229"/>
      <c r="G25" s="3229">
        <v>21560</v>
      </c>
      <c r="K25" s="3230" t="s">
        <v>2935</v>
      </c>
      <c r="L25" s="3229" t="s">
        <v>2936</v>
      </c>
      <c r="M25" s="3229" t="s">
        <v>284</v>
      </c>
      <c r="N25" s="3229" t="s">
        <v>292</v>
      </c>
      <c r="O25" s="3229" t="s">
        <v>288</v>
      </c>
      <c r="P25" s="3229" t="s">
        <v>275</v>
      </c>
      <c r="Q25" s="3238" t="s">
        <v>271</v>
      </c>
      <c r="R25" s="3229" t="s">
        <v>2937</v>
      </c>
    </row>
    <row r="26" spans="1:19" ht="14.25" customHeight="1" thickBot="1">
      <c r="A26" s="3229" t="s">
        <v>184</v>
      </c>
      <c r="B26" s="3230" t="s">
        <v>244</v>
      </c>
      <c r="C26" s="3229">
        <v>31690</v>
      </c>
      <c r="D26" s="3229">
        <v>27650</v>
      </c>
      <c r="E26" s="3229">
        <v>28200</v>
      </c>
      <c r="F26" s="3229"/>
      <c r="G26" s="3229">
        <v>20110</v>
      </c>
      <c r="K26" s="3235" t="s">
        <v>2938</v>
      </c>
      <c r="L26" s="3229" t="s">
        <v>2939</v>
      </c>
      <c r="M26" s="3229" t="s">
        <v>287</v>
      </c>
      <c r="N26" s="3229" t="s">
        <v>294</v>
      </c>
      <c r="O26" s="3229" t="s">
        <v>2940</v>
      </c>
      <c r="P26" s="3229" t="s">
        <v>2941</v>
      </c>
      <c r="Q26" s="3238" t="s">
        <v>276</v>
      </c>
      <c r="R26" s="3229" t="s">
        <v>2942</v>
      </c>
    </row>
    <row r="27" spans="1:19" ht="14.25" customHeight="1">
      <c r="A27" s="3229" t="s">
        <v>184</v>
      </c>
      <c r="B27" s="3230" t="s">
        <v>251</v>
      </c>
      <c r="C27" s="3229">
        <v>29610</v>
      </c>
      <c r="D27" s="3229">
        <v>27770</v>
      </c>
      <c r="E27" s="3229">
        <v>28300</v>
      </c>
      <c r="F27" s="3229"/>
      <c r="G27" s="3229">
        <v>20210</v>
      </c>
      <c r="L27" s="3229" t="s">
        <v>2943</v>
      </c>
      <c r="M27" s="3229" t="s">
        <v>291</v>
      </c>
      <c r="N27" s="3229" t="s">
        <v>297</v>
      </c>
      <c r="O27" s="3229" t="s">
        <v>2944</v>
      </c>
      <c r="P27" s="3229" t="s">
        <v>2945</v>
      </c>
      <c r="Q27" s="3229" t="s">
        <v>2946</v>
      </c>
      <c r="R27" s="3229" t="s">
        <v>2947</v>
      </c>
    </row>
    <row r="28" spans="1:19" ht="14.25" customHeight="1">
      <c r="A28" s="3229" t="s">
        <v>184</v>
      </c>
      <c r="B28" s="3230" t="s">
        <v>259</v>
      </c>
      <c r="C28" s="3229"/>
      <c r="D28" s="3229">
        <v>31520</v>
      </c>
      <c r="E28" s="3229">
        <v>31410</v>
      </c>
      <c r="F28" s="3229"/>
      <c r="G28" s="3229">
        <v>22940</v>
      </c>
      <c r="L28" s="3229" t="s">
        <v>2948</v>
      </c>
      <c r="M28" s="3229" t="s">
        <v>2949</v>
      </c>
      <c r="N28" s="3229" t="s">
        <v>2950</v>
      </c>
      <c r="O28" s="3229" t="s">
        <v>2951</v>
      </c>
      <c r="P28" s="3229" t="s">
        <v>2952</v>
      </c>
      <c r="Q28" s="3229" t="s">
        <v>2953</v>
      </c>
      <c r="R28" s="3229" t="s">
        <v>2954</v>
      </c>
    </row>
    <row r="29" spans="1:19" ht="14.25" customHeight="1" thickBot="1">
      <c r="A29" s="3237" t="s">
        <v>184</v>
      </c>
      <c r="B29" s="3239" t="s">
        <v>2921</v>
      </c>
      <c r="C29" s="3240"/>
      <c r="D29" s="3240">
        <v>29460</v>
      </c>
      <c r="E29" s="3240">
        <v>28640</v>
      </c>
      <c r="F29" s="3240"/>
      <c r="G29" s="3240">
        <v>21430</v>
      </c>
      <c r="L29" s="3229" t="s">
        <v>2955</v>
      </c>
      <c r="M29" s="3229" t="s">
        <v>2956</v>
      </c>
      <c r="N29" s="3229" t="s">
        <v>2957</v>
      </c>
      <c r="O29" s="3229" t="s">
        <v>2958</v>
      </c>
      <c r="P29" s="3229" t="s">
        <v>2959</v>
      </c>
      <c r="Q29" s="3229" t="s">
        <v>2960</v>
      </c>
      <c r="R29" s="3229" t="s">
        <v>280</v>
      </c>
    </row>
    <row r="30" spans="1:19" ht="14.25" customHeight="1">
      <c r="A30" s="3234" t="s">
        <v>296</v>
      </c>
      <c r="B30" s="3225" t="s">
        <v>2854</v>
      </c>
      <c r="C30" s="3225">
        <v>26890</v>
      </c>
      <c r="D30" s="3225">
        <v>26770</v>
      </c>
      <c r="E30" s="3225">
        <v>25700</v>
      </c>
      <c r="F30" s="3225">
        <v>8180</v>
      </c>
      <c r="G30" s="3241">
        <v>18740</v>
      </c>
      <c r="L30" s="3229" t="s">
        <v>2961</v>
      </c>
      <c r="M30" s="3229" t="s">
        <v>2962</v>
      </c>
      <c r="N30" s="3229" t="s">
        <v>2963</v>
      </c>
      <c r="O30" s="3229" t="s">
        <v>2964</v>
      </c>
      <c r="P30" s="3229" t="s">
        <v>2965</v>
      </c>
      <c r="Q30" s="3229" t="s">
        <v>2966</v>
      </c>
      <c r="R30" s="3229" t="s">
        <v>2967</v>
      </c>
    </row>
    <row r="31" spans="1:19" ht="14.25" customHeight="1">
      <c r="A31" s="3229" t="s">
        <v>296</v>
      </c>
      <c r="B31" s="3230" t="s">
        <v>129</v>
      </c>
      <c r="C31" s="3229">
        <v>24550</v>
      </c>
      <c r="D31" s="3229">
        <v>23990</v>
      </c>
      <c r="E31" s="3229">
        <v>22930</v>
      </c>
      <c r="F31" s="3229">
        <v>7470</v>
      </c>
      <c r="G31" s="3242">
        <v>16790</v>
      </c>
      <c r="L31" s="3229" t="s">
        <v>2968</v>
      </c>
      <c r="M31" s="3229" t="s">
        <v>2969</v>
      </c>
      <c r="N31" s="3229" t="s">
        <v>2970</v>
      </c>
      <c r="O31" s="3229" t="s">
        <v>2971</v>
      </c>
      <c r="P31" s="3229" t="s">
        <v>2972</v>
      </c>
      <c r="Q31" s="3229" t="s">
        <v>2973</v>
      </c>
      <c r="R31" s="3229" t="s">
        <v>2974</v>
      </c>
    </row>
    <row r="32" spans="1:19" ht="14.25" customHeight="1" thickBot="1">
      <c r="A32" s="3229" t="s">
        <v>296</v>
      </c>
      <c r="B32" s="3230" t="s">
        <v>138</v>
      </c>
      <c r="C32" s="3229">
        <v>27210</v>
      </c>
      <c r="D32" s="3229">
        <v>23240</v>
      </c>
      <c r="E32" s="3229">
        <v>23260</v>
      </c>
      <c r="F32" s="3229">
        <v>7130</v>
      </c>
      <c r="G32" s="3242">
        <v>16270</v>
      </c>
      <c r="L32" s="3229" t="s">
        <v>2975</v>
      </c>
      <c r="M32" s="3229" t="s">
        <v>2976</v>
      </c>
      <c r="N32" s="3229" t="s">
        <v>300</v>
      </c>
      <c r="O32" s="3229" t="s">
        <v>2977</v>
      </c>
      <c r="P32" s="3229" t="s">
        <v>299</v>
      </c>
      <c r="Q32" s="3229" t="s">
        <v>2978</v>
      </c>
      <c r="R32" s="3236" t="s">
        <v>2979</v>
      </c>
    </row>
    <row r="33" spans="1:17" ht="14.25" customHeight="1" thickBot="1">
      <c r="A33" s="3229" t="s">
        <v>296</v>
      </c>
      <c r="B33" s="3230" t="s">
        <v>147</v>
      </c>
      <c r="C33" s="3229">
        <v>27300</v>
      </c>
      <c r="D33" s="3229">
        <v>22980</v>
      </c>
      <c r="E33" s="3229">
        <v>24260</v>
      </c>
      <c r="F33" s="3229">
        <v>5860</v>
      </c>
      <c r="G33" s="3242">
        <v>16090</v>
      </c>
      <c r="L33" s="3236" t="s">
        <v>2980</v>
      </c>
      <c r="M33" s="3229" t="s">
        <v>2981</v>
      </c>
      <c r="N33" s="3229" t="s">
        <v>301</v>
      </c>
      <c r="O33" s="3229" t="s">
        <v>2982</v>
      </c>
      <c r="P33" s="3229" t="s">
        <v>2983</v>
      </c>
      <c r="Q33" s="3229" t="s">
        <v>2984</v>
      </c>
    </row>
    <row r="34" spans="1:17" ht="14.25" customHeight="1">
      <c r="A34" s="3229" t="s">
        <v>296</v>
      </c>
      <c r="B34" s="3230" t="s">
        <v>156</v>
      </c>
      <c r="C34" s="3229">
        <v>23090</v>
      </c>
      <c r="D34" s="3229">
        <v>23390</v>
      </c>
      <c r="E34" s="3229">
        <v>23510</v>
      </c>
      <c r="F34" s="3229">
        <v>6700</v>
      </c>
      <c r="G34" s="3242">
        <v>16370</v>
      </c>
      <c r="M34" s="3229" t="s">
        <v>2985</v>
      </c>
      <c r="N34" s="3229" t="s">
        <v>302</v>
      </c>
      <c r="O34" s="3229" t="s">
        <v>2986</v>
      </c>
      <c r="P34" s="3229" t="s">
        <v>2987</v>
      </c>
      <c r="Q34" s="3229" t="s">
        <v>2988</v>
      </c>
    </row>
    <row r="35" spans="1:17" ht="14.25" customHeight="1">
      <c r="A35" s="3229" t="s">
        <v>296</v>
      </c>
      <c r="B35" s="3230" t="s">
        <v>163</v>
      </c>
      <c r="C35" s="3229">
        <v>27270</v>
      </c>
      <c r="D35" s="3229">
        <v>24270</v>
      </c>
      <c r="E35" s="3229">
        <v>24950</v>
      </c>
      <c r="F35" s="3229">
        <v>6600</v>
      </c>
      <c r="G35" s="3242">
        <v>16990</v>
      </c>
      <c r="M35" s="3229" t="s">
        <v>2989</v>
      </c>
      <c r="N35" s="3229" t="s">
        <v>2990</v>
      </c>
      <c r="O35" s="3229" t="s">
        <v>2991</v>
      </c>
      <c r="P35" s="3229" t="s">
        <v>2992</v>
      </c>
      <c r="Q35" s="3229" t="s">
        <v>2993</v>
      </c>
    </row>
    <row r="36" spans="1:17" ht="14.25" customHeight="1">
      <c r="A36" s="3229" t="s">
        <v>296</v>
      </c>
      <c r="B36" s="3230" t="s">
        <v>169</v>
      </c>
      <c r="C36" s="3229">
        <v>23490</v>
      </c>
      <c r="D36" s="3229">
        <v>23020</v>
      </c>
      <c r="E36" s="3229">
        <v>25230</v>
      </c>
      <c r="F36" s="3229">
        <v>6780</v>
      </c>
      <c r="G36" s="3242">
        <v>16120</v>
      </c>
      <c r="M36" s="3229" t="s">
        <v>2994</v>
      </c>
      <c r="N36" s="3229" t="s">
        <v>2995</v>
      </c>
      <c r="O36" s="3229" t="s">
        <v>2996</v>
      </c>
      <c r="P36" s="3229" t="s">
        <v>2997</v>
      </c>
      <c r="Q36" s="3229" t="s">
        <v>2998</v>
      </c>
    </row>
    <row r="37" spans="1:17" ht="14.25" customHeight="1">
      <c r="A37" s="3229" t="s">
        <v>296</v>
      </c>
      <c r="B37" s="3230" t="s">
        <v>176</v>
      </c>
      <c r="C37" s="3229">
        <v>24380</v>
      </c>
      <c r="D37" s="3229">
        <v>22240</v>
      </c>
      <c r="E37" s="3229">
        <v>25980</v>
      </c>
      <c r="F37" s="3229">
        <v>8160</v>
      </c>
      <c r="G37" s="3242">
        <v>15570</v>
      </c>
      <c r="M37" s="3229" t="s">
        <v>2999</v>
      </c>
      <c r="N37" s="3229" t="s">
        <v>3000</v>
      </c>
      <c r="O37" s="3229" t="s">
        <v>3001</v>
      </c>
      <c r="P37" s="3229" t="s">
        <v>3002</v>
      </c>
      <c r="Q37" s="3229" t="s">
        <v>3003</v>
      </c>
    </row>
    <row r="38" spans="1:17" ht="14.25" customHeight="1">
      <c r="A38" s="3229" t="s">
        <v>296</v>
      </c>
      <c r="B38" s="3230" t="s">
        <v>186</v>
      </c>
      <c r="C38" s="3229">
        <v>23120</v>
      </c>
      <c r="D38" s="3229">
        <v>24630</v>
      </c>
      <c r="E38" s="3229">
        <v>25030</v>
      </c>
      <c r="F38" s="3229">
        <v>7710</v>
      </c>
      <c r="G38" s="3242">
        <v>17240</v>
      </c>
      <c r="M38" s="3229" t="s">
        <v>3004</v>
      </c>
      <c r="N38" s="3229" t="s">
        <v>3005</v>
      </c>
      <c r="O38" s="3229" t="s">
        <v>3006</v>
      </c>
      <c r="P38" s="3229" t="s">
        <v>3007</v>
      </c>
      <c r="Q38" s="3229" t="s">
        <v>3008</v>
      </c>
    </row>
    <row r="39" spans="1:17" ht="14.25" customHeight="1">
      <c r="A39" s="3229" t="s">
        <v>296</v>
      </c>
      <c r="B39" s="3230" t="s">
        <v>195</v>
      </c>
      <c r="C39" s="3229">
        <v>22330</v>
      </c>
      <c r="D39" s="3229">
        <v>21140</v>
      </c>
      <c r="E39" s="3229">
        <v>23970</v>
      </c>
      <c r="F39" s="3229">
        <v>7940</v>
      </c>
      <c r="G39" s="3242">
        <v>14790</v>
      </c>
      <c r="M39" s="3229" t="s">
        <v>3009</v>
      </c>
      <c r="N39" s="3229" t="s">
        <v>3010</v>
      </c>
      <c r="O39" s="3229" t="s">
        <v>3011</v>
      </c>
      <c r="P39" s="3229" t="s">
        <v>3012</v>
      </c>
      <c r="Q39" s="3229" t="s">
        <v>3013</v>
      </c>
    </row>
    <row r="40" spans="1:17" ht="14.25" customHeight="1">
      <c r="A40" s="3229" t="s">
        <v>296</v>
      </c>
      <c r="B40" s="3230" t="s">
        <v>202</v>
      </c>
      <c r="C40" s="3229">
        <v>24740</v>
      </c>
      <c r="D40" s="3229">
        <v>24690</v>
      </c>
      <c r="E40" s="3229">
        <v>22610</v>
      </c>
      <c r="F40" s="3229"/>
      <c r="G40" s="3242">
        <v>17280</v>
      </c>
      <c r="M40" s="3229" t="s">
        <v>3014</v>
      </c>
      <c r="N40" s="3229" t="s">
        <v>3015</v>
      </c>
      <c r="O40" s="3229" t="s">
        <v>3016</v>
      </c>
      <c r="P40" s="3229" t="s">
        <v>3017</v>
      </c>
      <c r="Q40" s="3229" t="s">
        <v>3018</v>
      </c>
    </row>
    <row r="41" spans="1:17" ht="14.25" customHeight="1" thickBot="1">
      <c r="A41" s="3229" t="s">
        <v>296</v>
      </c>
      <c r="B41" s="3230" t="s">
        <v>209</v>
      </c>
      <c r="C41" s="3229">
        <v>21220</v>
      </c>
      <c r="D41" s="3229">
        <v>21120</v>
      </c>
      <c r="E41" s="3229">
        <v>22590</v>
      </c>
      <c r="F41" s="3229"/>
      <c r="G41" s="3242">
        <v>14780</v>
      </c>
      <c r="M41" s="3236" t="s">
        <v>3019</v>
      </c>
      <c r="N41" s="3229" t="s">
        <v>3020</v>
      </c>
      <c r="O41" s="3229" t="s">
        <v>3021</v>
      </c>
      <c r="P41" s="3229" t="s">
        <v>3022</v>
      </c>
      <c r="Q41" s="3229" t="s">
        <v>3023</v>
      </c>
    </row>
    <row r="42" spans="1:17" ht="14.25" customHeight="1">
      <c r="A42" s="3229" t="s">
        <v>296</v>
      </c>
      <c r="B42" s="3230" t="s">
        <v>215</v>
      </c>
      <c r="C42" s="3229">
        <v>24800</v>
      </c>
      <c r="D42" s="3229">
        <v>22280</v>
      </c>
      <c r="E42" s="3229">
        <v>24350</v>
      </c>
      <c r="F42" s="3229"/>
      <c r="G42" s="3242">
        <v>15590</v>
      </c>
      <c r="N42" s="3229" t="s">
        <v>3024</v>
      </c>
      <c r="O42" s="3229" t="s">
        <v>3025</v>
      </c>
      <c r="P42" s="3229" t="s">
        <v>3026</v>
      </c>
      <c r="Q42" s="3229" t="s">
        <v>3027</v>
      </c>
    </row>
    <row r="43" spans="1:17" ht="14.25" customHeight="1">
      <c r="A43" s="3229" t="s">
        <v>3028</v>
      </c>
      <c r="B43" s="3230" t="s">
        <v>223</v>
      </c>
      <c r="C43" s="3229">
        <v>21210</v>
      </c>
      <c r="D43" s="3229">
        <v>21160</v>
      </c>
      <c r="E43" s="3229">
        <v>22650</v>
      </c>
      <c r="F43" s="3229"/>
      <c r="G43" s="3242">
        <v>14800</v>
      </c>
      <c r="N43" s="3229" t="s">
        <v>3029</v>
      </c>
      <c r="O43" s="3229" t="s">
        <v>3030</v>
      </c>
      <c r="P43" s="3229" t="s">
        <v>3031</v>
      </c>
      <c r="Q43" s="3229" t="s">
        <v>3032</v>
      </c>
    </row>
    <row r="44" spans="1:17" ht="14.25" customHeight="1" thickBot="1">
      <c r="A44" s="3229" t="s">
        <v>296</v>
      </c>
      <c r="B44" s="3230" t="s">
        <v>231</v>
      </c>
      <c r="C44" s="3229">
        <v>22370</v>
      </c>
      <c r="D44" s="3229">
        <v>23140</v>
      </c>
      <c r="E44" s="3229">
        <v>25090</v>
      </c>
      <c r="F44" s="3229"/>
      <c r="G44" s="3242">
        <v>16190</v>
      </c>
      <c r="N44" s="3229" t="s">
        <v>3033</v>
      </c>
      <c r="O44" s="3229" t="s">
        <v>3034</v>
      </c>
      <c r="P44" s="3236" t="s">
        <v>3035</v>
      </c>
      <c r="Q44" s="3229" t="s">
        <v>3036</v>
      </c>
    </row>
    <row r="45" spans="1:17" ht="14.25" customHeight="1" thickBot="1">
      <c r="A45" s="3229" t="s">
        <v>296</v>
      </c>
      <c r="B45" s="3230" t="s">
        <v>236</v>
      </c>
      <c r="C45" s="3229">
        <v>21240</v>
      </c>
      <c r="D45" s="3229">
        <v>27050</v>
      </c>
      <c r="E45" s="3229">
        <v>28000</v>
      </c>
      <c r="F45" s="3229"/>
      <c r="G45" s="3242">
        <v>18940</v>
      </c>
      <c r="N45" s="3229" t="s">
        <v>3037</v>
      </c>
      <c r="O45" s="3236" t="s">
        <v>3038</v>
      </c>
      <c r="Q45" s="3229" t="s">
        <v>3039</v>
      </c>
    </row>
    <row r="46" spans="1:17" ht="14.25" customHeight="1">
      <c r="A46" s="3229" t="s">
        <v>296</v>
      </c>
      <c r="B46" s="3230" t="s">
        <v>245</v>
      </c>
      <c r="C46" s="3229">
        <v>23240</v>
      </c>
      <c r="D46" s="3229">
        <v>23000</v>
      </c>
      <c r="E46" s="3229">
        <v>24980</v>
      </c>
      <c r="F46" s="3229"/>
      <c r="G46" s="3242">
        <v>16100</v>
      </c>
      <c r="N46" s="3229" t="s">
        <v>3040</v>
      </c>
      <c r="Q46" s="3229" t="s">
        <v>3041</v>
      </c>
    </row>
    <row r="47" spans="1:17" ht="14.25" customHeight="1">
      <c r="A47" s="3229" t="s">
        <v>296</v>
      </c>
      <c r="B47" s="3230" t="s">
        <v>252</v>
      </c>
      <c r="C47" s="3229">
        <v>27150</v>
      </c>
      <c r="D47" s="3229">
        <v>23310</v>
      </c>
      <c r="E47" s="3229">
        <v>25150</v>
      </c>
      <c r="F47" s="3229"/>
      <c r="G47" s="3242">
        <v>16310</v>
      </c>
      <c r="N47" s="3229" t="s">
        <v>3042</v>
      </c>
      <c r="Q47" s="3229" t="s">
        <v>3043</v>
      </c>
    </row>
    <row r="48" spans="1:17" ht="14.25" customHeight="1">
      <c r="A48" s="3229" t="s">
        <v>296</v>
      </c>
      <c r="B48" s="3230" t="s">
        <v>260</v>
      </c>
      <c r="C48" s="3229">
        <v>23100</v>
      </c>
      <c r="D48" s="3229">
        <v>21110</v>
      </c>
      <c r="E48" s="3229">
        <v>23080</v>
      </c>
      <c r="F48" s="3229"/>
      <c r="G48" s="3242">
        <v>14780</v>
      </c>
      <c r="N48" s="3229" t="s">
        <v>3044</v>
      </c>
      <c r="Q48" s="3229" t="s">
        <v>3045</v>
      </c>
    </row>
    <row r="49" spans="1:17" ht="14.25" customHeight="1">
      <c r="A49" s="3229" t="s">
        <v>296</v>
      </c>
      <c r="B49" s="3230" t="s">
        <v>267</v>
      </c>
      <c r="C49" s="3229">
        <v>23400</v>
      </c>
      <c r="D49" s="3229">
        <v>22920</v>
      </c>
      <c r="E49" s="3229">
        <v>24900</v>
      </c>
      <c r="F49" s="3229"/>
      <c r="G49" s="3242">
        <v>16040</v>
      </c>
      <c r="N49" s="3229" t="s">
        <v>3046</v>
      </c>
      <c r="Q49" s="3229" t="s">
        <v>3047</v>
      </c>
    </row>
    <row r="50" spans="1:17" ht="14.25" customHeight="1">
      <c r="A50" s="3229" t="s">
        <v>296</v>
      </c>
      <c r="B50" s="3230" t="s">
        <v>2924</v>
      </c>
      <c r="C50" s="3229">
        <v>21200</v>
      </c>
      <c r="D50" s="3229">
        <v>26540</v>
      </c>
      <c r="E50" s="3229">
        <v>23200</v>
      </c>
      <c r="F50" s="3229"/>
      <c r="G50" s="3242">
        <v>18580</v>
      </c>
      <c r="N50" s="3229" t="s">
        <v>3048</v>
      </c>
      <c r="Q50" s="3230" t="s">
        <v>3049</v>
      </c>
    </row>
    <row r="51" spans="1:17" ht="14.25" customHeight="1" thickBot="1">
      <c r="A51" s="3229" t="s">
        <v>296</v>
      </c>
      <c r="B51" s="3230" t="s">
        <v>2926</v>
      </c>
      <c r="C51" s="3229">
        <v>23000</v>
      </c>
      <c r="D51" s="3229">
        <v>23460</v>
      </c>
      <c r="E51" s="3229">
        <v>25290</v>
      </c>
      <c r="F51" s="3229"/>
      <c r="G51" s="3242">
        <v>16420</v>
      </c>
      <c r="N51" s="3229" t="s">
        <v>3050</v>
      </c>
      <c r="Q51" s="3236" t="s">
        <v>3051</v>
      </c>
    </row>
    <row r="52" spans="1:17" ht="14.25" customHeight="1">
      <c r="A52" s="3229" t="s">
        <v>296</v>
      </c>
      <c r="B52" s="3230" t="s">
        <v>2930</v>
      </c>
      <c r="C52" s="3229">
        <v>26660</v>
      </c>
      <c r="D52" s="3229">
        <v>22350</v>
      </c>
      <c r="E52" s="3229">
        <v>22920</v>
      </c>
      <c r="F52" s="3229"/>
      <c r="G52" s="3242">
        <v>15640</v>
      </c>
      <c r="N52" s="3229" t="s">
        <v>3052</v>
      </c>
    </row>
    <row r="53" spans="1:17" ht="14.25" customHeight="1">
      <c r="A53" s="3229" t="s">
        <v>296</v>
      </c>
      <c r="B53" s="3230" t="s">
        <v>2935</v>
      </c>
      <c r="C53" s="3229">
        <v>23580</v>
      </c>
      <c r="D53" s="3229"/>
      <c r="E53" s="3229">
        <v>24280</v>
      </c>
      <c r="F53" s="3229"/>
      <c r="G53" s="3242"/>
      <c r="N53" s="3229" t="s">
        <v>3053</v>
      </c>
    </row>
    <row r="54" spans="1:17" ht="14.25" customHeight="1" thickBot="1">
      <c r="A54" s="3243" t="s">
        <v>296</v>
      </c>
      <c r="B54" s="3235" t="s">
        <v>2938</v>
      </c>
      <c r="C54" s="3236">
        <v>22460</v>
      </c>
      <c r="D54" s="3236"/>
      <c r="E54" s="3236"/>
      <c r="F54" s="3236"/>
      <c r="G54" s="3244"/>
      <c r="N54" s="3229" t="s">
        <v>3054</v>
      </c>
    </row>
    <row r="55" spans="1:17" ht="14.25" customHeight="1">
      <c r="A55" s="3234" t="s">
        <v>110</v>
      </c>
      <c r="B55" s="3225" t="s">
        <v>3055</v>
      </c>
      <c r="C55" s="3229">
        <v>21970</v>
      </c>
      <c r="D55" s="3229">
        <v>20370</v>
      </c>
      <c r="E55" s="3229">
        <v>20180</v>
      </c>
      <c r="F55" s="3229">
        <v>5730</v>
      </c>
      <c r="G55" s="3229">
        <v>13820</v>
      </c>
      <c r="N55" s="3229" t="s">
        <v>3056</v>
      </c>
    </row>
    <row r="56" spans="1:17" ht="14.25" customHeight="1">
      <c r="A56" s="3229" t="s">
        <v>110</v>
      </c>
      <c r="B56" s="3229" t="s">
        <v>130</v>
      </c>
      <c r="C56" s="3229">
        <v>20470</v>
      </c>
      <c r="D56" s="3229">
        <v>20700</v>
      </c>
      <c r="E56" s="3229">
        <v>20380</v>
      </c>
      <c r="F56" s="3229">
        <v>4760</v>
      </c>
      <c r="G56" s="3229">
        <v>14050</v>
      </c>
      <c r="N56" s="3229" t="s">
        <v>3057</v>
      </c>
    </row>
    <row r="57" spans="1:17" ht="14.25" customHeight="1">
      <c r="A57" s="3229" t="s">
        <v>110</v>
      </c>
      <c r="B57" s="3229" t="s">
        <v>139</v>
      </c>
      <c r="C57" s="3229">
        <v>20790</v>
      </c>
      <c r="D57" s="3229">
        <v>21370</v>
      </c>
      <c r="E57" s="3229">
        <v>20890</v>
      </c>
      <c r="F57" s="3229">
        <v>4910</v>
      </c>
      <c r="G57" s="3229">
        <v>14510</v>
      </c>
      <c r="N57" s="3229" t="s">
        <v>3058</v>
      </c>
    </row>
    <row r="58" spans="1:17" ht="14.25" customHeight="1">
      <c r="A58" s="3229" t="s">
        <v>110</v>
      </c>
      <c r="B58" s="3229" t="s">
        <v>148</v>
      </c>
      <c r="C58" s="3229">
        <v>21460</v>
      </c>
      <c r="D58" s="3229">
        <v>20920</v>
      </c>
      <c r="E58" s="3229">
        <v>23410</v>
      </c>
      <c r="F58" s="3229">
        <v>5100</v>
      </c>
      <c r="G58" s="3229">
        <v>14200</v>
      </c>
      <c r="N58" s="3229" t="s">
        <v>3059</v>
      </c>
    </row>
    <row r="59" spans="1:17" ht="14.25" customHeight="1">
      <c r="A59" s="3229" t="s">
        <v>110</v>
      </c>
      <c r="B59" s="3229" t="s">
        <v>157</v>
      </c>
      <c r="C59" s="3229">
        <v>21000</v>
      </c>
      <c r="D59" s="3229">
        <v>21550</v>
      </c>
      <c r="E59" s="3229">
        <v>21150</v>
      </c>
      <c r="F59" s="3229">
        <v>5250</v>
      </c>
      <c r="G59" s="3229">
        <v>14630</v>
      </c>
      <c r="N59" s="3229" t="s">
        <v>3060</v>
      </c>
    </row>
    <row r="60" spans="1:17" ht="14.25" customHeight="1">
      <c r="A60" s="3229" t="s">
        <v>110</v>
      </c>
      <c r="B60" s="3229" t="s">
        <v>164</v>
      </c>
      <c r="C60" s="3229">
        <v>21640</v>
      </c>
      <c r="D60" s="3229">
        <v>21260</v>
      </c>
      <c r="E60" s="3229">
        <v>24040</v>
      </c>
      <c r="F60" s="3229">
        <v>4470</v>
      </c>
      <c r="G60" s="3229">
        <v>14430</v>
      </c>
      <c r="N60" s="3229" t="s">
        <v>3061</v>
      </c>
    </row>
    <row r="61" spans="1:17" ht="14.25" customHeight="1">
      <c r="A61" s="3229" t="s">
        <v>110</v>
      </c>
      <c r="B61" s="3229" t="s">
        <v>170</v>
      </c>
      <c r="C61" s="3229">
        <v>21330</v>
      </c>
      <c r="D61" s="3229">
        <v>18640</v>
      </c>
      <c r="E61" s="3229">
        <v>21190</v>
      </c>
      <c r="F61" s="3229">
        <v>4180</v>
      </c>
      <c r="G61" s="3229">
        <v>12650</v>
      </c>
      <c r="N61" s="3229" t="s">
        <v>3062</v>
      </c>
    </row>
    <row r="62" spans="1:17" ht="14.25" customHeight="1">
      <c r="A62" s="3229" t="s">
        <v>110</v>
      </c>
      <c r="B62" s="3229" t="s">
        <v>177</v>
      </c>
      <c r="C62" s="3229">
        <v>18710</v>
      </c>
      <c r="D62" s="3229">
        <v>19400</v>
      </c>
      <c r="E62" s="3229">
        <v>23750</v>
      </c>
      <c r="F62" s="3229">
        <v>4860</v>
      </c>
      <c r="G62" s="3229">
        <v>13170</v>
      </c>
      <c r="N62" s="3229" t="s">
        <v>3063</v>
      </c>
    </row>
    <row r="63" spans="1:17" ht="14.25" customHeight="1">
      <c r="A63" s="3229" t="s">
        <v>110</v>
      </c>
      <c r="B63" s="3229" t="s">
        <v>187</v>
      </c>
      <c r="C63" s="3229">
        <v>19480</v>
      </c>
      <c r="D63" s="3229">
        <v>16830</v>
      </c>
      <c r="E63" s="3229">
        <v>21590</v>
      </c>
      <c r="F63" s="3229">
        <v>4560</v>
      </c>
      <c r="G63" s="3229">
        <v>11420</v>
      </c>
      <c r="N63" s="3229" t="s">
        <v>3064</v>
      </c>
    </row>
    <row r="64" spans="1:17" ht="14.25" customHeight="1" thickBot="1">
      <c r="A64" s="3229" t="s">
        <v>110</v>
      </c>
      <c r="B64" s="3229" t="s">
        <v>196</v>
      </c>
      <c r="C64" s="3229">
        <v>16920</v>
      </c>
      <c r="D64" s="3229">
        <v>19190</v>
      </c>
      <c r="E64" s="3229">
        <v>22200</v>
      </c>
      <c r="F64" s="3229">
        <v>4390</v>
      </c>
      <c r="G64" s="3229">
        <v>13030</v>
      </c>
      <c r="N64" s="3236" t="s">
        <v>3065</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2936</v>
      </c>
      <c r="C78" s="3229">
        <v>19820</v>
      </c>
      <c r="D78" s="3229">
        <v>19780</v>
      </c>
      <c r="E78" s="3229">
        <v>18560</v>
      </c>
      <c r="F78" s="3229"/>
      <c r="G78" s="3229">
        <v>13430</v>
      </c>
    </row>
    <row r="79" spans="1:7" s="3218" customFormat="1" ht="14.25" customHeight="1">
      <c r="A79" s="3229" t="s">
        <v>110</v>
      </c>
      <c r="B79" s="3229" t="s">
        <v>2939</v>
      </c>
      <c r="C79" s="3229">
        <v>21660</v>
      </c>
      <c r="D79" s="3229">
        <v>18000</v>
      </c>
      <c r="E79" s="3229">
        <v>22570</v>
      </c>
      <c r="F79" s="3229"/>
      <c r="G79" s="3229">
        <v>12220</v>
      </c>
    </row>
    <row r="80" spans="1:7" s="3218" customFormat="1" ht="14.25" customHeight="1">
      <c r="A80" s="3229" t="s">
        <v>110</v>
      </c>
      <c r="B80" s="3229" t="s">
        <v>2943</v>
      </c>
      <c r="C80" s="3229">
        <v>19850</v>
      </c>
      <c r="D80" s="3229"/>
      <c r="E80" s="3229">
        <v>21700</v>
      </c>
      <c r="F80" s="3229"/>
      <c r="G80" s="3229"/>
    </row>
    <row r="81" spans="1:7" s="3218" customFormat="1" ht="14.25" customHeight="1">
      <c r="A81" s="3229" t="s">
        <v>110</v>
      </c>
      <c r="B81" s="3229" t="s">
        <v>2948</v>
      </c>
      <c r="C81" s="3229">
        <v>18080</v>
      </c>
      <c r="D81" s="3229"/>
      <c r="E81" s="3229">
        <v>20900</v>
      </c>
      <c r="F81" s="3229"/>
      <c r="G81" s="3229"/>
    </row>
    <row r="82" spans="1:7" s="3218" customFormat="1" ht="14.25" customHeight="1">
      <c r="A82" s="3229" t="s">
        <v>110</v>
      </c>
      <c r="B82" s="3229" t="s">
        <v>2955</v>
      </c>
      <c r="C82" s="3229"/>
      <c r="D82" s="3229"/>
      <c r="E82" s="3229">
        <v>20840</v>
      </c>
      <c r="F82" s="3229"/>
      <c r="G82" s="3229"/>
    </row>
    <row r="83" spans="1:7" s="3218" customFormat="1" ht="14.25" customHeight="1">
      <c r="A83" s="3229" t="s">
        <v>110</v>
      </c>
      <c r="B83" s="3229" t="s">
        <v>3066</v>
      </c>
      <c r="C83" s="3229"/>
      <c r="D83" s="3229"/>
      <c r="E83" s="3229"/>
      <c r="F83" s="3229">
        <v>4770</v>
      </c>
      <c r="G83" s="3229"/>
    </row>
    <row r="84" spans="1:7" s="3218" customFormat="1" ht="14.25" customHeight="1">
      <c r="A84" s="3229" t="s">
        <v>110</v>
      </c>
      <c r="B84" s="3229" t="s">
        <v>3067</v>
      </c>
      <c r="C84" s="3229"/>
      <c r="D84" s="3229"/>
      <c r="E84" s="3229"/>
      <c r="F84" s="3229">
        <v>4600</v>
      </c>
      <c r="G84" s="3229"/>
    </row>
    <row r="85" spans="1:7" s="3218" customFormat="1" ht="14.25" customHeight="1">
      <c r="A85" s="3229" t="s">
        <v>110</v>
      </c>
      <c r="B85" s="3229" t="s">
        <v>3068</v>
      </c>
      <c r="C85" s="3229"/>
      <c r="D85" s="3229"/>
      <c r="E85" s="3229"/>
      <c r="F85" s="3229">
        <v>4680</v>
      </c>
      <c r="G85" s="3229"/>
    </row>
    <row r="86" spans="1:7" s="3218" customFormat="1" ht="14.25" customHeight="1" thickBot="1">
      <c r="A86" s="3237" t="s">
        <v>110</v>
      </c>
      <c r="B86" s="3239" t="s">
        <v>3069</v>
      </c>
      <c r="C86" s="3240">
        <v>16610</v>
      </c>
      <c r="D86" s="3240">
        <v>16540</v>
      </c>
      <c r="E86" s="3240">
        <v>18850</v>
      </c>
      <c r="F86" s="3240"/>
      <c r="G86" s="3240">
        <v>11220</v>
      </c>
    </row>
    <row r="87" spans="1:7" s="3218" customFormat="1" ht="14.25" customHeight="1">
      <c r="A87" s="3234" t="s">
        <v>303</v>
      </c>
      <c r="B87" s="3225" t="s">
        <v>3070</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2949</v>
      </c>
      <c r="C113" s="3229">
        <v>15520</v>
      </c>
      <c r="D113" s="3229">
        <v>15450</v>
      </c>
      <c r="E113" s="3229"/>
      <c r="F113" s="3229"/>
      <c r="G113" s="3242">
        <v>10210</v>
      </c>
    </row>
    <row r="114" spans="1:7" s="3218" customFormat="1" ht="14.25" customHeight="1">
      <c r="A114" s="3229" t="s">
        <v>303</v>
      </c>
      <c r="B114" s="3229" t="s">
        <v>2956</v>
      </c>
      <c r="C114" s="3229">
        <v>13110</v>
      </c>
      <c r="D114" s="3229">
        <v>13050</v>
      </c>
      <c r="E114" s="3229"/>
      <c r="F114" s="3229"/>
      <c r="G114" s="3242">
        <v>8620</v>
      </c>
    </row>
    <row r="115" spans="1:7" s="3218" customFormat="1" ht="14.25" customHeight="1">
      <c r="A115" s="3229" t="s">
        <v>303</v>
      </c>
      <c r="B115" s="3229" t="s">
        <v>2962</v>
      </c>
      <c r="C115" s="3229">
        <v>12460</v>
      </c>
      <c r="D115" s="3229">
        <v>12390</v>
      </c>
      <c r="E115" s="3229"/>
      <c r="F115" s="3229"/>
      <c r="G115" s="3242">
        <v>8190</v>
      </c>
    </row>
    <row r="116" spans="1:7" s="3218" customFormat="1" ht="14.25" customHeight="1">
      <c r="A116" s="3229" t="s">
        <v>303</v>
      </c>
      <c r="B116" s="3229" t="s">
        <v>2969</v>
      </c>
      <c r="C116" s="3229">
        <v>13580</v>
      </c>
      <c r="D116" s="3229">
        <v>13520</v>
      </c>
      <c r="E116" s="3229"/>
      <c r="F116" s="3229"/>
      <c r="G116" s="3242">
        <v>8930</v>
      </c>
    </row>
    <row r="117" spans="1:7" s="3218" customFormat="1" ht="14.25" customHeight="1">
      <c r="A117" s="3229" t="s">
        <v>303</v>
      </c>
      <c r="B117" s="3229" t="s">
        <v>2976</v>
      </c>
      <c r="C117" s="3229">
        <v>17120</v>
      </c>
      <c r="D117" s="3229">
        <v>17040</v>
      </c>
      <c r="E117" s="3229"/>
      <c r="F117" s="3229"/>
      <c r="G117" s="3242">
        <v>11260</v>
      </c>
    </row>
    <row r="118" spans="1:7" s="3218" customFormat="1" ht="14.25" customHeight="1">
      <c r="A118" s="3229" t="s">
        <v>303</v>
      </c>
      <c r="B118" s="3229" t="s">
        <v>2981</v>
      </c>
      <c r="C118" s="3229">
        <v>14860</v>
      </c>
      <c r="D118" s="3229">
        <v>14790</v>
      </c>
      <c r="E118" s="3229"/>
      <c r="F118" s="3229"/>
      <c r="G118" s="3242">
        <v>9780</v>
      </c>
    </row>
    <row r="119" spans="1:7" s="3218" customFormat="1" ht="14.25" customHeight="1">
      <c r="A119" s="3229" t="s">
        <v>303</v>
      </c>
      <c r="B119" s="3229" t="s">
        <v>2985</v>
      </c>
      <c r="C119" s="3229">
        <v>16470</v>
      </c>
      <c r="D119" s="3229">
        <v>16400</v>
      </c>
      <c r="E119" s="3229"/>
      <c r="F119" s="3229"/>
      <c r="G119" s="3242">
        <v>10840</v>
      </c>
    </row>
    <row r="120" spans="1:7" s="3218" customFormat="1" ht="14.25" customHeight="1">
      <c r="A120" s="3229" t="s">
        <v>303</v>
      </c>
      <c r="B120" s="3229" t="s">
        <v>3071</v>
      </c>
      <c r="C120" s="3229"/>
      <c r="D120" s="3229"/>
      <c r="E120" s="3229"/>
      <c r="F120" s="3229">
        <v>4160</v>
      </c>
      <c r="G120" s="3242"/>
    </row>
    <row r="121" spans="1:7" s="3218" customFormat="1" ht="14.25" customHeight="1">
      <c r="A121" s="3229" t="s">
        <v>303</v>
      </c>
      <c r="B121" s="3229" t="s">
        <v>3072</v>
      </c>
      <c r="C121" s="3229"/>
      <c r="D121" s="3229"/>
      <c r="E121" s="3229"/>
      <c r="F121" s="3229">
        <v>3880</v>
      </c>
      <c r="G121" s="3242"/>
    </row>
    <row r="122" spans="1:7" s="3218" customFormat="1" ht="14.25" customHeight="1">
      <c r="A122" s="3229" t="s">
        <v>303</v>
      </c>
      <c r="B122" s="3229" t="s">
        <v>3073</v>
      </c>
      <c r="C122" s="3229">
        <v>13750</v>
      </c>
      <c r="D122" s="3229">
        <v>13680</v>
      </c>
      <c r="E122" s="3229">
        <v>16460</v>
      </c>
      <c r="F122" s="3229">
        <v>2880</v>
      </c>
      <c r="G122" s="3242">
        <v>9040</v>
      </c>
    </row>
    <row r="123" spans="1:7" s="3218" customFormat="1" ht="14.25" customHeight="1">
      <c r="A123" s="3229" t="s">
        <v>303</v>
      </c>
      <c r="B123" s="3229" t="s">
        <v>3004</v>
      </c>
      <c r="C123" s="3229">
        <v>13590</v>
      </c>
      <c r="D123" s="3229">
        <v>13520</v>
      </c>
      <c r="E123" s="3229">
        <v>16290</v>
      </c>
      <c r="F123" s="3229">
        <v>2790</v>
      </c>
      <c r="G123" s="3242">
        <v>8930</v>
      </c>
    </row>
    <row r="124" spans="1:7" s="3218" customFormat="1" ht="14.25" customHeight="1">
      <c r="A124" s="3229" t="s">
        <v>303</v>
      </c>
      <c r="B124" s="3229" t="s">
        <v>3009</v>
      </c>
      <c r="C124" s="3229">
        <v>13400</v>
      </c>
      <c r="D124" s="3229">
        <v>13320</v>
      </c>
      <c r="E124" s="3229">
        <v>16100</v>
      </c>
      <c r="F124" s="3229">
        <v>2320</v>
      </c>
      <c r="G124" s="3242">
        <v>8800</v>
      </c>
    </row>
    <row r="125" spans="1:7" s="3218" customFormat="1" ht="14.25" customHeight="1">
      <c r="A125" s="3229" t="s">
        <v>303</v>
      </c>
      <c r="B125" s="3229" t="s">
        <v>3014</v>
      </c>
      <c r="C125" s="3229">
        <v>12860</v>
      </c>
      <c r="D125" s="3229">
        <v>12790</v>
      </c>
      <c r="E125" s="3229">
        <v>15370</v>
      </c>
      <c r="F125" s="3229">
        <v>2280</v>
      </c>
      <c r="G125" s="3242">
        <v>8450</v>
      </c>
    </row>
    <row r="126" spans="1:7" s="3218" customFormat="1" ht="14.25" customHeight="1" thickBot="1">
      <c r="A126" s="3243" t="s">
        <v>303</v>
      </c>
      <c r="B126" s="3236" t="s">
        <v>3019</v>
      </c>
      <c r="C126" s="3236">
        <v>12960</v>
      </c>
      <c r="D126" s="3236">
        <v>12890</v>
      </c>
      <c r="E126" s="3236">
        <v>15530</v>
      </c>
      <c r="F126" s="3236">
        <v>2910</v>
      </c>
      <c r="G126" s="3244">
        <v>8520</v>
      </c>
    </row>
    <row r="127" spans="1:7" s="3218" customFormat="1" ht="14.25" customHeight="1">
      <c r="A127" s="3234" t="s">
        <v>29</v>
      </c>
      <c r="B127" s="3225" t="s">
        <v>3074</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3075</v>
      </c>
      <c r="C148" s="3229">
        <v>10370</v>
      </c>
      <c r="D148" s="3229">
        <v>10310</v>
      </c>
      <c r="E148" s="3229">
        <v>12970</v>
      </c>
      <c r="F148" s="3229"/>
      <c r="G148" s="3229">
        <v>6630</v>
      </c>
    </row>
    <row r="149" spans="1:7" s="3218" customFormat="1" ht="14.25" customHeight="1">
      <c r="A149" s="3229" t="s">
        <v>29</v>
      </c>
      <c r="B149" s="3229" t="s">
        <v>3076</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2950</v>
      </c>
      <c r="C153" s="3229">
        <v>10880</v>
      </c>
      <c r="D153" s="3229">
        <v>10820</v>
      </c>
      <c r="E153" s="3229">
        <v>13660</v>
      </c>
      <c r="F153" s="3229">
        <v>2260</v>
      </c>
      <c r="G153" s="3229">
        <v>6970</v>
      </c>
    </row>
    <row r="154" spans="1:7" s="3218" customFormat="1" ht="14.25" customHeight="1">
      <c r="A154" s="3229" t="s">
        <v>29</v>
      </c>
      <c r="B154" s="3229" t="s">
        <v>3077</v>
      </c>
      <c r="C154" s="3229">
        <v>11220</v>
      </c>
      <c r="D154" s="3229">
        <v>11160</v>
      </c>
      <c r="E154" s="3229">
        <v>14130</v>
      </c>
      <c r="F154" s="3229">
        <v>2230</v>
      </c>
      <c r="G154" s="3229">
        <v>7180</v>
      </c>
    </row>
    <row r="155" spans="1:7" s="3218" customFormat="1" ht="14.25" customHeight="1">
      <c r="A155" s="3229" t="s">
        <v>29</v>
      </c>
      <c r="B155" s="3229" t="s">
        <v>2963</v>
      </c>
      <c r="C155" s="3229">
        <v>10430</v>
      </c>
      <c r="D155" s="3229">
        <v>10380</v>
      </c>
      <c r="E155" s="3229">
        <v>13140</v>
      </c>
      <c r="F155" s="3229">
        <v>2080</v>
      </c>
      <c r="G155" s="3229">
        <v>6650</v>
      </c>
    </row>
    <row r="156" spans="1:7" s="3218" customFormat="1" ht="14.25" customHeight="1">
      <c r="A156" s="3229" t="s">
        <v>29</v>
      </c>
      <c r="B156" s="3229" t="s">
        <v>3078</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3079</v>
      </c>
      <c r="C160" s="3229">
        <v>11180</v>
      </c>
      <c r="D160" s="3229">
        <v>11140</v>
      </c>
      <c r="E160" s="3229">
        <v>14050</v>
      </c>
      <c r="F160" s="3229">
        <v>2270</v>
      </c>
      <c r="G160" s="3229">
        <v>7170</v>
      </c>
    </row>
    <row r="161" spans="1:7" s="3218" customFormat="1" ht="14.25" customHeight="1">
      <c r="A161" s="3229" t="s">
        <v>29</v>
      </c>
      <c r="B161" s="3229" t="s">
        <v>2995</v>
      </c>
      <c r="C161" s="3229">
        <v>11160</v>
      </c>
      <c r="D161" s="3229">
        <v>11120</v>
      </c>
      <c r="E161" s="3229">
        <v>14020</v>
      </c>
      <c r="F161" s="3229">
        <v>2150</v>
      </c>
      <c r="G161" s="3229">
        <v>7160</v>
      </c>
    </row>
    <row r="162" spans="1:7" s="3218" customFormat="1" ht="14.25" customHeight="1">
      <c r="A162" s="3229" t="s">
        <v>29</v>
      </c>
      <c r="B162" s="3229" t="s">
        <v>3000</v>
      </c>
      <c r="C162" s="3229">
        <v>9620</v>
      </c>
      <c r="D162" s="3229">
        <v>9570</v>
      </c>
      <c r="E162" s="3229">
        <v>12320</v>
      </c>
      <c r="F162" s="3229">
        <v>2010</v>
      </c>
      <c r="G162" s="3229">
        <v>6160</v>
      </c>
    </row>
    <row r="163" spans="1:7" s="3218" customFormat="1" ht="14.25" customHeight="1">
      <c r="A163" s="3229" t="s">
        <v>29</v>
      </c>
      <c r="B163" s="3229" t="s">
        <v>3005</v>
      </c>
      <c r="C163" s="3229">
        <v>9320</v>
      </c>
      <c r="D163" s="3229">
        <v>9270</v>
      </c>
      <c r="E163" s="3229">
        <v>11790</v>
      </c>
      <c r="F163" s="3229">
        <v>1920</v>
      </c>
      <c r="G163" s="3229">
        <v>5960</v>
      </c>
    </row>
    <row r="164" spans="1:7" s="3218" customFormat="1" ht="14.25" customHeight="1">
      <c r="A164" s="3229" t="s">
        <v>29</v>
      </c>
      <c r="B164" s="3229" t="s">
        <v>3010</v>
      </c>
      <c r="C164" s="3229"/>
      <c r="D164" s="3229"/>
      <c r="E164" s="3229"/>
      <c r="F164" s="3229">
        <v>1980</v>
      </c>
      <c r="G164" s="3229"/>
    </row>
    <row r="165" spans="1:7" s="3218" customFormat="1" ht="14.25" customHeight="1">
      <c r="A165" s="3229" t="s">
        <v>29</v>
      </c>
      <c r="B165" s="3229" t="s">
        <v>3080</v>
      </c>
      <c r="C165" s="3229">
        <v>11060</v>
      </c>
      <c r="D165" s="3229">
        <v>11030</v>
      </c>
      <c r="E165" s="3229">
        <v>13850</v>
      </c>
      <c r="F165" s="3229">
        <v>2170</v>
      </c>
      <c r="G165" s="3229">
        <v>7090</v>
      </c>
    </row>
    <row r="166" spans="1:7" s="3218" customFormat="1" ht="14.25" customHeight="1">
      <c r="A166" s="3229" t="s">
        <v>29</v>
      </c>
      <c r="B166" s="3229" t="s">
        <v>3020</v>
      </c>
      <c r="C166" s="3229">
        <v>11050</v>
      </c>
      <c r="D166" s="3229">
        <v>11010</v>
      </c>
      <c r="E166" s="3229">
        <v>13920</v>
      </c>
      <c r="F166" s="3229">
        <v>2140</v>
      </c>
      <c r="G166" s="3229">
        <v>7080</v>
      </c>
    </row>
    <row r="167" spans="1:7" s="3218" customFormat="1" ht="14.25" customHeight="1">
      <c r="A167" s="3229" t="s">
        <v>29</v>
      </c>
      <c r="B167" s="3229" t="s">
        <v>3024</v>
      </c>
      <c r="C167" s="3229">
        <v>10930</v>
      </c>
      <c r="D167" s="3229">
        <v>10890</v>
      </c>
      <c r="E167" s="3229">
        <v>13790</v>
      </c>
      <c r="F167" s="3229">
        <v>2010</v>
      </c>
      <c r="G167" s="3229">
        <v>7000</v>
      </c>
    </row>
    <row r="168" spans="1:7" s="3218" customFormat="1" ht="14.25" customHeight="1">
      <c r="A168" s="3229" t="s">
        <v>29</v>
      </c>
      <c r="B168" s="3229" t="s">
        <v>3029</v>
      </c>
      <c r="C168" s="3229">
        <v>9420</v>
      </c>
      <c r="D168" s="3229">
        <v>9380</v>
      </c>
      <c r="E168" s="3229">
        <v>11970</v>
      </c>
      <c r="F168" s="3229"/>
      <c r="G168" s="3229">
        <v>6040</v>
      </c>
    </row>
    <row r="169" spans="1:7" s="3218" customFormat="1" ht="14.25" customHeight="1">
      <c r="A169" s="3229" t="s">
        <v>29</v>
      </c>
      <c r="B169" s="3229" t="s">
        <v>3081</v>
      </c>
      <c r="C169" s="3229"/>
      <c r="D169" s="3229"/>
      <c r="E169" s="3229"/>
      <c r="F169" s="3229">
        <v>2880</v>
      </c>
      <c r="G169" s="3229"/>
    </row>
    <row r="170" spans="1:7" s="3218" customFormat="1" ht="14.25" customHeight="1">
      <c r="A170" s="3229" t="s">
        <v>29</v>
      </c>
      <c r="B170" s="3229" t="s">
        <v>3037</v>
      </c>
      <c r="C170" s="3229"/>
      <c r="D170" s="3229"/>
      <c r="E170" s="3229"/>
      <c r="F170" s="3229">
        <v>2880</v>
      </c>
      <c r="G170" s="3229"/>
    </row>
    <row r="171" spans="1:7" s="3218" customFormat="1" ht="14.25" customHeight="1">
      <c r="A171" s="3229" t="s">
        <v>29</v>
      </c>
      <c r="B171" s="3229" t="s">
        <v>3040</v>
      </c>
      <c r="C171" s="3229"/>
      <c r="D171" s="3229"/>
      <c r="E171" s="3229"/>
      <c r="F171" s="3229">
        <v>2880</v>
      </c>
      <c r="G171" s="3229"/>
    </row>
    <row r="172" spans="1:7" s="3218" customFormat="1" ht="14.25" customHeight="1">
      <c r="A172" s="3229" t="s">
        <v>29</v>
      </c>
      <c r="B172" s="3229" t="s">
        <v>3042</v>
      </c>
      <c r="C172" s="3229"/>
      <c r="D172" s="3229"/>
      <c r="E172" s="3229"/>
      <c r="F172" s="3229">
        <v>2880</v>
      </c>
      <c r="G172" s="3229"/>
    </row>
    <row r="173" spans="1:7" s="3218" customFormat="1" ht="14.25" customHeight="1">
      <c r="A173" s="3229" t="s">
        <v>29</v>
      </c>
      <c r="B173" s="3229" t="s">
        <v>3044</v>
      </c>
      <c r="C173" s="3229"/>
      <c r="D173" s="3229"/>
      <c r="E173" s="3229"/>
      <c r="F173" s="3229">
        <v>2150</v>
      </c>
      <c r="G173" s="3229"/>
    </row>
    <row r="174" spans="1:7" s="3218" customFormat="1" ht="14.25" customHeight="1">
      <c r="A174" s="3229" t="s">
        <v>29</v>
      </c>
      <c r="B174" s="3229" t="s">
        <v>3046</v>
      </c>
      <c r="C174" s="3229"/>
      <c r="D174" s="3229"/>
      <c r="E174" s="3229"/>
      <c r="F174" s="3229">
        <v>2030</v>
      </c>
      <c r="G174" s="3229"/>
    </row>
    <row r="175" spans="1:7" s="3218" customFormat="1" ht="14.25" customHeight="1">
      <c r="A175" s="3229" t="s">
        <v>29</v>
      </c>
      <c r="B175" s="3229" t="s">
        <v>3048</v>
      </c>
      <c r="C175" s="3229"/>
      <c r="D175" s="3229"/>
      <c r="E175" s="3229"/>
      <c r="F175" s="3229">
        <v>2780</v>
      </c>
      <c r="G175" s="3229"/>
    </row>
    <row r="176" spans="1:7" s="3218" customFormat="1" ht="14.25" customHeight="1">
      <c r="A176" s="3229" t="s">
        <v>29</v>
      </c>
      <c r="B176" s="3229" t="s">
        <v>3050</v>
      </c>
      <c r="C176" s="3229"/>
      <c r="D176" s="3229"/>
      <c r="E176" s="3229"/>
      <c r="F176" s="3229">
        <v>2780</v>
      </c>
      <c r="G176" s="3229"/>
    </row>
    <row r="177" spans="1:7" s="3218" customFormat="1" ht="14.25" customHeight="1">
      <c r="A177" s="3229" t="s">
        <v>29</v>
      </c>
      <c r="B177" s="3229" t="s">
        <v>3082</v>
      </c>
      <c r="C177" s="3229"/>
      <c r="D177" s="3229"/>
      <c r="E177" s="3229"/>
      <c r="F177" s="3229">
        <v>2780</v>
      </c>
      <c r="G177" s="3229"/>
    </row>
    <row r="178" spans="1:7" s="3218" customFormat="1" ht="14.25" customHeight="1">
      <c r="A178" s="3229" t="s">
        <v>29</v>
      </c>
      <c r="B178" s="3229" t="s">
        <v>3083</v>
      </c>
      <c r="C178" s="3229"/>
      <c r="D178" s="3229"/>
      <c r="E178" s="3229"/>
      <c r="F178" s="3229">
        <v>2060</v>
      </c>
      <c r="G178" s="3229"/>
    </row>
    <row r="179" spans="1:7" s="3218" customFormat="1" ht="14.25" customHeight="1">
      <c r="A179" s="3229" t="s">
        <v>29</v>
      </c>
      <c r="B179" s="3229" t="s">
        <v>3084</v>
      </c>
      <c r="C179" s="3229"/>
      <c r="D179" s="3229"/>
      <c r="E179" s="3229"/>
      <c r="F179" s="3229">
        <v>2120</v>
      </c>
      <c r="G179" s="3229"/>
    </row>
    <row r="180" spans="1:7" s="3218" customFormat="1" ht="14.25" customHeight="1">
      <c r="A180" s="3229" t="s">
        <v>29</v>
      </c>
      <c r="B180" s="3229" t="s">
        <v>3056</v>
      </c>
      <c r="C180" s="3229"/>
      <c r="D180" s="3229"/>
      <c r="E180" s="3229"/>
      <c r="F180" s="3229">
        <v>2340</v>
      </c>
      <c r="G180" s="3229"/>
    </row>
    <row r="181" spans="1:7" s="3218" customFormat="1" ht="14.25" customHeight="1">
      <c r="A181" s="3229" t="s">
        <v>29</v>
      </c>
      <c r="B181" s="3229" t="s">
        <v>3057</v>
      </c>
      <c r="C181" s="3229"/>
      <c r="D181" s="3229"/>
      <c r="E181" s="3229"/>
      <c r="F181" s="3229">
        <v>2340</v>
      </c>
      <c r="G181" s="3229"/>
    </row>
    <row r="182" spans="1:7" s="3218" customFormat="1" ht="14.25" customHeight="1">
      <c r="A182" s="3229" t="s">
        <v>29</v>
      </c>
      <c r="B182" s="3229" t="s">
        <v>3058</v>
      </c>
      <c r="C182" s="3229"/>
      <c r="D182" s="3229"/>
      <c r="E182" s="3229"/>
      <c r="F182" s="3229">
        <v>2340</v>
      </c>
      <c r="G182" s="3229"/>
    </row>
    <row r="183" spans="1:7" s="3218" customFormat="1" ht="14.25" customHeight="1">
      <c r="A183" s="3229" t="s">
        <v>29</v>
      </c>
      <c r="B183" s="3229" t="s">
        <v>3059</v>
      </c>
      <c r="C183" s="3229"/>
      <c r="D183" s="3229"/>
      <c r="E183" s="3229"/>
      <c r="F183" s="3229">
        <v>2340</v>
      </c>
      <c r="G183" s="3229"/>
    </row>
    <row r="184" spans="1:7" s="3218" customFormat="1" ht="14.25" customHeight="1">
      <c r="A184" s="3229" t="s">
        <v>29</v>
      </c>
      <c r="B184" s="3229" t="s">
        <v>3060</v>
      </c>
      <c r="C184" s="3229"/>
      <c r="D184" s="3229"/>
      <c r="E184" s="3229"/>
      <c r="F184" s="3229">
        <v>2340</v>
      </c>
      <c r="G184" s="3229"/>
    </row>
    <row r="185" spans="1:7" s="3218" customFormat="1" ht="14.25" customHeight="1">
      <c r="A185" s="3229" t="s">
        <v>29</v>
      </c>
      <c r="B185" s="3229" t="s">
        <v>3061</v>
      </c>
      <c r="C185" s="3229"/>
      <c r="D185" s="3229"/>
      <c r="E185" s="3229"/>
      <c r="F185" s="3229">
        <v>2530</v>
      </c>
      <c r="G185" s="3229"/>
    </row>
    <row r="186" spans="1:7" s="3218" customFormat="1" ht="14.25" customHeight="1">
      <c r="A186" s="3229" t="s">
        <v>29</v>
      </c>
      <c r="B186" s="3229" t="s">
        <v>3062</v>
      </c>
      <c r="C186" s="3229"/>
      <c r="D186" s="3229"/>
      <c r="E186" s="3229"/>
      <c r="F186" s="3229">
        <v>2550</v>
      </c>
      <c r="G186" s="3229"/>
    </row>
    <row r="187" spans="1:7" s="3218" customFormat="1" ht="14.25" customHeight="1">
      <c r="A187" s="3229" t="s">
        <v>29</v>
      </c>
      <c r="B187" s="3229" t="s">
        <v>3063</v>
      </c>
      <c r="C187" s="3229"/>
      <c r="D187" s="3229"/>
      <c r="E187" s="3229"/>
      <c r="F187" s="3229">
        <v>2070</v>
      </c>
      <c r="G187" s="3229"/>
    </row>
    <row r="188" spans="1:7" s="3218" customFormat="1" ht="14.25" customHeight="1">
      <c r="A188" s="3229" t="s">
        <v>29</v>
      </c>
      <c r="B188" s="3229" t="s">
        <v>3064</v>
      </c>
      <c r="C188" s="3229"/>
      <c r="D188" s="3229"/>
      <c r="E188" s="3229"/>
      <c r="F188" s="3229">
        <v>2340</v>
      </c>
      <c r="G188" s="3229"/>
    </row>
    <row r="189" spans="1:7" s="3218" customFormat="1" ht="14.25" customHeight="1" thickBot="1">
      <c r="A189" s="3237" t="s">
        <v>29</v>
      </c>
      <c r="B189" s="3240" t="s">
        <v>3065</v>
      </c>
      <c r="C189" s="3240"/>
      <c r="D189" s="3240"/>
      <c r="E189" s="3240"/>
      <c r="F189" s="3240">
        <v>2050</v>
      </c>
      <c r="G189" s="3240"/>
    </row>
    <row r="190" spans="1:7" s="3218" customFormat="1" ht="14.25" customHeight="1">
      <c r="A190" s="3234" t="s">
        <v>304</v>
      </c>
      <c r="B190" s="3225" t="s">
        <v>3085</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3086</v>
      </c>
      <c r="C199" s="3229">
        <v>8690</v>
      </c>
      <c r="D199" s="3229">
        <v>8630</v>
      </c>
      <c r="E199" s="3229">
        <v>11350</v>
      </c>
      <c r="F199" s="3229">
        <v>1600</v>
      </c>
      <c r="G199" s="3242">
        <v>5450</v>
      </c>
    </row>
    <row r="200" spans="1:7" s="3218" customFormat="1" ht="14.25" customHeight="1">
      <c r="A200" s="3229" t="s">
        <v>304</v>
      </c>
      <c r="B200" s="3229" t="s">
        <v>2897</v>
      </c>
      <c r="C200" s="3229"/>
      <c r="D200" s="3229"/>
      <c r="E200" s="3229"/>
      <c r="F200" s="3229">
        <v>1510</v>
      </c>
      <c r="G200" s="3242"/>
    </row>
    <row r="201" spans="1:7" s="3218" customFormat="1" ht="14.25" customHeight="1">
      <c r="A201" s="3229" t="s">
        <v>304</v>
      </c>
      <c r="B201" s="3229" t="s">
        <v>3087</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3088</v>
      </c>
      <c r="C203" s="3229">
        <v>8130</v>
      </c>
      <c r="D203" s="3229">
        <v>8070</v>
      </c>
      <c r="E203" s="3229">
        <v>10820</v>
      </c>
      <c r="F203" s="3229">
        <v>1690</v>
      </c>
      <c r="G203" s="3242">
        <v>5100</v>
      </c>
    </row>
    <row r="204" spans="1:7" s="3218" customFormat="1" ht="14.25" customHeight="1">
      <c r="A204" s="3229" t="s">
        <v>304</v>
      </c>
      <c r="B204" s="3229" t="s">
        <v>2908</v>
      </c>
      <c r="C204" s="3229">
        <v>8350</v>
      </c>
      <c r="D204" s="3229">
        <v>8290</v>
      </c>
      <c r="E204" s="3229">
        <v>11080</v>
      </c>
      <c r="F204" s="3229">
        <v>1450</v>
      </c>
      <c r="G204" s="3242">
        <v>5240</v>
      </c>
    </row>
    <row r="205" spans="1:7" s="3218" customFormat="1" ht="14.25" customHeight="1">
      <c r="A205" s="3229" t="s">
        <v>304</v>
      </c>
      <c r="B205" s="3229" t="s">
        <v>2910</v>
      </c>
      <c r="C205" s="3229">
        <v>7190</v>
      </c>
      <c r="D205" s="3229">
        <v>7130</v>
      </c>
      <c r="E205" s="3229">
        <v>9490</v>
      </c>
      <c r="F205" s="3229">
        <v>1470</v>
      </c>
      <c r="G205" s="3242">
        <v>4510</v>
      </c>
    </row>
    <row r="206" spans="1:7" s="3218" customFormat="1" ht="14.25" customHeight="1">
      <c r="A206" s="3229" t="s">
        <v>304</v>
      </c>
      <c r="B206" s="3229" t="s">
        <v>2913</v>
      </c>
      <c r="C206" s="3229">
        <v>7000</v>
      </c>
      <c r="D206" s="3229">
        <v>6950</v>
      </c>
      <c r="E206" s="3229">
        <v>9170</v>
      </c>
      <c r="F206" s="3229">
        <v>1400</v>
      </c>
      <c r="G206" s="3242">
        <v>4380</v>
      </c>
    </row>
    <row r="207" spans="1:7" s="3218" customFormat="1" ht="14.25" customHeight="1">
      <c r="A207" s="3229" t="s">
        <v>304</v>
      </c>
      <c r="B207" s="3229" t="s">
        <v>2915</v>
      </c>
      <c r="C207" s="3229">
        <v>6950</v>
      </c>
      <c r="D207" s="3229">
        <v>6900</v>
      </c>
      <c r="E207" s="3229">
        <v>9110</v>
      </c>
      <c r="F207" s="3229">
        <v>1790</v>
      </c>
      <c r="G207" s="3242">
        <v>4360</v>
      </c>
    </row>
    <row r="208" spans="1:7" s="3218" customFormat="1" ht="14.25" customHeight="1">
      <c r="A208" s="3229" t="s">
        <v>304</v>
      </c>
      <c r="B208" s="3229" t="s">
        <v>3089</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2925</v>
      </c>
      <c r="C210" s="3229">
        <v>8710</v>
      </c>
      <c r="D210" s="3229">
        <v>8660</v>
      </c>
      <c r="E210" s="3229">
        <v>11440</v>
      </c>
      <c r="F210" s="3229">
        <v>1740</v>
      </c>
      <c r="G210" s="3242">
        <v>5470</v>
      </c>
    </row>
    <row r="211" spans="1:7" s="3218" customFormat="1" ht="14.25" customHeight="1">
      <c r="A211" s="3229" t="s">
        <v>304</v>
      </c>
      <c r="B211" s="3229" t="s">
        <v>3090</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3091</v>
      </c>
      <c r="C214" s="3229">
        <v>8090</v>
      </c>
      <c r="D214" s="3229">
        <v>8030</v>
      </c>
      <c r="E214" s="3229">
        <v>10780</v>
      </c>
      <c r="F214" s="3229">
        <v>1570</v>
      </c>
      <c r="G214" s="3242">
        <v>5070</v>
      </c>
    </row>
    <row r="215" spans="1:7" s="3218" customFormat="1" ht="14.25" customHeight="1">
      <c r="A215" s="3229" t="s">
        <v>304</v>
      </c>
      <c r="B215" s="3229" t="s">
        <v>3092</v>
      </c>
      <c r="C215" s="3229">
        <v>7950</v>
      </c>
      <c r="D215" s="3229">
        <v>7900</v>
      </c>
      <c r="E215" s="3229">
        <v>10560</v>
      </c>
      <c r="F215" s="3229">
        <v>1630</v>
      </c>
      <c r="G215" s="3242">
        <v>4990</v>
      </c>
    </row>
    <row r="216" spans="1:7" s="3218" customFormat="1" ht="14.25" customHeight="1">
      <c r="A216" s="3229" t="s">
        <v>304</v>
      </c>
      <c r="B216" s="3229" t="s">
        <v>3093</v>
      </c>
      <c r="C216" s="3229">
        <v>8490</v>
      </c>
      <c r="D216" s="3229">
        <v>8440</v>
      </c>
      <c r="E216" s="3229">
        <v>11260</v>
      </c>
      <c r="F216" s="3229">
        <v>1690</v>
      </c>
      <c r="G216" s="3242">
        <v>5330</v>
      </c>
    </row>
    <row r="217" spans="1:7" s="3218" customFormat="1" ht="14.25" customHeight="1">
      <c r="A217" s="3229" t="s">
        <v>304</v>
      </c>
      <c r="B217" s="3229" t="s">
        <v>2958</v>
      </c>
      <c r="C217" s="3229">
        <v>8200</v>
      </c>
      <c r="D217" s="3229">
        <v>8150</v>
      </c>
      <c r="E217" s="3229">
        <v>10910</v>
      </c>
      <c r="F217" s="3229">
        <v>1670</v>
      </c>
      <c r="G217" s="3242">
        <v>5150</v>
      </c>
    </row>
    <row r="218" spans="1:7" s="3218" customFormat="1" ht="14.25" customHeight="1">
      <c r="A218" s="3229" t="s">
        <v>304</v>
      </c>
      <c r="B218" s="3229" t="s">
        <v>3094</v>
      </c>
      <c r="C218" s="3229"/>
      <c r="D218" s="3229"/>
      <c r="E218" s="3229"/>
      <c r="F218" s="3229">
        <v>2040</v>
      </c>
      <c r="G218" s="3242"/>
    </row>
    <row r="219" spans="1:7" s="3218" customFormat="1" ht="14.25" customHeight="1">
      <c r="A219" s="3229" t="s">
        <v>304</v>
      </c>
      <c r="B219" s="3229" t="s">
        <v>3095</v>
      </c>
      <c r="C219" s="3229"/>
      <c r="D219" s="3229"/>
      <c r="E219" s="3229"/>
      <c r="F219" s="3229">
        <v>2040</v>
      </c>
      <c r="G219" s="3242"/>
    </row>
    <row r="220" spans="1:7" s="3218" customFormat="1" ht="14.25" customHeight="1">
      <c r="A220" s="3229" t="s">
        <v>304</v>
      </c>
      <c r="B220" s="3229" t="s">
        <v>3096</v>
      </c>
      <c r="C220" s="3229"/>
      <c r="D220" s="3229"/>
      <c r="E220" s="3229"/>
      <c r="F220" s="3229">
        <v>2040</v>
      </c>
      <c r="G220" s="3242"/>
    </row>
    <row r="221" spans="1:7" s="3218" customFormat="1" ht="14.25" customHeight="1">
      <c r="A221" s="3229" t="s">
        <v>304</v>
      </c>
      <c r="B221" s="3229" t="s">
        <v>3097</v>
      </c>
      <c r="C221" s="3229"/>
      <c r="D221" s="3229"/>
      <c r="E221" s="3229"/>
      <c r="F221" s="3229">
        <v>2040</v>
      </c>
      <c r="G221" s="3242"/>
    </row>
    <row r="222" spans="1:7" s="3218" customFormat="1" ht="14.25" customHeight="1">
      <c r="A222" s="3229" t="s">
        <v>304</v>
      </c>
      <c r="B222" s="3229" t="s">
        <v>3098</v>
      </c>
      <c r="C222" s="3229"/>
      <c r="D222" s="3229"/>
      <c r="E222" s="3229"/>
      <c r="F222" s="3229">
        <v>2040</v>
      </c>
      <c r="G222" s="3242"/>
    </row>
    <row r="223" spans="1:7" s="3218" customFormat="1" ht="14.25" customHeight="1">
      <c r="A223" s="3229" t="s">
        <v>304</v>
      </c>
      <c r="B223" s="3229" t="s">
        <v>3099</v>
      </c>
      <c r="C223" s="3229"/>
      <c r="D223" s="3229"/>
      <c r="E223" s="3229"/>
      <c r="F223" s="3229">
        <v>1930</v>
      </c>
      <c r="G223" s="3242"/>
    </row>
    <row r="224" spans="1:7" s="3218" customFormat="1" ht="14.25" customHeight="1">
      <c r="A224" s="3229" t="s">
        <v>304</v>
      </c>
      <c r="B224" s="3229" t="s">
        <v>3100</v>
      </c>
      <c r="C224" s="3229"/>
      <c r="D224" s="3229"/>
      <c r="E224" s="3229"/>
      <c r="F224" s="3229">
        <v>1930</v>
      </c>
      <c r="G224" s="3242"/>
    </row>
    <row r="225" spans="1:7" s="3218" customFormat="1" ht="14.25" customHeight="1">
      <c r="A225" s="3229" t="s">
        <v>304</v>
      </c>
      <c r="B225" s="3229" t="s">
        <v>3101</v>
      </c>
      <c r="C225" s="3229"/>
      <c r="D225" s="3229"/>
      <c r="E225" s="3229"/>
      <c r="F225" s="3229">
        <v>1930</v>
      </c>
      <c r="G225" s="3242"/>
    </row>
    <row r="226" spans="1:7" s="3218" customFormat="1" ht="14.25" customHeight="1">
      <c r="A226" s="3229" t="s">
        <v>304</v>
      </c>
      <c r="B226" s="3229" t="s">
        <v>3102</v>
      </c>
      <c r="C226" s="3229"/>
      <c r="D226" s="3229"/>
      <c r="E226" s="3229"/>
      <c r="F226" s="3229">
        <v>1700</v>
      </c>
      <c r="G226" s="3242"/>
    </row>
    <row r="227" spans="1:7" s="3218" customFormat="1" ht="14.25" customHeight="1">
      <c r="A227" s="3229" t="s">
        <v>304</v>
      </c>
      <c r="B227" s="3229" t="s">
        <v>3103</v>
      </c>
      <c r="C227" s="3229"/>
      <c r="D227" s="3229"/>
      <c r="E227" s="3229"/>
      <c r="F227" s="3229">
        <v>1520</v>
      </c>
      <c r="G227" s="3242"/>
    </row>
    <row r="228" spans="1:7" s="3218" customFormat="1" ht="14.25" customHeight="1">
      <c r="A228" s="3229" t="s">
        <v>304</v>
      </c>
      <c r="B228" s="3229" t="s">
        <v>3104</v>
      </c>
      <c r="C228" s="3229"/>
      <c r="D228" s="3229"/>
      <c r="E228" s="3229"/>
      <c r="F228" s="3229">
        <v>1520</v>
      </c>
      <c r="G228" s="3242"/>
    </row>
    <row r="229" spans="1:7" s="3218" customFormat="1" ht="14.25" customHeight="1">
      <c r="A229" s="3229" t="s">
        <v>304</v>
      </c>
      <c r="B229" s="3229" t="s">
        <v>3021</v>
      </c>
      <c r="C229" s="3229"/>
      <c r="D229" s="3229"/>
      <c r="E229" s="3229"/>
      <c r="F229" s="3229">
        <v>1520</v>
      </c>
      <c r="G229" s="3242"/>
    </row>
    <row r="230" spans="1:7" s="3218" customFormat="1" ht="14.25" customHeight="1">
      <c r="A230" s="3229" t="s">
        <v>304</v>
      </c>
      <c r="B230" s="3229" t="s">
        <v>3105</v>
      </c>
      <c r="C230" s="3229"/>
      <c r="D230" s="3229"/>
      <c r="E230" s="3229"/>
      <c r="F230" s="3229">
        <v>1820</v>
      </c>
      <c r="G230" s="3242"/>
    </row>
    <row r="231" spans="1:7" s="3218" customFormat="1" ht="14.25" customHeight="1">
      <c r="A231" s="3229" t="s">
        <v>304</v>
      </c>
      <c r="B231" s="3229" t="s">
        <v>3106</v>
      </c>
      <c r="C231" s="3229"/>
      <c r="D231" s="3229"/>
      <c r="E231" s="3229"/>
      <c r="F231" s="3229">
        <v>1760</v>
      </c>
      <c r="G231" s="3242"/>
    </row>
    <row r="232" spans="1:7" s="3218" customFormat="1" ht="14.25" customHeight="1">
      <c r="A232" s="3229" t="s">
        <v>304</v>
      </c>
      <c r="B232" s="3229" t="s">
        <v>3107</v>
      </c>
      <c r="C232" s="3229"/>
      <c r="D232" s="3229"/>
      <c r="E232" s="3229"/>
      <c r="F232" s="3229">
        <v>1840</v>
      </c>
      <c r="G232" s="3242"/>
    </row>
    <row r="233" spans="1:7" s="3218" customFormat="1" ht="14.25" customHeight="1" thickBot="1">
      <c r="A233" s="3243" t="s">
        <v>304</v>
      </c>
      <c r="B233" s="3236" t="s">
        <v>3038</v>
      </c>
      <c r="C233" s="3236"/>
      <c r="D233" s="3236"/>
      <c r="E233" s="3236"/>
      <c r="F233" s="3236">
        <v>1770</v>
      </c>
      <c r="G233" s="3244"/>
    </row>
    <row r="234" spans="1:7" s="3218" customFormat="1" ht="14.25" customHeight="1">
      <c r="A234" s="3234" t="s">
        <v>305</v>
      </c>
      <c r="B234" s="3225" t="s">
        <v>3108</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2879</v>
      </c>
      <c r="C238" s="3229">
        <v>6920</v>
      </c>
      <c r="D238" s="3229">
        <v>6890</v>
      </c>
      <c r="E238" s="3229">
        <v>8640</v>
      </c>
      <c r="F238" s="3229">
        <v>1310</v>
      </c>
      <c r="G238" s="3229">
        <v>4230</v>
      </c>
    </row>
    <row r="239" spans="1:7" s="3218" customFormat="1" ht="14.25" customHeight="1">
      <c r="A239" s="3229" t="s">
        <v>305</v>
      </c>
      <c r="B239" s="3229" t="s">
        <v>3109</v>
      </c>
      <c r="C239" s="3229">
        <v>6780</v>
      </c>
      <c r="D239" s="3229">
        <v>6750</v>
      </c>
      <c r="E239" s="3229">
        <v>8440</v>
      </c>
      <c r="F239" s="3229">
        <v>1160</v>
      </c>
      <c r="G239" s="3229">
        <v>4140</v>
      </c>
    </row>
    <row r="240" spans="1:7" s="3218" customFormat="1" ht="14.25" customHeight="1">
      <c r="A240" s="3229" t="s">
        <v>305</v>
      </c>
      <c r="B240" s="3229" t="s">
        <v>3110</v>
      </c>
      <c r="C240" s="3229">
        <v>5420</v>
      </c>
      <c r="D240" s="3229">
        <v>5380</v>
      </c>
      <c r="E240" s="3229">
        <v>6640</v>
      </c>
      <c r="F240" s="3229">
        <v>1020</v>
      </c>
      <c r="G240" s="3229">
        <v>3300</v>
      </c>
    </row>
    <row r="241" spans="1:7" s="3218" customFormat="1" ht="14.25" customHeight="1">
      <c r="A241" s="3229" t="s">
        <v>305</v>
      </c>
      <c r="B241" s="3229" t="s">
        <v>3111</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3112</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3113</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3114</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3115</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3116</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2941</v>
      </c>
      <c r="C258" s="3229">
        <v>6190</v>
      </c>
      <c r="D258" s="3229">
        <v>6160</v>
      </c>
      <c r="E258" s="3229">
        <v>7680</v>
      </c>
      <c r="F258" s="3229">
        <v>1170</v>
      </c>
      <c r="G258" s="3229">
        <v>3780</v>
      </c>
    </row>
    <row r="259" spans="1:7" s="3218" customFormat="1" ht="14.25" customHeight="1">
      <c r="A259" s="3229" t="s">
        <v>305</v>
      </c>
      <c r="B259" s="3229" t="s">
        <v>3117</v>
      </c>
      <c r="C259" s="3229">
        <v>7610</v>
      </c>
      <c r="D259" s="3229">
        <v>7570</v>
      </c>
      <c r="E259" s="3229">
        <v>9350</v>
      </c>
      <c r="F259" s="3229">
        <v>1350</v>
      </c>
      <c r="G259" s="3229">
        <v>4650</v>
      </c>
    </row>
    <row r="260" spans="1:7" s="3218" customFormat="1" ht="14.25" customHeight="1">
      <c r="A260" s="3229" t="s">
        <v>305</v>
      </c>
      <c r="B260" s="3229" t="s">
        <v>3118</v>
      </c>
      <c r="C260" s="3229">
        <v>6920</v>
      </c>
      <c r="D260" s="3229">
        <v>6880</v>
      </c>
      <c r="E260" s="3229">
        <v>8380</v>
      </c>
      <c r="F260" s="3229">
        <v>1160</v>
      </c>
      <c r="G260" s="3229">
        <v>4220</v>
      </c>
    </row>
    <row r="261" spans="1:7" s="3218" customFormat="1" ht="14.25" customHeight="1">
      <c r="A261" s="3229" t="s">
        <v>305</v>
      </c>
      <c r="B261" s="3229" t="s">
        <v>3119</v>
      </c>
      <c r="C261" s="3229">
        <v>6850</v>
      </c>
      <c r="D261" s="3229">
        <v>6810</v>
      </c>
      <c r="E261" s="3229">
        <v>8290</v>
      </c>
      <c r="F261" s="3229">
        <v>1130</v>
      </c>
      <c r="G261" s="3229">
        <v>4180</v>
      </c>
    </row>
    <row r="262" spans="1:7" s="3218" customFormat="1" ht="14.25" customHeight="1">
      <c r="A262" s="3229" t="s">
        <v>305</v>
      </c>
      <c r="B262" s="3229" t="s">
        <v>3120</v>
      </c>
      <c r="C262" s="3229">
        <v>5860</v>
      </c>
      <c r="D262" s="3229">
        <v>5820</v>
      </c>
      <c r="E262" s="3229">
        <v>7640</v>
      </c>
      <c r="F262" s="3229">
        <v>1070</v>
      </c>
      <c r="G262" s="3229">
        <v>3570</v>
      </c>
    </row>
    <row r="263" spans="1:7" s="3218" customFormat="1" ht="14.25" customHeight="1">
      <c r="A263" s="3229" t="s">
        <v>305</v>
      </c>
      <c r="B263" s="3229" t="s">
        <v>3121</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3122</v>
      </c>
      <c r="C265" s="3229"/>
      <c r="D265" s="3229"/>
      <c r="E265" s="3229"/>
      <c r="F265" s="3229">
        <v>1500</v>
      </c>
      <c r="G265" s="3229"/>
    </row>
    <row r="266" spans="1:7" s="3218" customFormat="1" ht="14.25" customHeight="1">
      <c r="A266" s="3229" t="s">
        <v>305</v>
      </c>
      <c r="B266" s="3229" t="s">
        <v>3123</v>
      </c>
      <c r="C266" s="3229"/>
      <c r="D266" s="3229"/>
      <c r="E266" s="3229"/>
      <c r="F266" s="3229">
        <v>1500</v>
      </c>
      <c r="G266" s="3229"/>
    </row>
    <row r="267" spans="1:7" s="3218" customFormat="1" ht="14.25" customHeight="1">
      <c r="A267" s="3229" t="s">
        <v>305</v>
      </c>
      <c r="B267" s="3229" t="s">
        <v>3124</v>
      </c>
      <c r="C267" s="3229"/>
      <c r="D267" s="3229"/>
      <c r="E267" s="3229"/>
      <c r="F267" s="3229">
        <v>1500</v>
      </c>
      <c r="G267" s="3229"/>
    </row>
    <row r="268" spans="1:7" s="3218" customFormat="1" ht="14.25" customHeight="1">
      <c r="A268" s="3229" t="s">
        <v>305</v>
      </c>
      <c r="B268" s="3229" t="s">
        <v>3125</v>
      </c>
      <c r="C268" s="3229"/>
      <c r="D268" s="3229"/>
      <c r="E268" s="3229"/>
      <c r="F268" s="3229">
        <v>1290</v>
      </c>
      <c r="G268" s="3229"/>
    </row>
    <row r="269" spans="1:7" s="3218" customFormat="1" ht="14.25" customHeight="1">
      <c r="A269" s="3229" t="s">
        <v>305</v>
      </c>
      <c r="B269" s="3229" t="s">
        <v>3126</v>
      </c>
      <c r="C269" s="3229"/>
      <c r="D269" s="3229"/>
      <c r="E269" s="3229"/>
      <c r="F269" s="3229">
        <v>1150</v>
      </c>
      <c r="G269" s="3229"/>
    </row>
    <row r="270" spans="1:7" s="3218" customFormat="1" ht="14.25" customHeight="1">
      <c r="A270" s="3229" t="s">
        <v>305</v>
      </c>
      <c r="B270" s="3229" t="s">
        <v>3127</v>
      </c>
      <c r="C270" s="3229"/>
      <c r="D270" s="3229"/>
      <c r="E270" s="3229"/>
      <c r="F270" s="3229">
        <v>1380</v>
      </c>
      <c r="G270" s="3229"/>
    </row>
    <row r="271" spans="1:7" s="3218" customFormat="1" ht="14.25" customHeight="1">
      <c r="A271" s="3229" t="s">
        <v>305</v>
      </c>
      <c r="B271" s="3229" t="s">
        <v>3128</v>
      </c>
      <c r="C271" s="3229"/>
      <c r="D271" s="3229"/>
      <c r="E271" s="3229"/>
      <c r="F271" s="3229">
        <v>1460</v>
      </c>
      <c r="G271" s="3229"/>
    </row>
    <row r="272" spans="1:7" s="3218" customFormat="1" ht="14.25" customHeight="1">
      <c r="A272" s="3229" t="s">
        <v>305</v>
      </c>
      <c r="B272" s="3229" t="s">
        <v>3129</v>
      </c>
      <c r="C272" s="3229"/>
      <c r="D272" s="3229"/>
      <c r="E272" s="3229"/>
      <c r="F272" s="3229">
        <v>1460</v>
      </c>
      <c r="G272" s="3229"/>
    </row>
    <row r="273" spans="1:7" s="3218" customFormat="1" ht="14.25" customHeight="1">
      <c r="A273" s="3229" t="s">
        <v>305</v>
      </c>
      <c r="B273" s="3229" t="s">
        <v>3022</v>
      </c>
      <c r="C273" s="3229"/>
      <c r="D273" s="3229"/>
      <c r="E273" s="3229"/>
      <c r="F273" s="3229">
        <v>1490</v>
      </c>
      <c r="G273" s="3229"/>
    </row>
    <row r="274" spans="1:7" s="3218" customFormat="1" ht="14.25" customHeight="1">
      <c r="A274" s="3229" t="s">
        <v>305</v>
      </c>
      <c r="B274" s="3229" t="s">
        <v>3130</v>
      </c>
      <c r="C274" s="3229"/>
      <c r="D274" s="3229"/>
      <c r="E274" s="3229"/>
      <c r="F274" s="3229">
        <v>1490</v>
      </c>
      <c r="G274" s="3229"/>
    </row>
    <row r="275" spans="1:7" s="3218" customFormat="1" ht="14.25" customHeight="1">
      <c r="A275" s="3229" t="s">
        <v>305</v>
      </c>
      <c r="B275" s="3229" t="s">
        <v>3131</v>
      </c>
      <c r="C275" s="3229"/>
      <c r="D275" s="3229"/>
      <c r="E275" s="3229"/>
      <c r="F275" s="3229">
        <v>1220</v>
      </c>
      <c r="G275" s="3229"/>
    </row>
    <row r="276" spans="1:7" s="3218" customFormat="1" ht="14.25" customHeight="1" thickBot="1">
      <c r="A276" s="3237" t="s">
        <v>305</v>
      </c>
      <c r="B276" s="3239" t="s">
        <v>3132</v>
      </c>
      <c r="C276" s="3240"/>
      <c r="D276" s="3240"/>
      <c r="E276" s="3240"/>
      <c r="F276" s="3240">
        <v>1380</v>
      </c>
      <c r="G276" s="3240"/>
    </row>
    <row r="277" spans="1:7" s="3218" customFormat="1" ht="14.25" customHeight="1">
      <c r="A277" s="3234" t="s">
        <v>306</v>
      </c>
      <c r="B277" s="3225" t="s">
        <v>3133</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3134</v>
      </c>
      <c r="C279" s="3229">
        <v>4760</v>
      </c>
      <c r="D279" s="3229">
        <v>4720</v>
      </c>
      <c r="E279" s="3229">
        <v>5540</v>
      </c>
      <c r="F279" s="3229">
        <v>810</v>
      </c>
      <c r="G279" s="3242">
        <v>2850</v>
      </c>
    </row>
    <row r="280" spans="1:7" s="3218" customFormat="1" ht="14.25" customHeight="1">
      <c r="A280" s="3229" t="s">
        <v>306</v>
      </c>
      <c r="B280" s="3229" t="s">
        <v>3135</v>
      </c>
      <c r="C280" s="3229">
        <v>4010</v>
      </c>
      <c r="D280" s="3229">
        <v>3950</v>
      </c>
      <c r="E280" s="3229">
        <v>4710</v>
      </c>
      <c r="F280" s="3229">
        <v>800</v>
      </c>
      <c r="G280" s="3242">
        <v>2390</v>
      </c>
    </row>
    <row r="281" spans="1:7" s="3218" customFormat="1" ht="14.25" customHeight="1">
      <c r="A281" s="3229" t="s">
        <v>306</v>
      </c>
      <c r="B281" s="3229" t="s">
        <v>3136</v>
      </c>
      <c r="C281" s="3229">
        <v>4480</v>
      </c>
      <c r="D281" s="3229">
        <v>4420</v>
      </c>
      <c r="E281" s="3229">
        <v>5230</v>
      </c>
      <c r="F281" s="3229">
        <v>870</v>
      </c>
      <c r="G281" s="3242">
        <v>2660</v>
      </c>
    </row>
    <row r="282" spans="1:7" s="3218" customFormat="1" ht="14.25" customHeight="1">
      <c r="A282" s="3229" t="s">
        <v>306</v>
      </c>
      <c r="B282" s="3229" t="s">
        <v>3137</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3138</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3139</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2914</v>
      </c>
      <c r="C293" s="3229">
        <v>5320</v>
      </c>
      <c r="D293" s="3229">
        <v>5270</v>
      </c>
      <c r="E293" s="3229">
        <v>6160</v>
      </c>
      <c r="F293" s="3229">
        <v>990</v>
      </c>
      <c r="G293" s="3242">
        <v>3170</v>
      </c>
    </row>
    <row r="294" spans="1:7" s="3218" customFormat="1" ht="14.25" customHeight="1">
      <c r="A294" s="3229" t="s">
        <v>306</v>
      </c>
      <c r="B294" s="3229" t="s">
        <v>3140</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2933</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3141</v>
      </c>
      <c r="C302" s="3229">
        <v>5520</v>
      </c>
      <c r="D302" s="3229">
        <v>5470</v>
      </c>
      <c r="E302" s="3229">
        <v>6410</v>
      </c>
      <c r="F302" s="3229">
        <v>950</v>
      </c>
      <c r="G302" s="3242">
        <v>3300</v>
      </c>
    </row>
    <row r="303" spans="1:7" s="3218" customFormat="1" ht="14.25" customHeight="1">
      <c r="A303" s="3229" t="s">
        <v>306</v>
      </c>
      <c r="B303" s="3229" t="s">
        <v>2953</v>
      </c>
      <c r="C303" s="3229">
        <v>5630</v>
      </c>
      <c r="D303" s="3229">
        <v>5590</v>
      </c>
      <c r="E303" s="3229">
        <v>6550</v>
      </c>
      <c r="F303" s="3229">
        <v>1010</v>
      </c>
      <c r="G303" s="3242">
        <v>3370</v>
      </c>
    </row>
    <row r="304" spans="1:7" s="3218" customFormat="1" ht="14.25" customHeight="1">
      <c r="A304" s="3229" t="s">
        <v>306</v>
      </c>
      <c r="B304" s="3229" t="s">
        <v>2960</v>
      </c>
      <c r="C304" s="3229">
        <v>5680</v>
      </c>
      <c r="D304" s="3229">
        <v>5620</v>
      </c>
      <c r="E304" s="3229">
        <v>6620</v>
      </c>
      <c r="F304" s="3229">
        <v>1050</v>
      </c>
      <c r="G304" s="3242">
        <v>3390</v>
      </c>
    </row>
    <row r="305" spans="1:7" s="3218" customFormat="1" ht="14.25" customHeight="1">
      <c r="A305" s="3229" t="s">
        <v>306</v>
      </c>
      <c r="B305" s="3229" t="s">
        <v>2966</v>
      </c>
      <c r="C305" s="3229">
        <v>5590</v>
      </c>
      <c r="D305" s="3229">
        <v>5530</v>
      </c>
      <c r="E305" s="3229">
        <v>6460</v>
      </c>
      <c r="F305" s="3229">
        <v>900</v>
      </c>
      <c r="G305" s="3242">
        <v>3340</v>
      </c>
    </row>
    <row r="306" spans="1:7" s="3218" customFormat="1" ht="14.25" customHeight="1">
      <c r="A306" s="3229" t="s">
        <v>306</v>
      </c>
      <c r="B306" s="3229" t="s">
        <v>3142</v>
      </c>
      <c r="C306" s="3229">
        <v>5560</v>
      </c>
      <c r="D306" s="3229">
        <v>5510</v>
      </c>
      <c r="E306" s="3229">
        <v>6440</v>
      </c>
      <c r="F306" s="3229">
        <v>900</v>
      </c>
      <c r="G306" s="3242">
        <v>3320</v>
      </c>
    </row>
    <row r="307" spans="1:7" s="3218" customFormat="1" ht="14.25" customHeight="1">
      <c r="A307" s="3229" t="s">
        <v>306</v>
      </c>
      <c r="B307" s="3229" t="s">
        <v>2978</v>
      </c>
      <c r="C307" s="3229">
        <v>5650</v>
      </c>
      <c r="D307" s="3229">
        <v>5600</v>
      </c>
      <c r="E307" s="3229">
        <v>6590</v>
      </c>
      <c r="F307" s="3229">
        <v>930</v>
      </c>
      <c r="G307" s="3242">
        <v>3380</v>
      </c>
    </row>
    <row r="308" spans="1:7" s="3218" customFormat="1" ht="14.25" customHeight="1">
      <c r="A308" s="3229" t="s">
        <v>306</v>
      </c>
      <c r="B308" s="3229" t="s">
        <v>3143</v>
      </c>
      <c r="C308" s="3229">
        <v>5620</v>
      </c>
      <c r="D308" s="3229">
        <v>5580</v>
      </c>
      <c r="E308" s="3229">
        <v>6540</v>
      </c>
      <c r="F308" s="3229">
        <v>910</v>
      </c>
      <c r="G308" s="3242">
        <v>3370</v>
      </c>
    </row>
    <row r="309" spans="1:7" s="3218" customFormat="1" ht="14.25" customHeight="1">
      <c r="A309" s="3229" t="s">
        <v>306</v>
      </c>
      <c r="B309" s="3229" t="s">
        <v>3144</v>
      </c>
      <c r="C309" s="3229">
        <v>5060</v>
      </c>
      <c r="D309" s="3229">
        <v>5020</v>
      </c>
      <c r="E309" s="3229">
        <v>6370</v>
      </c>
      <c r="F309" s="3229">
        <v>800</v>
      </c>
      <c r="G309" s="3242">
        <v>3020</v>
      </c>
    </row>
    <row r="310" spans="1:7" s="3218" customFormat="1" ht="14.25" customHeight="1">
      <c r="A310" s="3229" t="s">
        <v>306</v>
      </c>
      <c r="B310" s="3229" t="s">
        <v>2993</v>
      </c>
      <c r="C310" s="3229">
        <v>5150</v>
      </c>
      <c r="D310" s="3229">
        <v>5110</v>
      </c>
      <c r="E310" s="3229">
        <v>6500</v>
      </c>
      <c r="F310" s="3229">
        <v>880</v>
      </c>
      <c r="G310" s="3242">
        <v>3080</v>
      </c>
    </row>
    <row r="311" spans="1:7" s="3218" customFormat="1" ht="14.25" customHeight="1">
      <c r="A311" s="3229" t="s">
        <v>306</v>
      </c>
      <c r="B311" s="3229" t="s">
        <v>3145</v>
      </c>
      <c r="C311" s="3229">
        <v>4750</v>
      </c>
      <c r="D311" s="3229">
        <v>4710</v>
      </c>
      <c r="E311" s="3229">
        <v>5510</v>
      </c>
      <c r="F311" s="3229">
        <v>880</v>
      </c>
      <c r="G311" s="3242">
        <v>2840</v>
      </c>
    </row>
    <row r="312" spans="1:7" s="3218" customFormat="1" ht="14.25" customHeight="1">
      <c r="A312" s="3229" t="s">
        <v>306</v>
      </c>
      <c r="B312" s="3229" t="s">
        <v>3003</v>
      </c>
      <c r="C312" s="3229">
        <v>4690</v>
      </c>
      <c r="D312" s="3229">
        <v>4640</v>
      </c>
      <c r="E312" s="3229">
        <v>5420</v>
      </c>
      <c r="F312" s="3229">
        <v>800</v>
      </c>
      <c r="G312" s="3242">
        <v>2800</v>
      </c>
    </row>
    <row r="313" spans="1:7" s="3218" customFormat="1" ht="14.25" customHeight="1">
      <c r="A313" s="3229" t="s">
        <v>306</v>
      </c>
      <c r="B313" s="3229" t="s">
        <v>3008</v>
      </c>
      <c r="C313" s="3229">
        <v>4810</v>
      </c>
      <c r="D313" s="3229">
        <v>4760</v>
      </c>
      <c r="E313" s="3229">
        <v>5550</v>
      </c>
      <c r="F313" s="3229">
        <v>920</v>
      </c>
      <c r="G313" s="3242">
        <v>2870</v>
      </c>
    </row>
    <row r="314" spans="1:7" s="3218" customFormat="1" ht="14.25" customHeight="1">
      <c r="A314" s="3229" t="s">
        <v>306</v>
      </c>
      <c r="B314" s="3229" t="s">
        <v>3146</v>
      </c>
      <c r="C314" s="3229"/>
      <c r="D314" s="3229"/>
      <c r="E314" s="3229"/>
      <c r="F314" s="3229">
        <v>1020</v>
      </c>
      <c r="G314" s="3242"/>
    </row>
    <row r="315" spans="1:7" s="3218" customFormat="1" ht="14.25" customHeight="1">
      <c r="A315" s="3229" t="s">
        <v>306</v>
      </c>
      <c r="B315" s="3229" t="s">
        <v>3147</v>
      </c>
      <c r="C315" s="3229"/>
      <c r="D315" s="3229"/>
      <c r="E315" s="3229"/>
      <c r="F315" s="3229">
        <v>1050</v>
      </c>
      <c r="G315" s="3242"/>
    </row>
    <row r="316" spans="1:7" s="3218" customFormat="1" ht="14.25" customHeight="1">
      <c r="A316" s="3229" t="s">
        <v>306</v>
      </c>
      <c r="B316" s="3229" t="s">
        <v>3023</v>
      </c>
      <c r="C316" s="3229"/>
      <c r="D316" s="3229"/>
      <c r="E316" s="3229"/>
      <c r="F316" s="3229">
        <v>900</v>
      </c>
      <c r="G316" s="3242"/>
    </row>
    <row r="317" spans="1:7" s="3218" customFormat="1" ht="14.25" customHeight="1">
      <c r="A317" s="3229" t="s">
        <v>306</v>
      </c>
      <c r="B317" s="3229" t="s">
        <v>3148</v>
      </c>
      <c r="C317" s="3229"/>
      <c r="D317" s="3229"/>
      <c r="E317" s="3229"/>
      <c r="F317" s="3229">
        <v>920</v>
      </c>
      <c r="G317" s="3242"/>
    </row>
    <row r="318" spans="1:7" s="3218" customFormat="1" ht="14.25" customHeight="1">
      <c r="A318" s="3229" t="s">
        <v>306</v>
      </c>
      <c r="B318" s="3229" t="s">
        <v>3149</v>
      </c>
      <c r="C318" s="3229"/>
      <c r="D318" s="3229"/>
      <c r="E318" s="3229"/>
      <c r="F318" s="3229">
        <v>1080</v>
      </c>
      <c r="G318" s="3242"/>
    </row>
    <row r="319" spans="1:7" s="3218" customFormat="1" ht="14.25" customHeight="1">
      <c r="A319" s="3229" t="s">
        <v>306</v>
      </c>
      <c r="B319" s="3229" t="s">
        <v>3036</v>
      </c>
      <c r="C319" s="3229"/>
      <c r="D319" s="3229"/>
      <c r="E319" s="3229"/>
      <c r="F319" s="3229">
        <v>1020</v>
      </c>
      <c r="G319" s="3242"/>
    </row>
    <row r="320" spans="1:7" s="3218" customFormat="1" ht="14.25" customHeight="1">
      <c r="A320" s="3229" t="s">
        <v>306</v>
      </c>
      <c r="B320" s="3229" t="s">
        <v>3039</v>
      </c>
      <c r="C320" s="3229"/>
      <c r="D320" s="3229"/>
      <c r="E320" s="3229"/>
      <c r="F320" s="3229">
        <v>1050</v>
      </c>
      <c r="G320" s="3242"/>
    </row>
    <row r="321" spans="1:7" s="3218" customFormat="1" ht="14.25" customHeight="1">
      <c r="A321" s="3229" t="s">
        <v>306</v>
      </c>
      <c r="B321" s="3229" t="s">
        <v>3041</v>
      </c>
      <c r="C321" s="3229"/>
      <c r="D321" s="3229"/>
      <c r="E321" s="3229"/>
      <c r="F321" s="3229">
        <v>960</v>
      </c>
      <c r="G321" s="3242"/>
    </row>
    <row r="322" spans="1:7" s="3218" customFormat="1" ht="14.25" customHeight="1">
      <c r="A322" s="3229" t="s">
        <v>306</v>
      </c>
      <c r="B322" s="3229" t="s">
        <v>3043</v>
      </c>
      <c r="C322" s="3229"/>
      <c r="D322" s="3229"/>
      <c r="E322" s="3229"/>
      <c r="F322" s="3229">
        <v>960</v>
      </c>
      <c r="G322" s="3242"/>
    </row>
    <row r="323" spans="1:7" s="3218" customFormat="1" ht="14.25" customHeight="1">
      <c r="A323" s="3229" t="s">
        <v>306</v>
      </c>
      <c r="B323" s="3229" t="s">
        <v>3045</v>
      </c>
      <c r="C323" s="3229"/>
      <c r="D323" s="3229"/>
      <c r="E323" s="3229"/>
      <c r="F323" s="3229">
        <v>880</v>
      </c>
      <c r="G323" s="3242"/>
    </row>
    <row r="324" spans="1:7" s="3218" customFormat="1" ht="14.25" customHeight="1">
      <c r="A324" s="3229" t="s">
        <v>306</v>
      </c>
      <c r="B324" s="3229" t="s">
        <v>3047</v>
      </c>
      <c r="C324" s="3229"/>
      <c r="D324" s="3229"/>
      <c r="E324" s="3229"/>
      <c r="F324" s="3229">
        <v>930</v>
      </c>
      <c r="G324" s="3242"/>
    </row>
    <row r="325" spans="1:7" s="3218" customFormat="1" ht="14.25" customHeight="1">
      <c r="A325" s="3229" t="s">
        <v>306</v>
      </c>
      <c r="B325" s="3230" t="s">
        <v>3049</v>
      </c>
      <c r="C325" s="3229"/>
      <c r="D325" s="3229"/>
      <c r="E325" s="3229"/>
      <c r="F325" s="3229">
        <v>900</v>
      </c>
      <c r="G325" s="3242"/>
    </row>
    <row r="326" spans="1:7" s="3218" customFormat="1" ht="14.25" customHeight="1" thickBot="1">
      <c r="A326" s="3243" t="s">
        <v>306</v>
      </c>
      <c r="B326" s="3236" t="s">
        <v>3051</v>
      </c>
      <c r="C326" s="3236"/>
      <c r="D326" s="3236"/>
      <c r="E326" s="3236"/>
      <c r="F326" s="3236">
        <v>790</v>
      </c>
      <c r="G326" s="3244"/>
    </row>
    <row r="327" spans="1:7" s="3218" customFormat="1" ht="14.25" customHeight="1">
      <c r="A327" s="3234" t="s">
        <v>307</v>
      </c>
      <c r="B327" s="3225" t="s">
        <v>3150</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3151</v>
      </c>
      <c r="C329" s="3229">
        <v>2730</v>
      </c>
      <c r="D329" s="3229">
        <v>2690</v>
      </c>
      <c r="E329" s="3229">
        <v>3100</v>
      </c>
      <c r="F329" s="3229">
        <v>660</v>
      </c>
      <c r="G329" s="3229">
        <v>1610</v>
      </c>
    </row>
    <row r="330" spans="1:7" s="3218" customFormat="1" ht="14.25" customHeight="1">
      <c r="A330" s="3229" t="s">
        <v>307</v>
      </c>
      <c r="B330" s="3229" t="s">
        <v>3152</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2885</v>
      </c>
      <c r="C332" s="3229">
        <v>3520</v>
      </c>
      <c r="D332" s="3229">
        <v>3480</v>
      </c>
      <c r="E332" s="3229">
        <v>3830</v>
      </c>
      <c r="F332" s="3229">
        <v>720</v>
      </c>
      <c r="G332" s="3229">
        <v>2090</v>
      </c>
    </row>
    <row r="333" spans="1:7" s="3218" customFormat="1" ht="14.25" customHeight="1">
      <c r="A333" s="3229" t="s">
        <v>307</v>
      </c>
      <c r="B333" s="3229" t="s">
        <v>3153</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2895</v>
      </c>
      <c r="C336" s="3229">
        <v>3570</v>
      </c>
      <c r="D336" s="3229">
        <v>3530</v>
      </c>
      <c r="E336" s="3229">
        <v>3880</v>
      </c>
      <c r="F336" s="3229">
        <v>770</v>
      </c>
      <c r="G336" s="3229">
        <v>2110</v>
      </c>
    </row>
    <row r="337" spans="1:10" s="3218" customFormat="1" ht="14.25" customHeight="1">
      <c r="A337" s="3229" t="s">
        <v>307</v>
      </c>
      <c r="B337" s="3229" t="s">
        <v>3154</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3155</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3156</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2920</v>
      </c>
      <c r="C345" s="3229">
        <v>3190</v>
      </c>
      <c r="D345" s="3229">
        <v>3140</v>
      </c>
      <c r="E345" s="3229">
        <v>3450</v>
      </c>
      <c r="F345" s="3229">
        <v>720</v>
      </c>
      <c r="G345" s="3229">
        <v>1880</v>
      </c>
      <c r="J345" s="3218"/>
    </row>
    <row r="346" spans="1:10">
      <c r="A346" s="3229" t="s">
        <v>307</v>
      </c>
      <c r="B346" s="3229" t="s">
        <v>3157</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2929</v>
      </c>
      <c r="C348" s="3229">
        <v>4000</v>
      </c>
      <c r="D348" s="3229">
        <v>3950</v>
      </c>
      <c r="E348" s="3229">
        <v>4430</v>
      </c>
      <c r="F348" s="3229">
        <v>760</v>
      </c>
      <c r="G348" s="3229">
        <v>2360</v>
      </c>
      <c r="J348" s="3218"/>
    </row>
    <row r="349" spans="1:10">
      <c r="A349" s="3229" t="s">
        <v>307</v>
      </c>
      <c r="B349" s="3229" t="s">
        <v>2934</v>
      </c>
      <c r="C349" s="3229">
        <v>3820</v>
      </c>
      <c r="D349" s="3229">
        <v>3780</v>
      </c>
      <c r="E349" s="3229">
        <v>4170</v>
      </c>
      <c r="F349" s="3229">
        <v>710</v>
      </c>
      <c r="G349" s="3229">
        <v>2260</v>
      </c>
      <c r="J349" s="3218"/>
    </row>
    <row r="350" spans="1:10">
      <c r="A350" s="3229" t="s">
        <v>307</v>
      </c>
      <c r="B350" s="3229" t="s">
        <v>3158</v>
      </c>
      <c r="C350" s="3229">
        <v>3760</v>
      </c>
      <c r="D350" s="3229">
        <v>3730</v>
      </c>
      <c r="E350" s="3229">
        <v>4100</v>
      </c>
      <c r="F350" s="3229">
        <v>800</v>
      </c>
      <c r="G350" s="3229">
        <v>2230</v>
      </c>
      <c r="J350" s="3218"/>
    </row>
    <row r="351" spans="1:10">
      <c r="A351" s="3229" t="s">
        <v>307</v>
      </c>
      <c r="B351" s="3229" t="s">
        <v>2942</v>
      </c>
      <c r="C351" s="3229">
        <v>3610</v>
      </c>
      <c r="D351" s="3229">
        <v>3580</v>
      </c>
      <c r="E351" s="3229">
        <v>3930</v>
      </c>
      <c r="F351" s="3229">
        <v>700</v>
      </c>
      <c r="G351" s="3229">
        <v>2140</v>
      </c>
      <c r="J351" s="3218"/>
    </row>
    <row r="352" spans="1:10">
      <c r="A352" s="3229" t="s">
        <v>307</v>
      </c>
      <c r="B352" s="3229" t="s">
        <v>2947</v>
      </c>
      <c r="C352" s="3229">
        <v>3670</v>
      </c>
      <c r="D352" s="3229">
        <v>3630</v>
      </c>
      <c r="E352" s="3229">
        <v>4000</v>
      </c>
      <c r="F352" s="3229">
        <v>750</v>
      </c>
      <c r="G352" s="3229">
        <v>2180</v>
      </c>
    </row>
    <row r="353" spans="1:7" s="3222" customFormat="1">
      <c r="A353" s="3229" t="s">
        <v>307</v>
      </c>
      <c r="B353" s="3229" t="s">
        <v>3159</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2967</v>
      </c>
      <c r="C355" s="3229">
        <v>3650</v>
      </c>
      <c r="D355" s="3229">
        <v>3610</v>
      </c>
      <c r="E355" s="3229">
        <v>4200</v>
      </c>
      <c r="F355" s="3229">
        <v>640</v>
      </c>
      <c r="G355" s="3229">
        <v>2160</v>
      </c>
    </row>
    <row r="356" spans="1:7" s="3222" customFormat="1">
      <c r="A356" s="3229" t="s">
        <v>307</v>
      </c>
      <c r="B356" s="3229" t="s">
        <v>2974</v>
      </c>
      <c r="C356" s="3229">
        <v>3260</v>
      </c>
      <c r="D356" s="3229">
        <v>3230</v>
      </c>
      <c r="E356" s="3229">
        <v>3740</v>
      </c>
      <c r="F356" s="3229">
        <v>600</v>
      </c>
      <c r="G356" s="3229">
        <v>1930</v>
      </c>
    </row>
    <row r="357" spans="1:7" s="3222" customFormat="1" ht="12" thickBot="1">
      <c r="A357" s="3237" t="s">
        <v>307</v>
      </c>
      <c r="B357" s="3240" t="s">
        <v>3160</v>
      </c>
      <c r="C357" s="3240">
        <v>3690</v>
      </c>
      <c r="D357" s="3240">
        <v>3650</v>
      </c>
      <c r="E357" s="3240">
        <v>4020</v>
      </c>
      <c r="F357" s="3240">
        <v>700</v>
      </c>
      <c r="G357" s="3240">
        <v>2190</v>
      </c>
    </row>
    <row r="358" spans="1:7" s="3222" customFormat="1">
      <c r="A358" s="3234" t="s">
        <v>3161</v>
      </c>
      <c r="B358" s="3225" t="s">
        <v>3162</v>
      </c>
      <c r="C358" s="3225">
        <v>2080</v>
      </c>
      <c r="D358" s="3225">
        <v>2040</v>
      </c>
      <c r="E358" s="3225">
        <v>2010</v>
      </c>
      <c r="F358" s="3225">
        <v>530</v>
      </c>
      <c r="G358" s="3241">
        <v>1230</v>
      </c>
    </row>
    <row r="359" spans="1:7" s="3222" customFormat="1">
      <c r="A359" s="3229" t="s">
        <v>3161</v>
      </c>
      <c r="B359" s="3229" t="s">
        <v>3163</v>
      </c>
      <c r="C359" s="3229">
        <v>1850</v>
      </c>
      <c r="D359" s="3229">
        <v>1820</v>
      </c>
      <c r="E359" s="3229">
        <v>1780</v>
      </c>
      <c r="F359" s="3229">
        <v>520</v>
      </c>
      <c r="G359" s="3242">
        <v>1100</v>
      </c>
    </row>
    <row r="360" spans="1:7" s="3222" customFormat="1">
      <c r="A360" s="3229" t="s">
        <v>3161</v>
      </c>
      <c r="B360" s="3229" t="s">
        <v>3164</v>
      </c>
      <c r="C360" s="3229">
        <v>2020</v>
      </c>
      <c r="D360" s="3229">
        <v>1990</v>
      </c>
      <c r="E360" s="3229">
        <v>1950</v>
      </c>
      <c r="F360" s="3229">
        <v>500</v>
      </c>
      <c r="G360" s="3242">
        <v>1200</v>
      </c>
    </row>
    <row r="361" spans="1:7" s="3222" customFormat="1">
      <c r="A361" s="3229" t="s">
        <v>3161</v>
      </c>
      <c r="B361" s="3229" t="s">
        <v>153</v>
      </c>
      <c r="C361" s="3229">
        <v>2260</v>
      </c>
      <c r="D361" s="3229">
        <v>2220</v>
      </c>
      <c r="E361" s="3229">
        <v>2180</v>
      </c>
      <c r="F361" s="3229">
        <v>580</v>
      </c>
      <c r="G361" s="3242">
        <v>1340</v>
      </c>
    </row>
    <row r="362" spans="1:7" s="3222" customFormat="1">
      <c r="A362" s="3229" t="s">
        <v>3161</v>
      </c>
      <c r="B362" s="3229" t="s">
        <v>3165</v>
      </c>
      <c r="C362" s="3229">
        <v>2650</v>
      </c>
      <c r="D362" s="3229">
        <v>2610</v>
      </c>
      <c r="E362" s="3229">
        <v>2570</v>
      </c>
      <c r="F362" s="3229">
        <v>630</v>
      </c>
      <c r="G362" s="3242">
        <v>1570</v>
      </c>
    </row>
    <row r="363" spans="1:7" s="3222" customFormat="1">
      <c r="A363" s="3229" t="s">
        <v>3161</v>
      </c>
      <c r="B363" s="3229" t="s">
        <v>2886</v>
      </c>
      <c r="C363" s="3229">
        <v>2390</v>
      </c>
      <c r="D363" s="3229">
        <v>2360</v>
      </c>
      <c r="E363" s="3229">
        <v>2320</v>
      </c>
      <c r="F363" s="3229">
        <v>600</v>
      </c>
      <c r="G363" s="3242">
        <v>1420</v>
      </c>
    </row>
    <row r="364" spans="1:7" s="3222" customFormat="1">
      <c r="A364" s="3229" t="s">
        <v>3161</v>
      </c>
      <c r="B364" s="3229" t="s">
        <v>3166</v>
      </c>
      <c r="C364" s="3229">
        <v>2050</v>
      </c>
      <c r="D364" s="3229">
        <v>2030</v>
      </c>
      <c r="E364" s="3229">
        <v>1990</v>
      </c>
      <c r="F364" s="3229">
        <v>550</v>
      </c>
      <c r="G364" s="3242">
        <v>1220</v>
      </c>
    </row>
    <row r="365" spans="1:7" s="3222" customFormat="1">
      <c r="A365" s="3229" t="s">
        <v>3161</v>
      </c>
      <c r="B365" s="3229" t="s">
        <v>200</v>
      </c>
      <c r="C365" s="3229">
        <v>2140</v>
      </c>
      <c r="D365" s="3229">
        <v>2100</v>
      </c>
      <c r="E365" s="3229">
        <v>2060</v>
      </c>
      <c r="F365" s="3229">
        <v>540</v>
      </c>
      <c r="G365" s="3242">
        <v>1270</v>
      </c>
    </row>
    <row r="366" spans="1:7" s="3222" customFormat="1">
      <c r="A366" s="3229" t="s">
        <v>3161</v>
      </c>
      <c r="B366" s="3229" t="s">
        <v>2893</v>
      </c>
      <c r="C366" s="3229">
        <v>2410</v>
      </c>
      <c r="D366" s="3229">
        <v>2370</v>
      </c>
      <c r="E366" s="3229">
        <v>2330</v>
      </c>
      <c r="F366" s="3229">
        <v>570</v>
      </c>
      <c r="G366" s="3242">
        <v>1440</v>
      </c>
    </row>
    <row r="367" spans="1:7" s="3222" customFormat="1">
      <c r="A367" s="3229" t="s">
        <v>3161</v>
      </c>
      <c r="B367" s="3229" t="s">
        <v>3167</v>
      </c>
      <c r="C367" s="3229">
        <v>2300</v>
      </c>
      <c r="D367" s="3229">
        <v>2260</v>
      </c>
      <c r="E367" s="3229">
        <v>2220</v>
      </c>
      <c r="F367" s="3229">
        <v>560</v>
      </c>
      <c r="G367" s="3242">
        <v>1370</v>
      </c>
    </row>
    <row r="368" spans="1:7" s="3222" customFormat="1">
      <c r="A368" s="3229" t="s">
        <v>3161</v>
      </c>
      <c r="B368" s="3229" t="s">
        <v>3168</v>
      </c>
      <c r="C368" s="3229">
        <v>2430</v>
      </c>
      <c r="D368" s="3229">
        <v>2390</v>
      </c>
      <c r="E368" s="3229">
        <v>2350</v>
      </c>
      <c r="F368" s="3229">
        <v>570</v>
      </c>
      <c r="G368" s="3242">
        <v>1450</v>
      </c>
    </row>
    <row r="369" spans="1:7" s="3222" customFormat="1">
      <c r="A369" s="3229" t="s">
        <v>3161</v>
      </c>
      <c r="B369" s="3229" t="s">
        <v>214</v>
      </c>
      <c r="C369" s="3229">
        <v>2320</v>
      </c>
      <c r="D369" s="3229">
        <v>2290</v>
      </c>
      <c r="E369" s="3229">
        <v>2250</v>
      </c>
      <c r="F369" s="3229">
        <v>550</v>
      </c>
      <c r="G369" s="3242">
        <v>1380</v>
      </c>
    </row>
    <row r="370" spans="1:7" s="3222" customFormat="1">
      <c r="A370" s="3229" t="s">
        <v>3161</v>
      </c>
      <c r="B370" s="3229" t="s">
        <v>221</v>
      </c>
      <c r="C370" s="3229">
        <v>2190</v>
      </c>
      <c r="D370" s="3229">
        <v>2170</v>
      </c>
      <c r="E370" s="3229">
        <v>2130</v>
      </c>
      <c r="F370" s="3229">
        <v>530</v>
      </c>
      <c r="G370" s="3242">
        <v>1310</v>
      </c>
    </row>
    <row r="371" spans="1:7" s="3222" customFormat="1">
      <c r="A371" s="3229" t="s">
        <v>3161</v>
      </c>
      <c r="B371" s="3229" t="s">
        <v>229</v>
      </c>
      <c r="C371" s="3229">
        <v>2460</v>
      </c>
      <c r="D371" s="3229">
        <v>2420</v>
      </c>
      <c r="E371" s="3229">
        <v>2370</v>
      </c>
      <c r="F371" s="3229">
        <v>560</v>
      </c>
      <c r="G371" s="3242">
        <v>1470</v>
      </c>
    </row>
    <row r="372" spans="1:7" s="3222" customFormat="1">
      <c r="A372" s="3229" t="s">
        <v>3161</v>
      </c>
      <c r="B372" s="3229" t="s">
        <v>3169</v>
      </c>
      <c r="C372" s="3229">
        <v>2250</v>
      </c>
      <c r="D372" s="3229">
        <v>2210</v>
      </c>
      <c r="E372" s="3229">
        <v>2180</v>
      </c>
      <c r="F372" s="3229">
        <v>550</v>
      </c>
      <c r="G372" s="3242">
        <v>1340</v>
      </c>
    </row>
    <row r="373" spans="1:7" s="3222" customFormat="1">
      <c r="A373" s="3229" t="s">
        <v>3161</v>
      </c>
      <c r="B373" s="3229" t="s">
        <v>258</v>
      </c>
      <c r="C373" s="3229">
        <v>2210</v>
      </c>
      <c r="D373" s="3229">
        <v>2190</v>
      </c>
      <c r="E373" s="3229">
        <v>2150</v>
      </c>
      <c r="F373" s="3229">
        <v>530</v>
      </c>
      <c r="G373" s="3242">
        <v>1320</v>
      </c>
    </row>
    <row r="374" spans="1:7" s="3222" customFormat="1">
      <c r="A374" s="3229" t="s">
        <v>3161</v>
      </c>
      <c r="B374" s="3229" t="s">
        <v>266</v>
      </c>
      <c r="C374" s="3229">
        <v>2320</v>
      </c>
      <c r="D374" s="3229">
        <v>2280</v>
      </c>
      <c r="E374" s="3229">
        <v>2230</v>
      </c>
      <c r="F374" s="3229">
        <v>580</v>
      </c>
      <c r="G374" s="3242">
        <v>1380</v>
      </c>
    </row>
    <row r="375" spans="1:7" s="3222" customFormat="1">
      <c r="A375" s="3229" t="s">
        <v>3161</v>
      </c>
      <c r="B375" s="3229" t="s">
        <v>3170</v>
      </c>
      <c r="C375" s="3229">
        <v>2090</v>
      </c>
      <c r="D375" s="3229">
        <v>2050</v>
      </c>
      <c r="E375" s="3229">
        <v>2020</v>
      </c>
      <c r="F375" s="3229">
        <v>520</v>
      </c>
      <c r="G375" s="3242">
        <v>1240</v>
      </c>
    </row>
    <row r="376" spans="1:7" s="3222" customFormat="1">
      <c r="A376" s="3229" t="s">
        <v>3161</v>
      </c>
      <c r="B376" s="3229" t="s">
        <v>277</v>
      </c>
      <c r="C376" s="3229">
        <v>2010</v>
      </c>
      <c r="D376" s="3229">
        <v>1980</v>
      </c>
      <c r="E376" s="3229">
        <v>1940</v>
      </c>
      <c r="F376" s="3229">
        <v>540</v>
      </c>
      <c r="G376" s="3242">
        <v>1190</v>
      </c>
    </row>
    <row r="377" spans="1:7" s="3222" customFormat="1" ht="12" thickBot="1">
      <c r="A377" s="3237" t="s">
        <v>3161</v>
      </c>
      <c r="B377" s="3240" t="s">
        <v>2923</v>
      </c>
      <c r="C377" s="3240">
        <v>1930</v>
      </c>
      <c r="D377" s="3240">
        <v>1890</v>
      </c>
      <c r="E377" s="3240">
        <v>1860</v>
      </c>
      <c r="F377" s="3240">
        <v>530</v>
      </c>
      <c r="G377" s="3245">
        <v>1150</v>
      </c>
    </row>
    <row r="378" spans="1:7" s="3222" customFormat="1">
      <c r="A378" s="3246" t="s">
        <v>3171</v>
      </c>
      <c r="B378" s="3225" t="s">
        <v>3172</v>
      </c>
      <c r="C378" s="3225">
        <v>1520</v>
      </c>
      <c r="D378" s="3225">
        <v>1490</v>
      </c>
      <c r="E378" s="3225">
        <v>1460</v>
      </c>
      <c r="F378" s="3225">
        <v>460</v>
      </c>
      <c r="G378" s="3241">
        <v>940</v>
      </c>
    </row>
    <row r="379" spans="1:7" s="3222" customFormat="1">
      <c r="A379" s="3247" t="s">
        <v>3171</v>
      </c>
      <c r="B379" s="3229" t="s">
        <v>3173</v>
      </c>
      <c r="C379" s="3229">
        <v>1500</v>
      </c>
      <c r="D379" s="3229">
        <v>1470</v>
      </c>
      <c r="E379" s="3229">
        <v>1430</v>
      </c>
      <c r="F379" s="3229">
        <v>460</v>
      </c>
      <c r="G379" s="3242">
        <v>920</v>
      </c>
    </row>
    <row r="380" spans="1:7" s="3222" customFormat="1">
      <c r="A380" s="3247" t="s">
        <v>3171</v>
      </c>
      <c r="B380" s="3229" t="s">
        <v>3174</v>
      </c>
      <c r="C380" s="3229">
        <v>1620</v>
      </c>
      <c r="D380" s="3229">
        <v>1590</v>
      </c>
      <c r="E380" s="3229">
        <v>1560</v>
      </c>
      <c r="F380" s="3229">
        <v>480</v>
      </c>
      <c r="G380" s="3242">
        <v>1000</v>
      </c>
    </row>
    <row r="381" spans="1:7" s="3222" customFormat="1">
      <c r="A381" s="3247" t="s">
        <v>3171</v>
      </c>
      <c r="B381" s="3229" t="s">
        <v>3175</v>
      </c>
      <c r="C381" s="3229">
        <v>1460</v>
      </c>
      <c r="D381" s="3229">
        <v>1430</v>
      </c>
      <c r="E381" s="3229">
        <v>1390</v>
      </c>
      <c r="F381" s="3229">
        <v>450</v>
      </c>
      <c r="G381" s="3242">
        <v>900</v>
      </c>
    </row>
    <row r="382" spans="1:7" s="3222" customFormat="1">
      <c r="A382" s="3247" t="s">
        <v>3171</v>
      </c>
      <c r="B382" s="3229" t="s">
        <v>3176</v>
      </c>
      <c r="C382" s="3229">
        <v>1310</v>
      </c>
      <c r="D382" s="3229">
        <v>1280</v>
      </c>
      <c r="E382" s="3229">
        <v>1250</v>
      </c>
      <c r="F382" s="3229">
        <v>440</v>
      </c>
      <c r="G382" s="3242">
        <v>800</v>
      </c>
    </row>
    <row r="383" spans="1:7" s="3222" customFormat="1">
      <c r="A383" s="3247" t="s">
        <v>3171</v>
      </c>
      <c r="B383" s="3229" t="s">
        <v>3177</v>
      </c>
      <c r="C383" s="3229">
        <v>1260</v>
      </c>
      <c r="D383" s="3229">
        <v>1230</v>
      </c>
      <c r="E383" s="3229">
        <v>1200</v>
      </c>
      <c r="F383" s="3229">
        <v>420</v>
      </c>
      <c r="G383" s="3242">
        <v>770</v>
      </c>
    </row>
    <row r="384" spans="1:7" s="3222" customFormat="1" ht="12" thickBot="1">
      <c r="A384" s="3248" t="s">
        <v>3171</v>
      </c>
      <c r="B384" s="3236" t="s">
        <v>3178</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69" t="s">
        <v>3179</v>
      </c>
      <c r="B1" s="3769"/>
    </row>
    <row r="2" spans="1:7" ht="14.25" thickBot="1">
      <c r="A2" s="3251"/>
      <c r="B2" s="3251"/>
    </row>
    <row r="3" spans="1:7" ht="14.25" thickBot="1">
      <c r="A3" s="3251"/>
      <c r="B3" s="3251"/>
      <c r="C3" s="3252" t="s">
        <v>2809</v>
      </c>
      <c r="D3" s="3252" t="s">
        <v>2865</v>
      </c>
      <c r="E3" s="3252" t="s">
        <v>2811</v>
      </c>
      <c r="F3" s="3252" t="s">
        <v>2866</v>
      </c>
      <c r="G3" s="3252" t="s">
        <v>2629</v>
      </c>
    </row>
    <row r="4" spans="1:7" ht="14.25" thickBot="1">
      <c r="A4" s="3253" t="s">
        <v>2864</v>
      </c>
      <c r="B4" s="3254" t="s">
        <v>2870</v>
      </c>
      <c r="C4" s="3252"/>
      <c r="D4" s="3252"/>
      <c r="E4" s="3252"/>
      <c r="F4" s="3252"/>
      <c r="G4" s="3252"/>
    </row>
    <row r="5" spans="1:7">
      <c r="A5" s="3255" t="s">
        <v>2838</v>
      </c>
      <c r="B5" s="3256" t="s">
        <v>2852</v>
      </c>
      <c r="C5" s="3257">
        <v>9.8000000000000004E-2</v>
      </c>
      <c r="D5" s="3257">
        <v>8.6999999999999994E-2</v>
      </c>
      <c r="E5" s="3257">
        <v>8.6999999999999994E-2</v>
      </c>
      <c r="F5" s="3257">
        <v>9.8000000000000004E-2</v>
      </c>
      <c r="G5" s="3258">
        <v>9.5000000000000001E-2</v>
      </c>
    </row>
    <row r="6" spans="1:7">
      <c r="A6" s="3259" t="s">
        <v>144</v>
      </c>
      <c r="B6" s="3260" t="s">
        <v>2867</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2853</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2903</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2921</v>
      </c>
      <c r="C29" s="3269"/>
      <c r="D29" s="3265">
        <v>5.1999999999999998E-2</v>
      </c>
      <c r="E29" s="3265">
        <v>7.0000000000000007E-2</v>
      </c>
      <c r="F29" s="3269"/>
      <c r="G29" s="3267">
        <v>7.0999999999999994E-2</v>
      </c>
    </row>
    <row r="30" spans="1:7">
      <c r="A30" s="3270" t="s">
        <v>296</v>
      </c>
      <c r="B30" s="3256" t="s">
        <v>2854</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2840</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2924</v>
      </c>
      <c r="C50" s="3261">
        <v>9.8000000000000004E-2</v>
      </c>
      <c r="D50" s="3261">
        <v>7.2999999999999995E-2</v>
      </c>
      <c r="E50" s="3261">
        <v>7.0999999999999994E-2</v>
      </c>
      <c r="F50" s="3272"/>
      <c r="G50" s="3262">
        <v>7.2999999999999995E-2</v>
      </c>
    </row>
    <row r="51" spans="1:7">
      <c r="A51" s="3271" t="s">
        <v>296</v>
      </c>
      <c r="B51" s="3260" t="s">
        <v>2926</v>
      </c>
      <c r="C51" s="3261">
        <v>9.9000000000000005E-2</v>
      </c>
      <c r="D51" s="3261">
        <v>8.5000000000000006E-2</v>
      </c>
      <c r="E51" s="3261">
        <v>6.3E-2</v>
      </c>
      <c r="F51" s="3272"/>
      <c r="G51" s="3262">
        <v>9.6000000000000002E-2</v>
      </c>
    </row>
    <row r="52" spans="1:7">
      <c r="A52" s="3271" t="s">
        <v>296</v>
      </c>
      <c r="B52" s="3260" t="s">
        <v>2930</v>
      </c>
      <c r="C52" s="3261">
        <v>7.3999999999999996E-2</v>
      </c>
      <c r="D52" s="3261">
        <v>9.6000000000000002E-2</v>
      </c>
      <c r="E52" s="3261">
        <v>0.05</v>
      </c>
      <c r="F52" s="3272"/>
      <c r="G52" s="3262">
        <v>9.8000000000000004E-2</v>
      </c>
    </row>
    <row r="53" spans="1:7">
      <c r="A53" s="3271" t="s">
        <v>296</v>
      </c>
      <c r="B53" s="3260" t="s">
        <v>2935</v>
      </c>
      <c r="C53" s="3261">
        <v>8.5999999999999993E-2</v>
      </c>
      <c r="D53" s="3272"/>
      <c r="E53" s="3261">
        <v>9.1999999999999998E-2</v>
      </c>
      <c r="F53" s="3272"/>
      <c r="G53" s="3273"/>
    </row>
    <row r="54" spans="1:7" ht="14.25" thickBot="1">
      <c r="A54" s="3274" t="s">
        <v>296</v>
      </c>
      <c r="B54" s="3264" t="s">
        <v>2938</v>
      </c>
      <c r="C54" s="3265">
        <v>9.6000000000000002E-2</v>
      </c>
      <c r="D54" s="3266"/>
      <c r="E54" s="3275"/>
      <c r="F54" s="3266"/>
      <c r="G54" s="3276"/>
    </row>
    <row r="55" spans="1:7">
      <c r="A55" s="3270" t="s">
        <v>110</v>
      </c>
      <c r="B55" s="3256" t="s">
        <v>2855</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2936</v>
      </c>
      <c r="C78" s="3261">
        <v>0.1</v>
      </c>
      <c r="D78" s="3261">
        <v>8.5000000000000006E-2</v>
      </c>
      <c r="E78" s="3261">
        <v>9.6000000000000002E-2</v>
      </c>
      <c r="F78" s="3272"/>
      <c r="G78" s="3262">
        <v>9.6000000000000002E-2</v>
      </c>
    </row>
    <row r="79" spans="1:7">
      <c r="A79" s="3271" t="s">
        <v>110</v>
      </c>
      <c r="B79" s="3260" t="s">
        <v>2939</v>
      </c>
      <c r="C79" s="3261">
        <v>0.05</v>
      </c>
      <c r="D79" s="3261">
        <v>9.6000000000000002E-2</v>
      </c>
      <c r="E79" s="3261">
        <v>9.5000000000000001E-2</v>
      </c>
      <c r="F79" s="3272"/>
      <c r="G79" s="3262">
        <v>9.8000000000000004E-2</v>
      </c>
    </row>
    <row r="80" spans="1:7">
      <c r="A80" s="3271" t="s">
        <v>110</v>
      </c>
      <c r="B80" s="3260" t="s">
        <v>2943</v>
      </c>
      <c r="C80" s="3261">
        <v>8.5999999999999993E-2</v>
      </c>
      <c r="D80" s="3277"/>
      <c r="E80" s="3261">
        <v>0.1</v>
      </c>
      <c r="F80" s="3272"/>
      <c r="G80" s="3273"/>
    </row>
    <row r="81" spans="1:7">
      <c r="A81" s="3271" t="s">
        <v>110</v>
      </c>
      <c r="B81" s="3260" t="s">
        <v>2948</v>
      </c>
      <c r="C81" s="3261">
        <v>9.6000000000000002E-2</v>
      </c>
      <c r="D81" s="3272"/>
      <c r="E81" s="3261">
        <v>9.8000000000000004E-2</v>
      </c>
      <c r="F81" s="3272"/>
      <c r="G81" s="3273"/>
    </row>
    <row r="82" spans="1:7">
      <c r="A82" s="3271" t="s">
        <v>110</v>
      </c>
      <c r="B82" s="3260" t="s">
        <v>2955</v>
      </c>
      <c r="C82" s="3277"/>
      <c r="D82" s="3272"/>
      <c r="E82" s="3261">
        <v>7.6999999999999999E-2</v>
      </c>
      <c r="F82" s="3272"/>
      <c r="G82" s="3273"/>
    </row>
    <row r="83" spans="1:7">
      <c r="A83" s="3271" t="s">
        <v>110</v>
      </c>
      <c r="B83" s="3260" t="s">
        <v>2961</v>
      </c>
      <c r="C83" s="3272"/>
      <c r="D83" s="3272"/>
      <c r="E83" s="3272"/>
      <c r="F83" s="3261">
        <v>0.1</v>
      </c>
      <c r="G83" s="3278"/>
    </row>
    <row r="84" spans="1:7">
      <c r="A84" s="3271" t="s">
        <v>110</v>
      </c>
      <c r="B84" s="3260" t="s">
        <v>2968</v>
      </c>
      <c r="C84" s="3272"/>
      <c r="D84" s="3272"/>
      <c r="E84" s="3272"/>
      <c r="F84" s="3261">
        <v>0.1</v>
      </c>
      <c r="G84" s="3278"/>
    </row>
    <row r="85" spans="1:7">
      <c r="A85" s="3271" t="s">
        <v>110</v>
      </c>
      <c r="B85" s="3260" t="s">
        <v>2975</v>
      </c>
      <c r="C85" s="3272"/>
      <c r="D85" s="3272"/>
      <c r="E85" s="3272"/>
      <c r="F85" s="3261">
        <v>0.1</v>
      </c>
      <c r="G85" s="3278"/>
    </row>
    <row r="86" spans="1:7" ht="14.25" thickBot="1">
      <c r="A86" s="3274" t="s">
        <v>110</v>
      </c>
      <c r="B86" s="3264" t="s">
        <v>2980</v>
      </c>
      <c r="C86" s="3265">
        <v>9.8000000000000004E-2</v>
      </c>
      <c r="D86" s="3265">
        <v>9.8000000000000004E-2</v>
      </c>
      <c r="E86" s="3265">
        <v>9.6000000000000002E-2</v>
      </c>
      <c r="F86" s="3275"/>
      <c r="G86" s="3267">
        <v>0.1</v>
      </c>
    </row>
    <row r="87" spans="1:7">
      <c r="A87" s="3270" t="s">
        <v>303</v>
      </c>
      <c r="B87" s="3256" t="s">
        <v>2856</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2949</v>
      </c>
      <c r="C113" s="3261">
        <v>0.1</v>
      </c>
      <c r="D113" s="3261">
        <v>0.1</v>
      </c>
      <c r="E113" s="3272"/>
      <c r="F113" s="3272"/>
      <c r="G113" s="3262">
        <v>0.1</v>
      </c>
    </row>
    <row r="114" spans="1:7">
      <c r="A114" s="3271" t="s">
        <v>303</v>
      </c>
      <c r="B114" s="3260" t="s">
        <v>2956</v>
      </c>
      <c r="C114" s="3261">
        <v>9.7000000000000003E-2</v>
      </c>
      <c r="D114" s="3261">
        <v>9.7000000000000003E-2</v>
      </c>
      <c r="E114" s="3272"/>
      <c r="F114" s="3272"/>
      <c r="G114" s="3262">
        <v>9.9000000000000005E-2</v>
      </c>
    </row>
    <row r="115" spans="1:7">
      <c r="A115" s="3271" t="s">
        <v>303</v>
      </c>
      <c r="B115" s="3260" t="s">
        <v>2962</v>
      </c>
      <c r="C115" s="3261">
        <v>0.1</v>
      </c>
      <c r="D115" s="3261">
        <v>0.1</v>
      </c>
      <c r="E115" s="3272"/>
      <c r="F115" s="3272"/>
      <c r="G115" s="3262">
        <v>0.1</v>
      </c>
    </row>
    <row r="116" spans="1:7">
      <c r="A116" s="3271" t="s">
        <v>303</v>
      </c>
      <c r="B116" s="3260" t="s">
        <v>2969</v>
      </c>
      <c r="C116" s="3261">
        <v>0.1</v>
      </c>
      <c r="D116" s="3261">
        <v>0.1</v>
      </c>
      <c r="E116" s="3272"/>
      <c r="F116" s="3272"/>
      <c r="G116" s="3262">
        <v>0.1</v>
      </c>
    </row>
    <row r="117" spans="1:7">
      <c r="A117" s="3271" t="s">
        <v>303</v>
      </c>
      <c r="B117" s="3260" t="s">
        <v>2976</v>
      </c>
      <c r="C117" s="3261">
        <v>9.7000000000000003E-2</v>
      </c>
      <c r="D117" s="3261">
        <v>9.7000000000000003E-2</v>
      </c>
      <c r="E117" s="3272"/>
      <c r="F117" s="3272"/>
      <c r="G117" s="3262">
        <v>9.7000000000000003E-2</v>
      </c>
    </row>
    <row r="118" spans="1:7">
      <c r="A118" s="3271" t="s">
        <v>303</v>
      </c>
      <c r="B118" s="3260" t="s">
        <v>2981</v>
      </c>
      <c r="C118" s="3261">
        <v>0.1</v>
      </c>
      <c r="D118" s="3261">
        <v>0.1</v>
      </c>
      <c r="E118" s="3272"/>
      <c r="F118" s="3272"/>
      <c r="G118" s="3262">
        <v>0.1</v>
      </c>
    </row>
    <row r="119" spans="1:7">
      <c r="A119" s="3271" t="s">
        <v>303</v>
      </c>
      <c r="B119" s="3260" t="s">
        <v>2985</v>
      </c>
      <c r="C119" s="3261">
        <v>5.0999999999999997E-2</v>
      </c>
      <c r="D119" s="3261">
        <v>5.1999999999999998E-2</v>
      </c>
      <c r="E119" s="3272"/>
      <c r="F119" s="3277"/>
      <c r="G119" s="3262">
        <v>0.06</v>
      </c>
    </row>
    <row r="120" spans="1:7">
      <c r="A120" s="3271" t="s">
        <v>303</v>
      </c>
      <c r="B120" s="3260" t="s">
        <v>2989</v>
      </c>
      <c r="C120" s="3272"/>
      <c r="D120" s="3272"/>
      <c r="E120" s="3272"/>
      <c r="F120" s="3261">
        <v>0.1</v>
      </c>
      <c r="G120" s="3278"/>
    </row>
    <row r="121" spans="1:7">
      <c r="A121" s="3271" t="s">
        <v>303</v>
      </c>
      <c r="B121" s="3260" t="s">
        <v>2994</v>
      </c>
      <c r="C121" s="3272"/>
      <c r="D121" s="3272"/>
      <c r="E121" s="3272"/>
      <c r="F121" s="3261">
        <v>0.1</v>
      </c>
      <c r="G121" s="3278"/>
    </row>
    <row r="122" spans="1:7">
      <c r="A122" s="3271" t="s">
        <v>303</v>
      </c>
      <c r="B122" s="3260" t="s">
        <v>2999</v>
      </c>
      <c r="C122" s="3261">
        <v>0.1</v>
      </c>
      <c r="D122" s="3261">
        <v>0.1</v>
      </c>
      <c r="E122" s="3261">
        <v>9.8000000000000004E-2</v>
      </c>
      <c r="F122" s="3261">
        <v>0.1</v>
      </c>
      <c r="G122" s="3262">
        <v>0.1</v>
      </c>
    </row>
    <row r="123" spans="1:7">
      <c r="A123" s="3271" t="s">
        <v>303</v>
      </c>
      <c r="B123" s="3260" t="s">
        <v>3004</v>
      </c>
      <c r="C123" s="3261">
        <v>0.1</v>
      </c>
      <c r="D123" s="3261">
        <v>0.1</v>
      </c>
      <c r="E123" s="3261">
        <v>9.8000000000000004E-2</v>
      </c>
      <c r="F123" s="3261">
        <v>0.1</v>
      </c>
      <c r="G123" s="3262">
        <v>0.1</v>
      </c>
    </row>
    <row r="124" spans="1:7">
      <c r="A124" s="3271" t="s">
        <v>303</v>
      </c>
      <c r="B124" s="3260" t="s">
        <v>3009</v>
      </c>
      <c r="C124" s="3261">
        <v>0.1</v>
      </c>
      <c r="D124" s="3261">
        <v>0.1</v>
      </c>
      <c r="E124" s="3261">
        <v>9.8000000000000004E-2</v>
      </c>
      <c r="F124" s="3277"/>
      <c r="G124" s="3262">
        <v>0.1</v>
      </c>
    </row>
    <row r="125" spans="1:7">
      <c r="A125" s="3271" t="s">
        <v>303</v>
      </c>
      <c r="B125" s="3260" t="s">
        <v>3014</v>
      </c>
      <c r="C125" s="3261">
        <v>9.8000000000000004E-2</v>
      </c>
      <c r="D125" s="3261">
        <v>9.8000000000000004E-2</v>
      </c>
      <c r="E125" s="3261">
        <v>9.6000000000000002E-2</v>
      </c>
      <c r="F125" s="3277"/>
      <c r="G125" s="3262">
        <v>0.1</v>
      </c>
    </row>
    <row r="126" spans="1:7" ht="14.25" thickBot="1">
      <c r="A126" s="3274" t="s">
        <v>303</v>
      </c>
      <c r="B126" s="3264" t="s">
        <v>3180</v>
      </c>
      <c r="C126" s="3265">
        <v>0.1</v>
      </c>
      <c r="D126" s="3265">
        <v>0.1</v>
      </c>
      <c r="E126" s="3265">
        <v>9.8000000000000004E-2</v>
      </c>
      <c r="F126" s="3265">
        <v>0.1</v>
      </c>
      <c r="G126" s="3267">
        <v>0.1</v>
      </c>
    </row>
    <row r="127" spans="1:7">
      <c r="A127" s="3270" t="s">
        <v>29</v>
      </c>
      <c r="B127" s="3256" t="s">
        <v>2857</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2927</v>
      </c>
      <c r="C148" s="3261">
        <v>0.13</v>
      </c>
      <c r="D148" s="3261">
        <v>0.13</v>
      </c>
      <c r="E148" s="3261">
        <v>0.13</v>
      </c>
      <c r="F148" s="3272"/>
      <c r="G148" s="3262">
        <v>0.13</v>
      </c>
    </row>
    <row r="149" spans="1:7">
      <c r="A149" s="3271" t="s">
        <v>29</v>
      </c>
      <c r="B149" s="3260" t="s">
        <v>2931</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2950</v>
      </c>
      <c r="C153" s="3261">
        <v>0.13</v>
      </c>
      <c r="D153" s="3261">
        <v>0.13</v>
      </c>
      <c r="E153" s="3261">
        <v>0.13</v>
      </c>
      <c r="F153" s="3261">
        <v>0.13</v>
      </c>
      <c r="G153" s="3262">
        <v>0.13</v>
      </c>
    </row>
    <row r="154" spans="1:7">
      <c r="A154" s="3271" t="s">
        <v>29</v>
      </c>
      <c r="B154" s="3260" t="s">
        <v>2957</v>
      </c>
      <c r="C154" s="3261">
        <v>0.121</v>
      </c>
      <c r="D154" s="3261">
        <v>0.121</v>
      </c>
      <c r="E154" s="3261">
        <v>0.105</v>
      </c>
      <c r="F154" s="3261">
        <v>0.121</v>
      </c>
      <c r="G154" s="3262">
        <v>0.123</v>
      </c>
    </row>
    <row r="155" spans="1:7">
      <c r="A155" s="3271" t="s">
        <v>29</v>
      </c>
      <c r="B155" s="3260" t="s">
        <v>2963</v>
      </c>
      <c r="C155" s="3261">
        <v>0.1</v>
      </c>
      <c r="D155" s="3261">
        <v>0.1</v>
      </c>
      <c r="E155" s="3261">
        <v>0.1</v>
      </c>
      <c r="F155" s="3261">
        <v>0.1</v>
      </c>
      <c r="G155" s="3262">
        <v>0.1</v>
      </c>
    </row>
    <row r="156" spans="1:7">
      <c r="A156" s="3271" t="s">
        <v>29</v>
      </c>
      <c r="B156" s="3260" t="s">
        <v>2970</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2990</v>
      </c>
      <c r="C160" s="3261">
        <v>0.13</v>
      </c>
      <c r="D160" s="3261">
        <v>0.13</v>
      </c>
      <c r="E160" s="3261">
        <v>0.124</v>
      </c>
      <c r="F160" s="3261">
        <v>0.126</v>
      </c>
      <c r="G160" s="3262">
        <v>0.13</v>
      </c>
    </row>
    <row r="161" spans="1:7">
      <c r="A161" s="3271" t="s">
        <v>29</v>
      </c>
      <c r="B161" s="3260" t="s">
        <v>2995</v>
      </c>
      <c r="C161" s="3261">
        <v>0.13</v>
      </c>
      <c r="D161" s="3261">
        <v>0.13</v>
      </c>
      <c r="E161" s="3261">
        <v>0.124</v>
      </c>
      <c r="F161" s="3261">
        <v>0.127</v>
      </c>
      <c r="G161" s="3262">
        <v>0.13</v>
      </c>
    </row>
    <row r="162" spans="1:7">
      <c r="A162" s="3271" t="s">
        <v>29</v>
      </c>
      <c r="B162" s="3260" t="s">
        <v>3000</v>
      </c>
      <c r="C162" s="3261">
        <v>0.1</v>
      </c>
      <c r="D162" s="3261">
        <v>0.1</v>
      </c>
      <c r="E162" s="3261">
        <v>0.1</v>
      </c>
      <c r="F162" s="3261">
        <v>0.121</v>
      </c>
      <c r="G162" s="3262">
        <v>0.105</v>
      </c>
    </row>
    <row r="163" spans="1:7">
      <c r="A163" s="3271" t="s">
        <v>29</v>
      </c>
      <c r="B163" s="3260" t="s">
        <v>3005</v>
      </c>
      <c r="C163" s="3261">
        <v>0.1</v>
      </c>
      <c r="D163" s="3261">
        <v>0.1</v>
      </c>
      <c r="E163" s="3261">
        <v>0.1</v>
      </c>
      <c r="F163" s="3261">
        <v>0.1</v>
      </c>
      <c r="G163" s="3262">
        <v>0.1</v>
      </c>
    </row>
    <row r="164" spans="1:7">
      <c r="A164" s="3271" t="s">
        <v>29</v>
      </c>
      <c r="B164" s="3260" t="s">
        <v>3010</v>
      </c>
      <c r="C164" s="3277"/>
      <c r="D164" s="3277"/>
      <c r="E164" s="3277"/>
      <c r="F164" s="3261">
        <v>0.1</v>
      </c>
      <c r="G164" s="3273"/>
    </row>
    <row r="165" spans="1:7">
      <c r="A165" s="3271" t="s">
        <v>29</v>
      </c>
      <c r="B165" s="3260" t="s">
        <v>3181</v>
      </c>
      <c r="C165" s="3261">
        <v>0.126</v>
      </c>
      <c r="D165" s="3261">
        <v>0.126</v>
      </c>
      <c r="E165" s="3261">
        <v>0.11899999999999999</v>
      </c>
      <c r="F165" s="3261">
        <v>0.13</v>
      </c>
      <c r="G165" s="3262">
        <v>0.128</v>
      </c>
    </row>
    <row r="166" spans="1:7">
      <c r="A166" s="3271" t="s">
        <v>29</v>
      </c>
      <c r="B166" s="3260" t="s">
        <v>3020</v>
      </c>
      <c r="C166" s="3261">
        <v>0.129</v>
      </c>
      <c r="D166" s="3261">
        <v>0.129</v>
      </c>
      <c r="E166" s="3261">
        <v>0.123</v>
      </c>
      <c r="F166" s="3261">
        <v>0.128</v>
      </c>
      <c r="G166" s="3262">
        <v>0.13</v>
      </c>
    </row>
    <row r="167" spans="1:7">
      <c r="A167" s="3271" t="s">
        <v>29</v>
      </c>
      <c r="B167" s="3260" t="s">
        <v>3024</v>
      </c>
      <c r="C167" s="3261">
        <v>0.125</v>
      </c>
      <c r="D167" s="3261">
        <v>0.125</v>
      </c>
      <c r="E167" s="3261">
        <v>0.11700000000000001</v>
      </c>
      <c r="F167" s="3261">
        <v>0.13</v>
      </c>
      <c r="G167" s="3262">
        <v>0.126</v>
      </c>
    </row>
    <row r="168" spans="1:7">
      <c r="A168" s="3271" t="s">
        <v>29</v>
      </c>
      <c r="B168" s="3260" t="s">
        <v>3029</v>
      </c>
      <c r="C168" s="3261">
        <v>0.128</v>
      </c>
      <c r="D168" s="3261">
        <v>0.128</v>
      </c>
      <c r="E168" s="3261">
        <v>0.123</v>
      </c>
      <c r="F168" s="3272"/>
      <c r="G168" s="3262">
        <v>0.13</v>
      </c>
    </row>
    <row r="169" spans="1:7">
      <c r="A169" s="3271" t="s">
        <v>29</v>
      </c>
      <c r="B169" s="3260" t="s">
        <v>3182</v>
      </c>
      <c r="C169" s="3277"/>
      <c r="D169" s="3277"/>
      <c r="E169" s="3277"/>
      <c r="F169" s="3261">
        <v>0.05</v>
      </c>
      <c r="G169" s="3273"/>
    </row>
    <row r="170" spans="1:7">
      <c r="A170" s="3271" t="s">
        <v>29</v>
      </c>
      <c r="B170" s="3260" t="s">
        <v>3183</v>
      </c>
      <c r="C170" s="3277"/>
      <c r="D170" s="3277"/>
      <c r="E170" s="3277"/>
      <c r="F170" s="3261">
        <v>0.05</v>
      </c>
      <c r="G170" s="3273"/>
    </row>
    <row r="171" spans="1:7">
      <c r="A171" s="3271" t="s">
        <v>29</v>
      </c>
      <c r="B171" s="3260" t="s">
        <v>3184</v>
      </c>
      <c r="C171" s="3277"/>
      <c r="D171" s="3277"/>
      <c r="E171" s="3277"/>
      <c r="F171" s="3261">
        <v>0.05</v>
      </c>
      <c r="G171" s="3278"/>
    </row>
    <row r="172" spans="1:7">
      <c r="A172" s="3271" t="s">
        <v>29</v>
      </c>
      <c r="B172" s="3260" t="s">
        <v>3185</v>
      </c>
      <c r="C172" s="3277"/>
      <c r="D172" s="3277"/>
      <c r="E172" s="3277"/>
      <c r="F172" s="3261">
        <v>0.05</v>
      </c>
      <c r="G172" s="3278"/>
    </row>
    <row r="173" spans="1:7">
      <c r="A173" s="3271" t="s">
        <v>29</v>
      </c>
      <c r="B173" s="3260" t="s">
        <v>3186</v>
      </c>
      <c r="C173" s="3277"/>
      <c r="D173" s="3277"/>
      <c r="E173" s="3277"/>
      <c r="F173" s="3261">
        <v>0.05</v>
      </c>
      <c r="G173" s="3273"/>
    </row>
    <row r="174" spans="1:7">
      <c r="A174" s="3271" t="s">
        <v>29</v>
      </c>
      <c r="B174" s="3260" t="s">
        <v>3187</v>
      </c>
      <c r="C174" s="3277"/>
      <c r="D174" s="3277"/>
      <c r="E174" s="3277"/>
      <c r="F174" s="3261">
        <v>0.05</v>
      </c>
      <c r="G174" s="3273"/>
    </row>
    <row r="175" spans="1:7">
      <c r="A175" s="3271" t="s">
        <v>29</v>
      </c>
      <c r="B175" s="3260" t="s">
        <v>3188</v>
      </c>
      <c r="C175" s="3277"/>
      <c r="D175" s="3277"/>
      <c r="E175" s="3277"/>
      <c r="F175" s="3261">
        <v>0.05</v>
      </c>
      <c r="G175" s="3273"/>
    </row>
    <row r="176" spans="1:7">
      <c r="A176" s="3271" t="s">
        <v>29</v>
      </c>
      <c r="B176" s="3260" t="s">
        <v>3189</v>
      </c>
      <c r="C176" s="3277"/>
      <c r="D176" s="3277"/>
      <c r="E176" s="3277"/>
      <c r="F176" s="3261">
        <v>0.05</v>
      </c>
      <c r="G176" s="3273"/>
    </row>
    <row r="177" spans="1:7">
      <c r="A177" s="3271" t="s">
        <v>29</v>
      </c>
      <c r="B177" s="3260" t="s">
        <v>3190</v>
      </c>
      <c r="C177" s="3272"/>
      <c r="D177" s="3272"/>
      <c r="E177" s="3272"/>
      <c r="F177" s="3261">
        <v>0.05</v>
      </c>
      <c r="G177" s="3278"/>
    </row>
    <row r="178" spans="1:7">
      <c r="A178" s="3271" t="s">
        <v>29</v>
      </c>
      <c r="B178" s="3260" t="s">
        <v>3191</v>
      </c>
      <c r="C178" s="3272"/>
      <c r="D178" s="3272"/>
      <c r="E178" s="3272"/>
      <c r="F178" s="3261">
        <v>0.05</v>
      </c>
      <c r="G178" s="3278"/>
    </row>
    <row r="179" spans="1:7">
      <c r="A179" s="3271" t="s">
        <v>29</v>
      </c>
      <c r="B179" s="3260" t="s">
        <v>3192</v>
      </c>
      <c r="C179" s="3272"/>
      <c r="D179" s="3272"/>
      <c r="E179" s="3272"/>
      <c r="F179" s="3261">
        <v>0.05</v>
      </c>
      <c r="G179" s="3278"/>
    </row>
    <row r="180" spans="1:7">
      <c r="A180" s="3271" t="s">
        <v>29</v>
      </c>
      <c r="B180" s="3260" t="s">
        <v>3193</v>
      </c>
      <c r="C180" s="3272"/>
      <c r="D180" s="3272"/>
      <c r="E180" s="3272"/>
      <c r="F180" s="3261">
        <v>0.05</v>
      </c>
      <c r="G180" s="3278"/>
    </row>
    <row r="181" spans="1:7">
      <c r="A181" s="3271" t="s">
        <v>29</v>
      </c>
      <c r="B181" s="3260" t="s">
        <v>3194</v>
      </c>
      <c r="C181" s="3272"/>
      <c r="D181" s="3272"/>
      <c r="E181" s="3272"/>
      <c r="F181" s="3261">
        <v>0.05</v>
      </c>
      <c r="G181" s="3278"/>
    </row>
    <row r="182" spans="1:7">
      <c r="A182" s="3271" t="s">
        <v>29</v>
      </c>
      <c r="B182" s="3260" t="s">
        <v>3195</v>
      </c>
      <c r="C182" s="3272"/>
      <c r="D182" s="3272"/>
      <c r="E182" s="3272"/>
      <c r="F182" s="3261">
        <v>0.05</v>
      </c>
      <c r="G182" s="3278"/>
    </row>
    <row r="183" spans="1:7">
      <c r="A183" s="3271" t="s">
        <v>29</v>
      </c>
      <c r="B183" s="3260" t="s">
        <v>3196</v>
      </c>
      <c r="C183" s="3272"/>
      <c r="D183" s="3272"/>
      <c r="E183" s="3272"/>
      <c r="F183" s="3261">
        <v>0.05</v>
      </c>
      <c r="G183" s="3278"/>
    </row>
    <row r="184" spans="1:7">
      <c r="A184" s="3271" t="s">
        <v>29</v>
      </c>
      <c r="B184" s="3260" t="s">
        <v>3197</v>
      </c>
      <c r="C184" s="3272"/>
      <c r="D184" s="3272"/>
      <c r="E184" s="3272"/>
      <c r="F184" s="3261">
        <v>0.05</v>
      </c>
      <c r="G184" s="3278"/>
    </row>
    <row r="185" spans="1:7">
      <c r="A185" s="3271" t="s">
        <v>29</v>
      </c>
      <c r="B185" s="3260" t="s">
        <v>3198</v>
      </c>
      <c r="C185" s="3272"/>
      <c r="D185" s="3272"/>
      <c r="E185" s="3272"/>
      <c r="F185" s="3261">
        <v>0.05</v>
      </c>
      <c r="G185" s="3278"/>
    </row>
    <row r="186" spans="1:7">
      <c r="A186" s="3271" t="s">
        <v>29</v>
      </c>
      <c r="B186" s="3260" t="s">
        <v>3199</v>
      </c>
      <c r="C186" s="3272"/>
      <c r="D186" s="3272"/>
      <c r="E186" s="3272"/>
      <c r="F186" s="3261">
        <v>0.05</v>
      </c>
      <c r="G186" s="3278"/>
    </row>
    <row r="187" spans="1:7">
      <c r="A187" s="3271" t="s">
        <v>29</v>
      </c>
      <c r="B187" s="3260" t="s">
        <v>3200</v>
      </c>
      <c r="C187" s="3272"/>
      <c r="D187" s="3272"/>
      <c r="E187" s="3272"/>
      <c r="F187" s="3261">
        <v>0.05</v>
      </c>
      <c r="G187" s="3278"/>
    </row>
    <row r="188" spans="1:7">
      <c r="A188" s="3271" t="s">
        <v>29</v>
      </c>
      <c r="B188" s="3260" t="s">
        <v>3201</v>
      </c>
      <c r="C188" s="3272"/>
      <c r="D188" s="3272"/>
      <c r="E188" s="3272"/>
      <c r="F188" s="3261">
        <v>0.05</v>
      </c>
      <c r="G188" s="3278"/>
    </row>
    <row r="189" spans="1:7" ht="14.25" thickBot="1">
      <c r="A189" s="3274" t="s">
        <v>29</v>
      </c>
      <c r="B189" s="3264" t="s">
        <v>3202</v>
      </c>
      <c r="C189" s="3266"/>
      <c r="D189" s="3266"/>
      <c r="E189" s="3266"/>
      <c r="F189" s="3265">
        <v>0.05</v>
      </c>
      <c r="G189" s="3279"/>
    </row>
    <row r="190" spans="1:7">
      <c r="A190" s="3270" t="s">
        <v>304</v>
      </c>
      <c r="B190" s="3256" t="s">
        <v>2858</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2894</v>
      </c>
      <c r="C199" s="3261">
        <v>0.13</v>
      </c>
      <c r="D199" s="3261">
        <v>0.13</v>
      </c>
      <c r="E199" s="3261">
        <v>0.13</v>
      </c>
      <c r="F199" s="3261">
        <v>0.13</v>
      </c>
      <c r="G199" s="3262">
        <v>0.13</v>
      </c>
    </row>
    <row r="200" spans="1:7">
      <c r="A200" s="3271" t="s">
        <v>304</v>
      </c>
      <c r="B200" s="3260" t="s">
        <v>2897</v>
      </c>
      <c r="C200" s="3277"/>
      <c r="D200" s="3277"/>
      <c r="E200" s="3277"/>
      <c r="F200" s="3261">
        <v>0.13</v>
      </c>
      <c r="G200" s="3273"/>
    </row>
    <row r="201" spans="1:7">
      <c r="A201" s="3271" t="s">
        <v>304</v>
      </c>
      <c r="B201" s="3260" t="s">
        <v>2902</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2905</v>
      </c>
      <c r="C203" s="3261">
        <v>0.129</v>
      </c>
      <c r="D203" s="3261">
        <v>0.129</v>
      </c>
      <c r="E203" s="3261">
        <v>0.13</v>
      </c>
      <c r="F203" s="3261">
        <v>0.13</v>
      </c>
      <c r="G203" s="3262">
        <v>0.13</v>
      </c>
    </row>
    <row r="204" spans="1:7">
      <c r="A204" s="3271" t="s">
        <v>304</v>
      </c>
      <c r="B204" s="3260" t="s">
        <v>2908</v>
      </c>
      <c r="C204" s="3261">
        <v>0.129</v>
      </c>
      <c r="D204" s="3261">
        <v>0.129</v>
      </c>
      <c r="E204" s="3261">
        <v>0.123</v>
      </c>
      <c r="F204" s="3261">
        <v>0.13</v>
      </c>
      <c r="G204" s="3262">
        <v>0.13</v>
      </c>
    </row>
    <row r="205" spans="1:7">
      <c r="A205" s="3271" t="s">
        <v>304</v>
      </c>
      <c r="B205" s="3260" t="s">
        <v>2910</v>
      </c>
      <c r="C205" s="3261">
        <v>0.13</v>
      </c>
      <c r="D205" s="3261">
        <v>0.13</v>
      </c>
      <c r="E205" s="3261">
        <v>0.13</v>
      </c>
      <c r="F205" s="3261">
        <v>0.13</v>
      </c>
      <c r="G205" s="3262">
        <v>0.13</v>
      </c>
    </row>
    <row r="206" spans="1:7">
      <c r="A206" s="3271" t="s">
        <v>304</v>
      </c>
      <c r="B206" s="3260" t="s">
        <v>2913</v>
      </c>
      <c r="C206" s="3261">
        <v>0.13</v>
      </c>
      <c r="D206" s="3261">
        <v>0.13</v>
      </c>
      <c r="E206" s="3261">
        <v>0.13</v>
      </c>
      <c r="F206" s="3261">
        <v>0.128</v>
      </c>
      <c r="G206" s="3262">
        <v>0.13</v>
      </c>
    </row>
    <row r="207" spans="1:7">
      <c r="A207" s="3271" t="s">
        <v>304</v>
      </c>
      <c r="B207" s="3260" t="s">
        <v>2915</v>
      </c>
      <c r="C207" s="3261">
        <v>0.13</v>
      </c>
      <c r="D207" s="3261">
        <v>0.13</v>
      </c>
      <c r="E207" s="3261">
        <v>0.13</v>
      </c>
      <c r="F207" s="3261">
        <v>0.13</v>
      </c>
      <c r="G207" s="3262">
        <v>0.13</v>
      </c>
    </row>
    <row r="208" spans="1:7">
      <c r="A208" s="3271" t="s">
        <v>304</v>
      </c>
      <c r="B208" s="3260" t="s">
        <v>2918</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2925</v>
      </c>
      <c r="C210" s="3261">
        <v>0.121</v>
      </c>
      <c r="D210" s="3261">
        <v>0.121</v>
      </c>
      <c r="E210" s="3261">
        <v>0.125</v>
      </c>
      <c r="F210" s="3261">
        <v>0.13</v>
      </c>
      <c r="G210" s="3262">
        <v>0.123</v>
      </c>
    </row>
    <row r="211" spans="1:7">
      <c r="A211" s="3271" t="s">
        <v>304</v>
      </c>
      <c r="B211" s="3260" t="s">
        <v>2928</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2940</v>
      </c>
      <c r="C214" s="3261">
        <v>0.128</v>
      </c>
      <c r="D214" s="3261">
        <v>0.128</v>
      </c>
      <c r="E214" s="3261">
        <v>0.13</v>
      </c>
      <c r="F214" s="3261">
        <v>0.13</v>
      </c>
      <c r="G214" s="3262">
        <v>0.13</v>
      </c>
    </row>
    <row r="215" spans="1:7">
      <c r="A215" s="3271" t="s">
        <v>304</v>
      </c>
      <c r="B215" s="3260" t="s">
        <v>2944</v>
      </c>
      <c r="C215" s="3261">
        <v>0.13</v>
      </c>
      <c r="D215" s="3261">
        <v>0.13</v>
      </c>
      <c r="E215" s="3261">
        <v>0.13</v>
      </c>
      <c r="F215" s="3261">
        <v>0.129</v>
      </c>
      <c r="G215" s="3262">
        <v>0.13</v>
      </c>
    </row>
    <row r="216" spans="1:7">
      <c r="A216" s="3271" t="s">
        <v>304</v>
      </c>
      <c r="B216" s="3260" t="s">
        <v>2951</v>
      </c>
      <c r="C216" s="3261">
        <v>0.13</v>
      </c>
      <c r="D216" s="3261">
        <v>0.13</v>
      </c>
      <c r="E216" s="3261">
        <v>0.13</v>
      </c>
      <c r="F216" s="3261">
        <v>0.13</v>
      </c>
      <c r="G216" s="3262">
        <v>0.13</v>
      </c>
    </row>
    <row r="217" spans="1:7">
      <c r="A217" s="3271" t="s">
        <v>304</v>
      </c>
      <c r="B217" s="3260" t="s">
        <v>2958</v>
      </c>
      <c r="C217" s="3261">
        <v>0.129</v>
      </c>
      <c r="D217" s="3261">
        <v>0.129</v>
      </c>
      <c r="E217" s="3261">
        <v>0.13</v>
      </c>
      <c r="F217" s="3261">
        <v>0.13</v>
      </c>
      <c r="G217" s="3262">
        <v>0.13</v>
      </c>
    </row>
    <row r="218" spans="1:7">
      <c r="A218" s="3271" t="s">
        <v>304</v>
      </c>
      <c r="B218" s="3260" t="s">
        <v>2964</v>
      </c>
      <c r="C218" s="3272"/>
      <c r="D218" s="3272"/>
      <c r="E218" s="3272"/>
      <c r="F218" s="3261">
        <v>0.05</v>
      </c>
      <c r="G218" s="3278"/>
    </row>
    <row r="219" spans="1:7">
      <c r="A219" s="3271" t="s">
        <v>304</v>
      </c>
      <c r="B219" s="3260" t="s">
        <v>2971</v>
      </c>
      <c r="C219" s="3272"/>
      <c r="D219" s="3272"/>
      <c r="E219" s="3272"/>
      <c r="F219" s="3261">
        <v>0.05</v>
      </c>
      <c r="G219" s="3278"/>
    </row>
    <row r="220" spans="1:7">
      <c r="A220" s="3271" t="s">
        <v>304</v>
      </c>
      <c r="B220" s="3260" t="s">
        <v>2977</v>
      </c>
      <c r="C220" s="3272"/>
      <c r="D220" s="3272"/>
      <c r="E220" s="3272"/>
      <c r="F220" s="3261">
        <v>0.05</v>
      </c>
      <c r="G220" s="3278"/>
    </row>
    <row r="221" spans="1:7">
      <c r="A221" s="3271" t="s">
        <v>304</v>
      </c>
      <c r="B221" s="3260" t="s">
        <v>2982</v>
      </c>
      <c r="C221" s="3272"/>
      <c r="D221" s="3272"/>
      <c r="E221" s="3272"/>
      <c r="F221" s="3261">
        <v>0.05</v>
      </c>
      <c r="G221" s="3278"/>
    </row>
    <row r="222" spans="1:7">
      <c r="A222" s="3271" t="s">
        <v>304</v>
      </c>
      <c r="B222" s="3260" t="s">
        <v>2986</v>
      </c>
      <c r="C222" s="3272"/>
      <c r="D222" s="3272"/>
      <c r="E222" s="3272"/>
      <c r="F222" s="3261">
        <v>0.05</v>
      </c>
      <c r="G222" s="3278"/>
    </row>
    <row r="223" spans="1:7">
      <c r="A223" s="3271" t="s">
        <v>304</v>
      </c>
      <c r="B223" s="3260" t="s">
        <v>2991</v>
      </c>
      <c r="C223" s="3272"/>
      <c r="D223" s="3272"/>
      <c r="E223" s="3272"/>
      <c r="F223" s="3261">
        <v>0.05</v>
      </c>
      <c r="G223" s="3278"/>
    </row>
    <row r="224" spans="1:7">
      <c r="A224" s="3271" t="s">
        <v>304</v>
      </c>
      <c r="B224" s="3260" t="s">
        <v>2996</v>
      </c>
      <c r="C224" s="3272"/>
      <c r="D224" s="3272"/>
      <c r="E224" s="3272"/>
      <c r="F224" s="3261">
        <v>0.05</v>
      </c>
      <c r="G224" s="3278"/>
    </row>
    <row r="225" spans="1:7">
      <c r="A225" s="3271" t="s">
        <v>304</v>
      </c>
      <c r="B225" s="3260" t="s">
        <v>3001</v>
      </c>
      <c r="C225" s="3272"/>
      <c r="D225" s="3272"/>
      <c r="E225" s="3272"/>
      <c r="F225" s="3261">
        <v>0.05</v>
      </c>
      <c r="G225" s="3278"/>
    </row>
    <row r="226" spans="1:7">
      <c r="A226" s="3271" t="s">
        <v>304</v>
      </c>
      <c r="B226" s="3260" t="s">
        <v>3203</v>
      </c>
      <c r="C226" s="3272"/>
      <c r="D226" s="3272"/>
      <c r="E226" s="3272"/>
      <c r="F226" s="3261">
        <v>0.05</v>
      </c>
      <c r="G226" s="3278"/>
    </row>
    <row r="227" spans="1:7">
      <c r="A227" s="3271" t="s">
        <v>304</v>
      </c>
      <c r="B227" s="3260" t="s">
        <v>3204</v>
      </c>
      <c r="C227" s="3272"/>
      <c r="D227" s="3272"/>
      <c r="E227" s="3272"/>
      <c r="F227" s="3261">
        <v>0.05</v>
      </c>
      <c r="G227" s="3278"/>
    </row>
    <row r="228" spans="1:7">
      <c r="A228" s="3271" t="s">
        <v>304</v>
      </c>
      <c r="B228" s="3260" t="s">
        <v>3205</v>
      </c>
      <c r="C228" s="3272"/>
      <c r="D228" s="3272"/>
      <c r="E228" s="3272"/>
      <c r="F228" s="3261">
        <v>0.05</v>
      </c>
      <c r="G228" s="3278"/>
    </row>
    <row r="229" spans="1:7">
      <c r="A229" s="3271" t="s">
        <v>304</v>
      </c>
      <c r="B229" s="3260" t="s">
        <v>3206</v>
      </c>
      <c r="C229" s="3272"/>
      <c r="D229" s="3272"/>
      <c r="E229" s="3272"/>
      <c r="F229" s="3261">
        <v>0.05</v>
      </c>
      <c r="G229" s="3278"/>
    </row>
    <row r="230" spans="1:7">
      <c r="A230" s="3271" t="s">
        <v>304</v>
      </c>
      <c r="B230" s="3260" t="s">
        <v>3207</v>
      </c>
      <c r="C230" s="3272"/>
      <c r="D230" s="3272"/>
      <c r="E230" s="3272"/>
      <c r="F230" s="3261">
        <v>0.05</v>
      </c>
      <c r="G230" s="3278"/>
    </row>
    <row r="231" spans="1:7">
      <c r="A231" s="3271" t="s">
        <v>304</v>
      </c>
      <c r="B231" s="3260" t="s">
        <v>3208</v>
      </c>
      <c r="C231" s="3272"/>
      <c r="D231" s="3272"/>
      <c r="E231" s="3272"/>
      <c r="F231" s="3261">
        <v>0.05</v>
      </c>
      <c r="G231" s="3278"/>
    </row>
    <row r="232" spans="1:7">
      <c r="A232" s="3271" t="s">
        <v>304</v>
      </c>
      <c r="B232" s="3260" t="s">
        <v>3209</v>
      </c>
      <c r="C232" s="3272"/>
      <c r="D232" s="3272"/>
      <c r="E232" s="3272"/>
      <c r="F232" s="3261">
        <v>0.05</v>
      </c>
      <c r="G232" s="3278"/>
    </row>
    <row r="233" spans="1:7" ht="14.25" thickBot="1">
      <c r="A233" s="3274" t="s">
        <v>304</v>
      </c>
      <c r="B233" s="3264" t="s">
        <v>3210</v>
      </c>
      <c r="C233" s="3266"/>
      <c r="D233" s="3266"/>
      <c r="E233" s="3266"/>
      <c r="F233" s="3265">
        <v>0.05</v>
      </c>
      <c r="G233" s="3279"/>
    </row>
    <row r="234" spans="1:7">
      <c r="A234" s="3270" t="s">
        <v>305</v>
      </c>
      <c r="B234" s="3256" t="s">
        <v>2859</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2879</v>
      </c>
      <c r="C238" s="3261">
        <v>0.14899999999999999</v>
      </c>
      <c r="D238" s="3261">
        <v>0.14899999999999999</v>
      </c>
      <c r="E238" s="3261">
        <v>0.15</v>
      </c>
      <c r="F238" s="3261">
        <v>0.15</v>
      </c>
      <c r="G238" s="3262">
        <v>0.15</v>
      </c>
    </row>
    <row r="239" spans="1:7">
      <c r="A239" s="3271" t="s">
        <v>305</v>
      </c>
      <c r="B239" s="3260" t="s">
        <v>2883</v>
      </c>
      <c r="C239" s="3261">
        <v>0.15</v>
      </c>
      <c r="D239" s="3261">
        <v>0.15</v>
      </c>
      <c r="E239" s="3261">
        <v>0.15</v>
      </c>
      <c r="F239" s="3261">
        <v>0.15</v>
      </c>
      <c r="G239" s="3262">
        <v>0.15</v>
      </c>
    </row>
    <row r="240" spans="1:7">
      <c r="A240" s="3271" t="s">
        <v>305</v>
      </c>
      <c r="B240" s="3260" t="s">
        <v>2888</v>
      </c>
      <c r="C240" s="3261">
        <v>0.15</v>
      </c>
      <c r="D240" s="3261">
        <v>0.15</v>
      </c>
      <c r="E240" s="3261">
        <v>0.15</v>
      </c>
      <c r="F240" s="3261">
        <v>0.15</v>
      </c>
      <c r="G240" s="3262">
        <v>0.15</v>
      </c>
    </row>
    <row r="241" spans="1:7">
      <c r="A241" s="3271" t="s">
        <v>305</v>
      </c>
      <c r="B241" s="3260" t="s">
        <v>2892</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2898</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2906</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2911</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2919</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2932</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2941</v>
      </c>
      <c r="C258" s="3261">
        <v>0.14299999999999999</v>
      </c>
      <c r="D258" s="3261">
        <v>0.14299999999999999</v>
      </c>
      <c r="E258" s="3261">
        <v>0.15</v>
      </c>
      <c r="F258" s="3261">
        <v>0.14799999999999999</v>
      </c>
      <c r="G258" s="3262">
        <v>0.14599999999999999</v>
      </c>
    </row>
    <row r="259" spans="1:7">
      <c r="A259" s="3271" t="s">
        <v>305</v>
      </c>
      <c r="B259" s="3260" t="s">
        <v>2945</v>
      </c>
      <c r="C259" s="3261">
        <v>0.14399999999999999</v>
      </c>
      <c r="D259" s="3261">
        <v>0.14399999999999999</v>
      </c>
      <c r="E259" s="3261">
        <v>0.14899999999999999</v>
      </c>
      <c r="F259" s="3261">
        <v>0.14699999999999999</v>
      </c>
      <c r="G259" s="3262">
        <v>0.14599999999999999</v>
      </c>
    </row>
    <row r="260" spans="1:7">
      <c r="A260" s="3271" t="s">
        <v>305</v>
      </c>
      <c r="B260" s="3260" t="s">
        <v>2952</v>
      </c>
      <c r="C260" s="3261">
        <v>0.109</v>
      </c>
      <c r="D260" s="3261">
        <v>0.111</v>
      </c>
      <c r="E260" s="3261">
        <v>0.13100000000000001</v>
      </c>
      <c r="F260" s="3261">
        <v>0.126</v>
      </c>
      <c r="G260" s="3262">
        <v>0.11899999999999999</v>
      </c>
    </row>
    <row r="261" spans="1:7">
      <c r="A261" s="3271" t="s">
        <v>305</v>
      </c>
      <c r="B261" s="3260" t="s">
        <v>2959</v>
      </c>
      <c r="C261" s="3261">
        <v>0.1</v>
      </c>
      <c r="D261" s="3261">
        <v>0.1</v>
      </c>
      <c r="E261" s="3261">
        <v>0.11799999999999999</v>
      </c>
      <c r="F261" s="3261">
        <v>0.108</v>
      </c>
      <c r="G261" s="3262">
        <v>0.107</v>
      </c>
    </row>
    <row r="262" spans="1:7">
      <c r="A262" s="3271" t="s">
        <v>305</v>
      </c>
      <c r="B262" s="3260" t="s">
        <v>2965</v>
      </c>
      <c r="C262" s="3261">
        <v>0.1</v>
      </c>
      <c r="D262" s="3261">
        <v>0.1</v>
      </c>
      <c r="E262" s="3261">
        <v>0.1</v>
      </c>
      <c r="F262" s="3261">
        <v>0.14099999999999999</v>
      </c>
      <c r="G262" s="3262">
        <v>0.1</v>
      </c>
    </row>
    <row r="263" spans="1:7">
      <c r="A263" s="3271" t="s">
        <v>305</v>
      </c>
      <c r="B263" s="3260" t="s">
        <v>2972</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2983</v>
      </c>
      <c r="C265" s="3272"/>
      <c r="D265" s="3272"/>
      <c r="E265" s="3272"/>
      <c r="F265" s="3261">
        <v>0.05</v>
      </c>
      <c r="G265" s="3278"/>
    </row>
    <row r="266" spans="1:7">
      <c r="A266" s="3271" t="s">
        <v>305</v>
      </c>
      <c r="B266" s="3260" t="s">
        <v>2987</v>
      </c>
      <c r="C266" s="3272"/>
      <c r="D266" s="3272"/>
      <c r="E266" s="3272"/>
      <c r="F266" s="3261">
        <v>0.05</v>
      </c>
      <c r="G266" s="3278"/>
    </row>
    <row r="267" spans="1:7">
      <c r="A267" s="3271" t="s">
        <v>305</v>
      </c>
      <c r="B267" s="3260" t="s">
        <v>2992</v>
      </c>
      <c r="C267" s="3272"/>
      <c r="D267" s="3272"/>
      <c r="E267" s="3272"/>
      <c r="F267" s="3261">
        <v>0.05</v>
      </c>
      <c r="G267" s="3278"/>
    </row>
    <row r="268" spans="1:7">
      <c r="A268" s="3271" t="s">
        <v>305</v>
      </c>
      <c r="B268" s="3260" t="s">
        <v>2997</v>
      </c>
      <c r="C268" s="3272"/>
      <c r="D268" s="3272"/>
      <c r="E268" s="3272"/>
      <c r="F268" s="3261">
        <v>0.05</v>
      </c>
      <c r="G268" s="3278"/>
    </row>
    <row r="269" spans="1:7">
      <c r="A269" s="3271" t="s">
        <v>305</v>
      </c>
      <c r="B269" s="3260" t="s">
        <v>3002</v>
      </c>
      <c r="C269" s="3272"/>
      <c r="D269" s="3272"/>
      <c r="E269" s="3272"/>
      <c r="F269" s="3261">
        <v>0.05</v>
      </c>
      <c r="G269" s="3278"/>
    </row>
    <row r="270" spans="1:7">
      <c r="A270" s="3271" t="s">
        <v>305</v>
      </c>
      <c r="B270" s="3260" t="s">
        <v>3007</v>
      </c>
      <c r="C270" s="3272"/>
      <c r="D270" s="3272"/>
      <c r="E270" s="3272"/>
      <c r="F270" s="3261">
        <v>0.05</v>
      </c>
      <c r="G270" s="3278"/>
    </row>
    <row r="271" spans="1:7">
      <c r="A271" s="3271" t="s">
        <v>305</v>
      </c>
      <c r="B271" s="3260" t="s">
        <v>3211</v>
      </c>
      <c r="C271" s="3272"/>
      <c r="D271" s="3272"/>
      <c r="E271" s="3272"/>
      <c r="F271" s="3261">
        <v>0.05</v>
      </c>
      <c r="G271" s="3278"/>
    </row>
    <row r="272" spans="1:7">
      <c r="A272" s="3271" t="s">
        <v>305</v>
      </c>
      <c r="B272" s="3260" t="s">
        <v>3212</v>
      </c>
      <c r="C272" s="3272"/>
      <c r="D272" s="3272"/>
      <c r="E272" s="3272"/>
      <c r="F272" s="3261">
        <v>0.05</v>
      </c>
      <c r="G272" s="3278"/>
    </row>
    <row r="273" spans="1:7">
      <c r="A273" s="3271" t="s">
        <v>305</v>
      </c>
      <c r="B273" s="3260" t="s">
        <v>3213</v>
      </c>
      <c r="C273" s="3272"/>
      <c r="D273" s="3272"/>
      <c r="E273" s="3272"/>
      <c r="F273" s="3261">
        <v>0.05</v>
      </c>
      <c r="G273" s="3278"/>
    </row>
    <row r="274" spans="1:7">
      <c r="A274" s="3271" t="s">
        <v>305</v>
      </c>
      <c r="B274" s="3260" t="s">
        <v>3214</v>
      </c>
      <c r="C274" s="3272"/>
      <c r="D274" s="3272"/>
      <c r="E274" s="3272"/>
      <c r="F274" s="3261">
        <v>0.05</v>
      </c>
      <c r="G274" s="3278"/>
    </row>
    <row r="275" spans="1:7">
      <c r="A275" s="3271" t="s">
        <v>305</v>
      </c>
      <c r="B275" s="3260" t="s">
        <v>3215</v>
      </c>
      <c r="C275" s="3272"/>
      <c r="D275" s="3272"/>
      <c r="E275" s="3272"/>
      <c r="F275" s="3261">
        <v>0.05</v>
      </c>
      <c r="G275" s="3278"/>
    </row>
    <row r="276" spans="1:7" ht="14.25" thickBot="1">
      <c r="A276" s="3274" t="s">
        <v>305</v>
      </c>
      <c r="B276" s="3264" t="s">
        <v>3216</v>
      </c>
      <c r="C276" s="3266"/>
      <c r="D276" s="3266"/>
      <c r="E276" s="3266"/>
      <c r="F276" s="3265">
        <v>0.05</v>
      </c>
      <c r="G276" s="3279"/>
    </row>
    <row r="277" spans="1:7">
      <c r="A277" s="3270" t="s">
        <v>306</v>
      </c>
      <c r="B277" s="3256" t="s">
        <v>2860</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2872</v>
      </c>
      <c r="C279" s="3261">
        <v>0.15</v>
      </c>
      <c r="D279" s="3261">
        <v>0.15</v>
      </c>
      <c r="E279" s="3261">
        <v>0.15</v>
      </c>
      <c r="F279" s="3261">
        <v>0.15</v>
      </c>
      <c r="G279" s="3262">
        <v>0.15</v>
      </c>
    </row>
    <row r="280" spans="1:7">
      <c r="A280" s="3271" t="s">
        <v>306</v>
      </c>
      <c r="B280" s="3260" t="s">
        <v>2876</v>
      </c>
      <c r="C280" s="3261">
        <v>0.15</v>
      </c>
      <c r="D280" s="3261">
        <v>0.15</v>
      </c>
      <c r="E280" s="3261">
        <v>0.15</v>
      </c>
      <c r="F280" s="3261">
        <v>0.15</v>
      </c>
      <c r="G280" s="3262">
        <v>0.15</v>
      </c>
    </row>
    <row r="281" spans="1:7">
      <c r="A281" s="3271" t="s">
        <v>306</v>
      </c>
      <c r="B281" s="3260" t="s">
        <v>2880</v>
      </c>
      <c r="C281" s="3261">
        <v>0.15</v>
      </c>
      <c r="D281" s="3261">
        <v>0.15</v>
      </c>
      <c r="E281" s="3261">
        <v>0.15</v>
      </c>
      <c r="F281" s="3261">
        <v>0.15</v>
      </c>
      <c r="G281" s="3262">
        <v>0.15</v>
      </c>
    </row>
    <row r="282" spans="1:7">
      <c r="A282" s="3271" t="s">
        <v>306</v>
      </c>
      <c r="B282" s="3260" t="s">
        <v>2884</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2899</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2904</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2914</v>
      </c>
      <c r="C293" s="3261">
        <v>0.15</v>
      </c>
      <c r="D293" s="3261">
        <v>0.15</v>
      </c>
      <c r="E293" s="3261">
        <v>0.15</v>
      </c>
      <c r="F293" s="3261">
        <v>0.14499999999999999</v>
      </c>
      <c r="G293" s="3262">
        <v>0.15</v>
      </c>
    </row>
    <row r="294" spans="1:7">
      <c r="A294" s="3271" t="s">
        <v>306</v>
      </c>
      <c r="B294" s="3260" t="s">
        <v>2916</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2933</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2946</v>
      </c>
      <c r="C302" s="3261">
        <v>0.15</v>
      </c>
      <c r="D302" s="3261">
        <v>0.15</v>
      </c>
      <c r="E302" s="3261">
        <v>0.15</v>
      </c>
      <c r="F302" s="3261">
        <v>0.14699999999999999</v>
      </c>
      <c r="G302" s="3262">
        <v>0.15</v>
      </c>
    </row>
    <row r="303" spans="1:7">
      <c r="A303" s="3271" t="s">
        <v>306</v>
      </c>
      <c r="B303" s="3260" t="s">
        <v>2953</v>
      </c>
      <c r="C303" s="3261">
        <v>0.15</v>
      </c>
      <c r="D303" s="3261">
        <v>0.15</v>
      </c>
      <c r="E303" s="3261">
        <v>0.15</v>
      </c>
      <c r="F303" s="3261">
        <v>0.14199999999999999</v>
      </c>
      <c r="G303" s="3262">
        <v>0.15</v>
      </c>
    </row>
    <row r="304" spans="1:7">
      <c r="A304" s="3271" t="s">
        <v>306</v>
      </c>
      <c r="B304" s="3260" t="s">
        <v>2960</v>
      </c>
      <c r="C304" s="3261">
        <v>0.15</v>
      </c>
      <c r="D304" s="3261">
        <v>0.15</v>
      </c>
      <c r="E304" s="3261">
        <v>0.15</v>
      </c>
      <c r="F304" s="3261">
        <v>0.14499999999999999</v>
      </c>
      <c r="G304" s="3262">
        <v>0.15</v>
      </c>
    </row>
    <row r="305" spans="1:7">
      <c r="A305" s="3271" t="s">
        <v>306</v>
      </c>
      <c r="B305" s="3260" t="s">
        <v>2966</v>
      </c>
      <c r="C305" s="3261">
        <v>0.15</v>
      </c>
      <c r="D305" s="3261">
        <v>0.15</v>
      </c>
      <c r="E305" s="3261">
        <v>0.15</v>
      </c>
      <c r="F305" s="3261">
        <v>0.111</v>
      </c>
      <c r="G305" s="3262">
        <v>0.15</v>
      </c>
    </row>
    <row r="306" spans="1:7">
      <c r="A306" s="3271" t="s">
        <v>306</v>
      </c>
      <c r="B306" s="3260" t="s">
        <v>2973</v>
      </c>
      <c r="C306" s="3261">
        <v>0.15</v>
      </c>
      <c r="D306" s="3261">
        <v>0.15</v>
      </c>
      <c r="E306" s="3261">
        <v>0.15</v>
      </c>
      <c r="F306" s="3261">
        <v>0.126</v>
      </c>
      <c r="G306" s="3262">
        <v>0.15</v>
      </c>
    </row>
    <row r="307" spans="1:7">
      <c r="A307" s="3271" t="s">
        <v>306</v>
      </c>
      <c r="B307" s="3260" t="s">
        <v>2978</v>
      </c>
      <c r="C307" s="3261">
        <v>0.15</v>
      </c>
      <c r="D307" s="3261">
        <v>0.15</v>
      </c>
      <c r="E307" s="3261">
        <v>0.15</v>
      </c>
      <c r="F307" s="3261">
        <v>0.12</v>
      </c>
      <c r="G307" s="3262">
        <v>0.15</v>
      </c>
    </row>
    <row r="308" spans="1:7">
      <c r="A308" s="3271" t="s">
        <v>306</v>
      </c>
      <c r="B308" s="3260" t="s">
        <v>2984</v>
      </c>
      <c r="C308" s="3261">
        <v>0.15</v>
      </c>
      <c r="D308" s="3261">
        <v>0.15</v>
      </c>
      <c r="E308" s="3261">
        <v>0.15</v>
      </c>
      <c r="F308" s="3261">
        <v>0.13</v>
      </c>
      <c r="G308" s="3262">
        <v>0.15</v>
      </c>
    </row>
    <row r="309" spans="1:7">
      <c r="A309" s="3271" t="s">
        <v>306</v>
      </c>
      <c r="B309" s="3260" t="s">
        <v>2988</v>
      </c>
      <c r="C309" s="3261">
        <v>0.15</v>
      </c>
      <c r="D309" s="3261">
        <v>0.15</v>
      </c>
      <c r="E309" s="3261">
        <v>0.15</v>
      </c>
      <c r="F309" s="3261">
        <v>0.14099999999999999</v>
      </c>
      <c r="G309" s="3262">
        <v>0.15</v>
      </c>
    </row>
    <row r="310" spans="1:7">
      <c r="A310" s="3271" t="s">
        <v>306</v>
      </c>
      <c r="B310" s="3260" t="s">
        <v>2993</v>
      </c>
      <c r="C310" s="3261">
        <v>0.15</v>
      </c>
      <c r="D310" s="3261">
        <v>0.15</v>
      </c>
      <c r="E310" s="3261">
        <v>0.15</v>
      </c>
      <c r="F310" s="3261">
        <v>0.15</v>
      </c>
      <c r="G310" s="3262">
        <v>0.15</v>
      </c>
    </row>
    <row r="311" spans="1:7">
      <c r="A311" s="3271" t="s">
        <v>306</v>
      </c>
      <c r="B311" s="3260" t="s">
        <v>2998</v>
      </c>
      <c r="C311" s="3261">
        <v>0.13200000000000001</v>
      </c>
      <c r="D311" s="3261">
        <v>0.13300000000000001</v>
      </c>
      <c r="E311" s="3261">
        <v>0.14499999999999999</v>
      </c>
      <c r="F311" s="3261">
        <v>0.14199999999999999</v>
      </c>
      <c r="G311" s="3262">
        <v>0.14000000000000001</v>
      </c>
    </row>
    <row r="312" spans="1:7">
      <c r="A312" s="3271" t="s">
        <v>306</v>
      </c>
      <c r="B312" s="3260" t="s">
        <v>3003</v>
      </c>
      <c r="C312" s="3261">
        <v>0.13800000000000001</v>
      </c>
      <c r="D312" s="3261">
        <v>0.14000000000000001</v>
      </c>
      <c r="E312" s="3261">
        <v>0.14599999999999999</v>
      </c>
      <c r="F312" s="3261">
        <v>0.14899999999999999</v>
      </c>
      <c r="G312" s="3262">
        <v>0.14199999999999999</v>
      </c>
    </row>
    <row r="313" spans="1:7">
      <c r="A313" s="3271" t="s">
        <v>306</v>
      </c>
      <c r="B313" s="3260" t="s">
        <v>3008</v>
      </c>
      <c r="C313" s="3261">
        <v>0.125</v>
      </c>
      <c r="D313" s="3261">
        <v>0.127</v>
      </c>
      <c r="E313" s="3261">
        <v>0.14399999999999999</v>
      </c>
      <c r="F313" s="3261">
        <v>0.115</v>
      </c>
      <c r="G313" s="3262">
        <v>0.13600000000000001</v>
      </c>
    </row>
    <row r="314" spans="1:7">
      <c r="A314" s="3271" t="s">
        <v>306</v>
      </c>
      <c r="B314" s="3260" t="s">
        <v>3217</v>
      </c>
      <c r="C314" s="3277"/>
      <c r="D314" s="3277"/>
      <c r="E314" s="3277"/>
      <c r="F314" s="3261">
        <v>0.05</v>
      </c>
      <c r="G314" s="3278"/>
    </row>
    <row r="315" spans="1:7">
      <c r="A315" s="3271" t="s">
        <v>306</v>
      </c>
      <c r="B315" s="3260" t="s">
        <v>3218</v>
      </c>
      <c r="C315" s="3277"/>
      <c r="D315" s="3277"/>
      <c r="E315" s="3277"/>
      <c r="F315" s="3261">
        <v>0.05</v>
      </c>
      <c r="G315" s="3278"/>
    </row>
    <row r="316" spans="1:7">
      <c r="A316" s="3271" t="s">
        <v>306</v>
      </c>
      <c r="B316" s="3260" t="s">
        <v>3219</v>
      </c>
      <c r="C316" s="3272"/>
      <c r="D316" s="3272"/>
      <c r="E316" s="3272"/>
      <c r="F316" s="3261">
        <v>0.05</v>
      </c>
      <c r="G316" s="3278"/>
    </row>
    <row r="317" spans="1:7">
      <c r="A317" s="3271" t="s">
        <v>306</v>
      </c>
      <c r="B317" s="3260" t="s">
        <v>3220</v>
      </c>
      <c r="C317" s="3272"/>
      <c r="D317" s="3272"/>
      <c r="E317" s="3272"/>
      <c r="F317" s="3261">
        <v>0.05</v>
      </c>
      <c r="G317" s="3278"/>
    </row>
    <row r="318" spans="1:7">
      <c r="A318" s="3271" t="s">
        <v>306</v>
      </c>
      <c r="B318" s="3260" t="s">
        <v>3221</v>
      </c>
      <c r="C318" s="3272"/>
      <c r="D318" s="3272"/>
      <c r="E318" s="3272"/>
      <c r="F318" s="3261">
        <v>0.05</v>
      </c>
      <c r="G318" s="3278"/>
    </row>
    <row r="319" spans="1:7">
      <c r="A319" s="3271" t="s">
        <v>306</v>
      </c>
      <c r="B319" s="3260" t="s">
        <v>3222</v>
      </c>
      <c r="C319" s="3272"/>
      <c r="D319" s="3272"/>
      <c r="E319" s="3272"/>
      <c r="F319" s="3261">
        <v>0.05</v>
      </c>
      <c r="G319" s="3278"/>
    </row>
    <row r="320" spans="1:7">
      <c r="A320" s="3271" t="s">
        <v>306</v>
      </c>
      <c r="B320" s="3260" t="s">
        <v>3223</v>
      </c>
      <c r="C320" s="3272"/>
      <c r="D320" s="3272"/>
      <c r="E320" s="3272"/>
      <c r="F320" s="3261">
        <v>0.05</v>
      </c>
      <c r="G320" s="3278"/>
    </row>
    <row r="321" spans="1:7">
      <c r="A321" s="3271" t="s">
        <v>306</v>
      </c>
      <c r="B321" s="3260" t="s">
        <v>3224</v>
      </c>
      <c r="C321" s="3272"/>
      <c r="D321" s="3272"/>
      <c r="E321" s="3272"/>
      <c r="F321" s="3261">
        <v>0.05</v>
      </c>
      <c r="G321" s="3278"/>
    </row>
    <row r="322" spans="1:7">
      <c r="A322" s="3271" t="s">
        <v>306</v>
      </c>
      <c r="B322" s="3260" t="s">
        <v>3225</v>
      </c>
      <c r="C322" s="3272"/>
      <c r="D322" s="3272"/>
      <c r="E322" s="3272"/>
      <c r="F322" s="3261">
        <v>0.05</v>
      </c>
      <c r="G322" s="3278"/>
    </row>
    <row r="323" spans="1:7">
      <c r="A323" s="3271" t="s">
        <v>306</v>
      </c>
      <c r="B323" s="3260" t="s">
        <v>3226</v>
      </c>
      <c r="C323" s="3272"/>
      <c r="D323" s="3272"/>
      <c r="E323" s="3272"/>
      <c r="F323" s="3261">
        <v>0.05</v>
      </c>
      <c r="G323" s="3278"/>
    </row>
    <row r="324" spans="1:7">
      <c r="A324" s="3271" t="s">
        <v>306</v>
      </c>
      <c r="B324" s="3260" t="s">
        <v>3227</v>
      </c>
      <c r="C324" s="3272"/>
      <c r="D324" s="3272"/>
      <c r="E324" s="3272"/>
      <c r="F324" s="3261">
        <v>0.05</v>
      </c>
      <c r="G324" s="3278"/>
    </row>
    <row r="325" spans="1:7">
      <c r="A325" s="3271" t="s">
        <v>306</v>
      </c>
      <c r="B325" s="3260" t="s">
        <v>3228</v>
      </c>
      <c r="C325" s="3272"/>
      <c r="D325" s="3272"/>
      <c r="E325" s="3272"/>
      <c r="F325" s="3261">
        <v>0.05</v>
      </c>
      <c r="G325" s="3278"/>
    </row>
    <row r="326" spans="1:7" ht="14.25" thickBot="1">
      <c r="A326" s="3274" t="s">
        <v>306</v>
      </c>
      <c r="B326" s="3264" t="s">
        <v>3229</v>
      </c>
      <c r="C326" s="3266"/>
      <c r="D326" s="3266"/>
      <c r="E326" s="3266"/>
      <c r="F326" s="3265">
        <v>0.05</v>
      </c>
      <c r="G326" s="3279"/>
    </row>
    <row r="327" spans="1:7">
      <c r="A327" s="3270" t="s">
        <v>307</v>
      </c>
      <c r="B327" s="3256" t="s">
        <v>2861</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2873</v>
      </c>
      <c r="C329" s="3261">
        <v>0.15</v>
      </c>
      <c r="D329" s="3261">
        <v>0.15</v>
      </c>
      <c r="E329" s="3261">
        <v>0.15</v>
      </c>
      <c r="F329" s="3261">
        <v>0.15</v>
      </c>
      <c r="G329" s="3262">
        <v>0.15</v>
      </c>
    </row>
    <row r="330" spans="1:7">
      <c r="A330" s="3271" t="s">
        <v>307</v>
      </c>
      <c r="B330" s="3260" t="s">
        <v>2877</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2885</v>
      </c>
      <c r="C332" s="3261">
        <v>0.15</v>
      </c>
      <c r="D332" s="3261">
        <v>0.15</v>
      </c>
      <c r="E332" s="3261">
        <v>0.15</v>
      </c>
      <c r="F332" s="3261">
        <v>0.15</v>
      </c>
      <c r="G332" s="3262">
        <v>0.15</v>
      </c>
    </row>
    <row r="333" spans="1:7">
      <c r="A333" s="3271" t="s">
        <v>307</v>
      </c>
      <c r="B333" s="3260" t="s">
        <v>2889</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2895</v>
      </c>
      <c r="C336" s="3261">
        <v>0.15</v>
      </c>
      <c r="D336" s="3261">
        <v>0.15</v>
      </c>
      <c r="E336" s="3261">
        <v>0.15</v>
      </c>
      <c r="F336" s="3261">
        <v>0.14199999999999999</v>
      </c>
      <c r="G336" s="3262">
        <v>0.15</v>
      </c>
    </row>
    <row r="337" spans="1:7">
      <c r="A337" s="3271" t="s">
        <v>307</v>
      </c>
      <c r="B337" s="3260" t="s">
        <v>2900</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2907</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2912</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2920</v>
      </c>
      <c r="C345" s="3261">
        <v>0.15</v>
      </c>
      <c r="D345" s="3261">
        <v>0.15</v>
      </c>
      <c r="E345" s="3261">
        <v>0.15</v>
      </c>
      <c r="F345" s="3261">
        <v>0.13800000000000001</v>
      </c>
      <c r="G345" s="3262">
        <v>0.15</v>
      </c>
    </row>
    <row r="346" spans="1:7">
      <c r="A346" s="3271" t="s">
        <v>307</v>
      </c>
      <c r="B346" s="3260" t="s">
        <v>2922</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2929</v>
      </c>
      <c r="C348" s="3261">
        <v>0.15</v>
      </c>
      <c r="D348" s="3261">
        <v>0.15</v>
      </c>
      <c r="E348" s="3261">
        <v>0.15</v>
      </c>
      <c r="F348" s="3261">
        <v>0.14399999999999999</v>
      </c>
      <c r="G348" s="3262">
        <v>0.15</v>
      </c>
    </row>
    <row r="349" spans="1:7">
      <c r="A349" s="3271" t="s">
        <v>307</v>
      </c>
      <c r="B349" s="3260" t="s">
        <v>2934</v>
      </c>
      <c r="C349" s="3261">
        <v>0.15</v>
      </c>
      <c r="D349" s="3261">
        <v>0.15</v>
      </c>
      <c r="E349" s="3261">
        <v>0.15</v>
      </c>
      <c r="F349" s="3261">
        <v>0.15</v>
      </c>
      <c r="G349" s="3262">
        <v>0.15</v>
      </c>
    </row>
    <row r="350" spans="1:7">
      <c r="A350" s="3271" t="s">
        <v>307</v>
      </c>
      <c r="B350" s="3260" t="s">
        <v>2937</v>
      </c>
      <c r="C350" s="3261">
        <v>0.15</v>
      </c>
      <c r="D350" s="3261">
        <v>0.15</v>
      </c>
      <c r="E350" s="3261">
        <v>0.15</v>
      </c>
      <c r="F350" s="3261">
        <v>0.14699999999999999</v>
      </c>
      <c r="G350" s="3262">
        <v>0.15</v>
      </c>
    </row>
    <row r="351" spans="1:7">
      <c r="A351" s="3271" t="s">
        <v>307</v>
      </c>
      <c r="B351" s="3260" t="s">
        <v>2942</v>
      </c>
      <c r="C351" s="3261">
        <v>0.15</v>
      </c>
      <c r="D351" s="3261">
        <v>0.15</v>
      </c>
      <c r="E351" s="3261">
        <v>0.15</v>
      </c>
      <c r="F351" s="3261">
        <v>0.13</v>
      </c>
      <c r="G351" s="3262">
        <v>0.15</v>
      </c>
    </row>
    <row r="352" spans="1:7">
      <c r="A352" s="3271" t="s">
        <v>307</v>
      </c>
      <c r="B352" s="3260" t="s">
        <v>2947</v>
      </c>
      <c r="C352" s="3261">
        <v>0.15</v>
      </c>
      <c r="D352" s="3261">
        <v>0.15</v>
      </c>
      <c r="E352" s="3261">
        <v>0.15</v>
      </c>
      <c r="F352" s="3261">
        <v>0.14599999999999999</v>
      </c>
      <c r="G352" s="3262">
        <v>0.15</v>
      </c>
    </row>
    <row r="353" spans="1:7">
      <c r="A353" s="3271" t="s">
        <v>307</v>
      </c>
      <c r="B353" s="3260" t="s">
        <v>2954</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2967</v>
      </c>
      <c r="C355" s="3261">
        <v>0.15</v>
      </c>
      <c r="D355" s="3261">
        <v>0.15</v>
      </c>
      <c r="E355" s="3261">
        <v>0.15</v>
      </c>
      <c r="F355" s="3261">
        <v>0.15</v>
      </c>
      <c r="G355" s="3262">
        <v>0.15</v>
      </c>
    </row>
    <row r="356" spans="1:7">
      <c r="A356" s="3271" t="s">
        <v>307</v>
      </c>
      <c r="B356" s="3260" t="s">
        <v>2974</v>
      </c>
      <c r="C356" s="3261">
        <v>0.15</v>
      </c>
      <c r="D356" s="3261">
        <v>0.15</v>
      </c>
      <c r="E356" s="3261">
        <v>0.15</v>
      </c>
      <c r="F356" s="3261">
        <v>0.15</v>
      </c>
      <c r="G356" s="3262">
        <v>0.15</v>
      </c>
    </row>
    <row r="357" spans="1:7" ht="14.25" thickBot="1">
      <c r="A357" s="3274" t="s">
        <v>307</v>
      </c>
      <c r="B357" s="3264" t="s">
        <v>2979</v>
      </c>
      <c r="C357" s="3265">
        <v>0.126</v>
      </c>
      <c r="D357" s="3265">
        <v>0.127</v>
      </c>
      <c r="E357" s="3265">
        <v>0.14299999999999999</v>
      </c>
      <c r="F357" s="3265">
        <v>0.125</v>
      </c>
      <c r="G357" s="3267">
        <v>0.129</v>
      </c>
    </row>
    <row r="358" spans="1:7">
      <c r="A358" s="3270" t="s">
        <v>2848</v>
      </c>
      <c r="B358" s="3256" t="s">
        <v>2862</v>
      </c>
      <c r="C358" s="3257">
        <v>0.15</v>
      </c>
      <c r="D358" s="3257">
        <v>0.15</v>
      </c>
      <c r="E358" s="3257">
        <v>0.15</v>
      </c>
      <c r="F358" s="3257">
        <v>0.15</v>
      </c>
      <c r="G358" s="3258">
        <v>0.15</v>
      </c>
    </row>
    <row r="359" spans="1:7">
      <c r="A359" s="3271" t="s">
        <v>2848</v>
      </c>
      <c r="B359" s="3260" t="s">
        <v>2868</v>
      </c>
      <c r="C359" s="3261">
        <v>0.1</v>
      </c>
      <c r="D359" s="3261">
        <v>0.1</v>
      </c>
      <c r="E359" s="3261">
        <v>0.1</v>
      </c>
      <c r="F359" s="3261">
        <v>0.1</v>
      </c>
      <c r="G359" s="3262">
        <v>0.1</v>
      </c>
    </row>
    <row r="360" spans="1:7">
      <c r="A360" s="3271" t="s">
        <v>2848</v>
      </c>
      <c r="B360" s="3260" t="s">
        <v>2874</v>
      </c>
      <c r="C360" s="3261">
        <v>0.15</v>
      </c>
      <c r="D360" s="3261">
        <v>0.15</v>
      </c>
      <c r="E360" s="3261">
        <v>0.15</v>
      </c>
      <c r="F360" s="3261">
        <v>0.14899999999999999</v>
      </c>
      <c r="G360" s="3262">
        <v>0.15</v>
      </c>
    </row>
    <row r="361" spans="1:7">
      <c r="A361" s="3271" t="s">
        <v>2848</v>
      </c>
      <c r="B361" s="3260" t="s">
        <v>153</v>
      </c>
      <c r="C361" s="3261">
        <v>0.15</v>
      </c>
      <c r="D361" s="3261">
        <v>0.15</v>
      </c>
      <c r="E361" s="3261">
        <v>0.15</v>
      </c>
      <c r="F361" s="3261">
        <v>0.115</v>
      </c>
      <c r="G361" s="3262">
        <v>0.15</v>
      </c>
    </row>
    <row r="362" spans="1:7">
      <c r="A362" s="3271" t="s">
        <v>2848</v>
      </c>
      <c r="B362" s="3260" t="s">
        <v>2881</v>
      </c>
      <c r="C362" s="3261">
        <v>0.15</v>
      </c>
      <c r="D362" s="3261">
        <v>0.15</v>
      </c>
      <c r="E362" s="3261">
        <v>0.15</v>
      </c>
      <c r="F362" s="3261">
        <v>0.106</v>
      </c>
      <c r="G362" s="3262">
        <v>0.15</v>
      </c>
    </row>
    <row r="363" spans="1:7">
      <c r="A363" s="3271" t="s">
        <v>2848</v>
      </c>
      <c r="B363" s="3260" t="s">
        <v>2886</v>
      </c>
      <c r="C363" s="3261">
        <v>0.15</v>
      </c>
      <c r="D363" s="3261">
        <v>0.15</v>
      </c>
      <c r="E363" s="3261">
        <v>0.15</v>
      </c>
      <c r="F363" s="3261">
        <v>0.14699999999999999</v>
      </c>
      <c r="G363" s="3262">
        <v>0.15</v>
      </c>
    </row>
    <row r="364" spans="1:7">
      <c r="A364" s="3271" t="s">
        <v>2848</v>
      </c>
      <c r="B364" s="3260" t="s">
        <v>2890</v>
      </c>
      <c r="C364" s="3261">
        <v>0.15</v>
      </c>
      <c r="D364" s="3261">
        <v>0.15</v>
      </c>
      <c r="E364" s="3261">
        <v>0.15</v>
      </c>
      <c r="F364" s="3261">
        <v>0.14799999999999999</v>
      </c>
      <c r="G364" s="3262">
        <v>0.15</v>
      </c>
    </row>
    <row r="365" spans="1:7">
      <c r="A365" s="3271" t="s">
        <v>2848</v>
      </c>
      <c r="B365" s="3260" t="s">
        <v>200</v>
      </c>
      <c r="C365" s="3261">
        <v>0.15</v>
      </c>
      <c r="D365" s="3261">
        <v>0.15</v>
      </c>
      <c r="E365" s="3261">
        <v>0.15</v>
      </c>
      <c r="F365" s="3261">
        <v>0.15</v>
      </c>
      <c r="G365" s="3262">
        <v>0.15</v>
      </c>
    </row>
    <row r="366" spans="1:7">
      <c r="A366" s="3271" t="s">
        <v>2848</v>
      </c>
      <c r="B366" s="3260" t="s">
        <v>2893</v>
      </c>
      <c r="C366" s="3261">
        <v>0.15</v>
      </c>
      <c r="D366" s="3261">
        <v>0.15</v>
      </c>
      <c r="E366" s="3261">
        <v>0.15</v>
      </c>
      <c r="F366" s="3261">
        <v>0.15</v>
      </c>
      <c r="G366" s="3262">
        <v>0.15</v>
      </c>
    </row>
    <row r="367" spans="1:7">
      <c r="A367" s="3271" t="s">
        <v>2848</v>
      </c>
      <c r="B367" s="3260" t="s">
        <v>2896</v>
      </c>
      <c r="C367" s="3261">
        <v>0.15</v>
      </c>
      <c r="D367" s="3261">
        <v>0.15</v>
      </c>
      <c r="E367" s="3261">
        <v>0.15</v>
      </c>
      <c r="F367" s="3261">
        <v>0.14699999999999999</v>
      </c>
      <c r="G367" s="3262">
        <v>0.15</v>
      </c>
    </row>
    <row r="368" spans="1:7">
      <c r="A368" s="3271" t="s">
        <v>2848</v>
      </c>
      <c r="B368" s="3260" t="s">
        <v>2901</v>
      </c>
      <c r="C368" s="3261">
        <v>0.15</v>
      </c>
      <c r="D368" s="3261">
        <v>0.15</v>
      </c>
      <c r="E368" s="3261">
        <v>0.15</v>
      </c>
      <c r="F368" s="3261">
        <v>0.13600000000000001</v>
      </c>
      <c r="G368" s="3262">
        <v>0.15</v>
      </c>
    </row>
    <row r="369" spans="1:7">
      <c r="A369" s="3271" t="s">
        <v>2848</v>
      </c>
      <c r="B369" s="3260" t="s">
        <v>214</v>
      </c>
      <c r="C369" s="3261">
        <v>0.15</v>
      </c>
      <c r="D369" s="3261">
        <v>0.15</v>
      </c>
      <c r="E369" s="3261">
        <v>0.15</v>
      </c>
      <c r="F369" s="3261">
        <v>0.14399999999999999</v>
      </c>
      <c r="G369" s="3262">
        <v>0.15</v>
      </c>
    </row>
    <row r="370" spans="1:7">
      <c r="A370" s="3271" t="s">
        <v>2848</v>
      </c>
      <c r="B370" s="3260" t="s">
        <v>221</v>
      </c>
      <c r="C370" s="3261">
        <v>0.15</v>
      </c>
      <c r="D370" s="3261">
        <v>0.15</v>
      </c>
      <c r="E370" s="3261">
        <v>0.15</v>
      </c>
      <c r="F370" s="3261">
        <v>0.14599999999999999</v>
      </c>
      <c r="G370" s="3262">
        <v>0.15</v>
      </c>
    </row>
    <row r="371" spans="1:7">
      <c r="A371" s="3271" t="s">
        <v>2848</v>
      </c>
      <c r="B371" s="3260" t="s">
        <v>229</v>
      </c>
      <c r="C371" s="3261">
        <v>0.15</v>
      </c>
      <c r="D371" s="3261">
        <v>0.15</v>
      </c>
      <c r="E371" s="3261">
        <v>0.15</v>
      </c>
      <c r="F371" s="3261">
        <v>0.12</v>
      </c>
      <c r="G371" s="3262">
        <v>0.15</v>
      </c>
    </row>
    <row r="372" spans="1:7">
      <c r="A372" s="3271" t="s">
        <v>2848</v>
      </c>
      <c r="B372" s="3260" t="s">
        <v>2909</v>
      </c>
      <c r="C372" s="3261">
        <v>0.15</v>
      </c>
      <c r="D372" s="3261">
        <v>0.15</v>
      </c>
      <c r="E372" s="3261">
        <v>0.15</v>
      </c>
      <c r="F372" s="3261">
        <v>0.14299999999999999</v>
      </c>
      <c r="G372" s="3262">
        <v>0.15</v>
      </c>
    </row>
    <row r="373" spans="1:7">
      <c r="A373" s="3271" t="s">
        <v>2848</v>
      </c>
      <c r="B373" s="3260" t="s">
        <v>258</v>
      </c>
      <c r="C373" s="3261">
        <v>0.15</v>
      </c>
      <c r="D373" s="3261">
        <v>0.15</v>
      </c>
      <c r="E373" s="3261">
        <v>0.15</v>
      </c>
      <c r="F373" s="3261">
        <v>0.14599999999999999</v>
      </c>
      <c r="G373" s="3262">
        <v>0.15</v>
      </c>
    </row>
    <row r="374" spans="1:7">
      <c r="A374" s="3271" t="s">
        <v>2848</v>
      </c>
      <c r="B374" s="3260" t="s">
        <v>266</v>
      </c>
      <c r="C374" s="3261">
        <v>0.15</v>
      </c>
      <c r="D374" s="3261">
        <v>0.15</v>
      </c>
      <c r="E374" s="3261">
        <v>0.15</v>
      </c>
      <c r="F374" s="3261">
        <v>0.14399999999999999</v>
      </c>
      <c r="G374" s="3262">
        <v>0.15</v>
      </c>
    </row>
    <row r="375" spans="1:7">
      <c r="A375" s="3271" t="s">
        <v>2848</v>
      </c>
      <c r="B375" s="3260" t="s">
        <v>2917</v>
      </c>
      <c r="C375" s="3261">
        <v>0.15</v>
      </c>
      <c r="D375" s="3261">
        <v>0.15</v>
      </c>
      <c r="E375" s="3261">
        <v>0.15</v>
      </c>
      <c r="F375" s="3261">
        <v>0.13</v>
      </c>
      <c r="G375" s="3262">
        <v>0.15</v>
      </c>
    </row>
    <row r="376" spans="1:7">
      <c r="A376" s="3271" t="s">
        <v>2848</v>
      </c>
      <c r="B376" s="3260" t="s">
        <v>277</v>
      </c>
      <c r="C376" s="3261">
        <v>0.15</v>
      </c>
      <c r="D376" s="3261">
        <v>0.15</v>
      </c>
      <c r="E376" s="3261">
        <v>0.15</v>
      </c>
      <c r="F376" s="3261">
        <v>0.14199999999999999</v>
      </c>
      <c r="G376" s="3262">
        <v>0.15</v>
      </c>
    </row>
    <row r="377" spans="1:7" ht="14.25" thickBot="1">
      <c r="A377" s="3274" t="s">
        <v>2848</v>
      </c>
      <c r="B377" s="3264" t="s">
        <v>2923</v>
      </c>
      <c r="C377" s="3265">
        <v>0.15</v>
      </c>
      <c r="D377" s="3265">
        <v>0.15</v>
      </c>
      <c r="E377" s="3265">
        <v>0.15</v>
      </c>
      <c r="F377" s="3265">
        <v>0.14000000000000001</v>
      </c>
      <c r="G377" s="3267">
        <v>0.15</v>
      </c>
    </row>
    <row r="378" spans="1:7">
      <c r="A378" s="3270" t="s">
        <v>2849</v>
      </c>
      <c r="B378" s="3256" t="s">
        <v>2863</v>
      </c>
      <c r="C378" s="3257">
        <v>0.15</v>
      </c>
      <c r="D378" s="3257">
        <v>0.15</v>
      </c>
      <c r="E378" s="3257">
        <v>0.15</v>
      </c>
      <c r="F378" s="3257">
        <v>0.107</v>
      </c>
      <c r="G378" s="3258">
        <v>0.15</v>
      </c>
    </row>
    <row r="379" spans="1:7">
      <c r="A379" s="3271" t="s">
        <v>2849</v>
      </c>
      <c r="B379" s="3260" t="s">
        <v>2869</v>
      </c>
      <c r="C379" s="3261">
        <v>0.15</v>
      </c>
      <c r="D379" s="3261">
        <v>0.15</v>
      </c>
      <c r="E379" s="3261">
        <v>0.15</v>
      </c>
      <c r="F379" s="3261">
        <v>0.115</v>
      </c>
      <c r="G379" s="3262">
        <v>0.14899999999999999</v>
      </c>
    </row>
    <row r="380" spans="1:7">
      <c r="A380" s="3271" t="s">
        <v>2849</v>
      </c>
      <c r="B380" s="3260" t="s">
        <v>2875</v>
      </c>
      <c r="C380" s="3261">
        <v>0.15</v>
      </c>
      <c r="D380" s="3261">
        <v>0.15</v>
      </c>
      <c r="E380" s="3261">
        <v>0.15</v>
      </c>
      <c r="F380" s="3261">
        <v>0.1</v>
      </c>
      <c r="G380" s="3262">
        <v>0.14799999999999999</v>
      </c>
    </row>
    <row r="381" spans="1:7">
      <c r="A381" s="3271" t="s">
        <v>2849</v>
      </c>
      <c r="B381" s="3260" t="s">
        <v>2878</v>
      </c>
      <c r="C381" s="3261">
        <v>0.15</v>
      </c>
      <c r="D381" s="3261">
        <v>0.15</v>
      </c>
      <c r="E381" s="3261">
        <v>0.15</v>
      </c>
      <c r="F381" s="3261">
        <v>0.126</v>
      </c>
      <c r="G381" s="3262">
        <v>0.15</v>
      </c>
    </row>
    <row r="382" spans="1:7">
      <c r="A382" s="3271" t="s">
        <v>2849</v>
      </c>
      <c r="B382" s="3260" t="s">
        <v>2882</v>
      </c>
      <c r="C382" s="3261">
        <v>0.15</v>
      </c>
      <c r="D382" s="3261">
        <v>0.15</v>
      </c>
      <c r="E382" s="3261">
        <v>0.15</v>
      </c>
      <c r="F382" s="3261">
        <v>0.15</v>
      </c>
      <c r="G382" s="3262">
        <v>0.15</v>
      </c>
    </row>
    <row r="383" spans="1:7">
      <c r="A383" s="3271" t="s">
        <v>2849</v>
      </c>
      <c r="B383" s="3260" t="s">
        <v>2887</v>
      </c>
      <c r="C383" s="3261">
        <v>0.15</v>
      </c>
      <c r="D383" s="3261">
        <v>0.15</v>
      </c>
      <c r="E383" s="3261">
        <v>0.15</v>
      </c>
      <c r="F383" s="3261">
        <v>0.14699999999999999</v>
      </c>
      <c r="G383" s="3262">
        <v>0.15</v>
      </c>
    </row>
    <row r="384" spans="1:7" ht="14.25" thickBot="1">
      <c r="A384" s="3281" t="s">
        <v>2849</v>
      </c>
      <c r="B384" s="3282" t="s">
        <v>2891</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70" t="s">
        <v>3230</v>
      </c>
      <c r="B1" s="3770"/>
      <c r="C1" s="3770"/>
      <c r="D1" s="3770"/>
      <c r="E1" s="3770"/>
      <c r="F1" s="3771"/>
    </row>
    <row r="2" spans="1:6">
      <c r="A2" s="3287" t="s">
        <v>3231</v>
      </c>
      <c r="B2" s="3288"/>
      <c r="C2" s="3288"/>
      <c r="D2" s="3288"/>
      <c r="E2" s="3288"/>
      <c r="F2" s="3288"/>
    </row>
    <row r="3" spans="1:6">
      <c r="A3" s="3287" t="s">
        <v>3232</v>
      </c>
      <c r="B3" s="3288"/>
      <c r="C3" s="3288"/>
      <c r="D3" s="3288"/>
      <c r="E3" s="3288"/>
      <c r="F3" s="3289" t="s">
        <v>3233</v>
      </c>
    </row>
    <row r="4" spans="1:6">
      <c r="A4" s="3290" t="s">
        <v>672</v>
      </c>
      <c r="B4" s="3290" t="s">
        <v>673</v>
      </c>
      <c r="C4" s="3290" t="s">
        <v>21</v>
      </c>
      <c r="D4" s="3290" t="s">
        <v>674</v>
      </c>
      <c r="E4" s="3290" t="s">
        <v>3</v>
      </c>
      <c r="F4" s="3290" t="s">
        <v>3234</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7">
        <f>基准地价修正!G23</f>
        <v>45491</v>
      </c>
      <c r="B1" s="3206" t="s">
        <v>3367</v>
      </c>
      <c r="C1" s="3207"/>
      <c r="D1" s="3207"/>
      <c r="E1" s="3207"/>
      <c r="F1" s="3207"/>
      <c r="G1" s="3207"/>
      <c r="H1" s="3207"/>
      <c r="I1" s="3207"/>
      <c r="J1" s="3161"/>
      <c r="K1" s="3207" t="s">
        <v>454</v>
      </c>
      <c r="L1" s="3207"/>
      <c r="M1" s="3207"/>
      <c r="N1" s="3207"/>
      <c r="O1" s="3207"/>
      <c r="P1" s="3207"/>
      <c r="Q1" s="3161"/>
      <c r="R1" s="3772" t="s">
        <v>456</v>
      </c>
      <c r="S1" s="3773"/>
      <c r="T1" s="3773"/>
      <c r="U1" s="3773"/>
      <c r="V1" s="3773"/>
      <c r="W1" s="3773"/>
      <c r="X1" s="3161"/>
      <c r="Y1" s="3772" t="s">
        <v>457</v>
      </c>
      <c r="Z1" s="3773"/>
      <c r="AA1" s="3773"/>
      <c r="AB1" s="3773"/>
      <c r="AC1" s="3773"/>
      <c r="AD1" s="3773"/>
    </row>
    <row r="2" spans="1:30" s="3139" customFormat="1" ht="14.25" thickBot="1">
      <c r="B2" s="3140"/>
      <c r="C2" s="3141"/>
      <c r="D2" s="3142" t="s">
        <v>2808</v>
      </c>
      <c r="E2" s="3143" t="s">
        <v>2809</v>
      </c>
      <c r="F2" s="3143" t="s">
        <v>2810</v>
      </c>
      <c r="G2" s="3143" t="s">
        <v>2811</v>
      </c>
      <c r="H2" s="3143" t="s">
        <v>2812</v>
      </c>
      <c r="I2" s="3143" t="s">
        <v>2629</v>
      </c>
      <c r="J2" s="3144"/>
      <c r="K2" s="3142" t="s">
        <v>2808</v>
      </c>
      <c r="L2" s="3143" t="s">
        <v>2809</v>
      </c>
      <c r="M2" s="3143" t="s">
        <v>2810</v>
      </c>
      <c r="N2" s="3143" t="s">
        <v>2811</v>
      </c>
      <c r="O2" s="3143" t="s">
        <v>2813</v>
      </c>
      <c r="P2" s="3143" t="s">
        <v>2629</v>
      </c>
      <c r="Q2" s="3144"/>
      <c r="R2" s="3142" t="s">
        <v>2808</v>
      </c>
      <c r="S2" s="3143" t="s">
        <v>2809</v>
      </c>
      <c r="T2" s="3143" t="s">
        <v>2810</v>
      </c>
      <c r="U2" s="3143" t="s">
        <v>2814</v>
      </c>
      <c r="V2" s="3143" t="s">
        <v>2815</v>
      </c>
      <c r="W2" s="3143" t="s">
        <v>2629</v>
      </c>
      <c r="X2" s="3144"/>
      <c r="Y2" s="3142" t="s">
        <v>2808</v>
      </c>
      <c r="Z2" s="3143" t="s">
        <v>2809</v>
      </c>
      <c r="AA2" s="3143" t="s">
        <v>2810</v>
      </c>
      <c r="AB2" s="3143" t="s">
        <v>2816</v>
      </c>
      <c r="AC2" s="3143" t="s">
        <v>2815</v>
      </c>
      <c r="AD2" s="3143" t="s">
        <v>2629</v>
      </c>
    </row>
    <row r="3" spans="1:30" s="3157" customFormat="1" ht="12.75">
      <c r="A3" s="3145" t="s">
        <v>2817</v>
      </c>
      <c r="B3" s="3146"/>
      <c r="C3" s="3147"/>
      <c r="D3" s="3147">
        <f>ROUND(AVERAGEIF(D4:D19,"&lt;&gt;0"),2)</f>
        <v>0.68</v>
      </c>
      <c r="E3" s="3147">
        <f t="shared" ref="E3:H3" si="0">ROUND(AVERAGEIF(E4:E19,"&lt;&gt;0"),2)</f>
        <v>0.4</v>
      </c>
      <c r="F3" s="3147">
        <f t="shared" si="0"/>
        <v>0.17</v>
      </c>
      <c r="G3" s="3147">
        <f t="shared" si="0"/>
        <v>0.74</v>
      </c>
      <c r="H3" s="3147">
        <f t="shared" si="0"/>
        <v>0.62</v>
      </c>
      <c r="I3" s="3147">
        <f>F3</f>
        <v>0.17</v>
      </c>
      <c r="J3" s="3148"/>
      <c r="K3" s="3149">
        <f>ROUND(AVERAGEIF(K4:K19,"&lt;&gt;0"),4)</f>
        <v>6.7999999999999996E-3</v>
      </c>
      <c r="L3" s="3150">
        <f t="shared" ref="L3:O3" si="1">ROUND(AVERAGEIF(L4:L19,"&lt;&gt;0"),4)</f>
        <v>4.0000000000000001E-3</v>
      </c>
      <c r="M3" s="3150">
        <f t="shared" si="1"/>
        <v>1.6999999999999999E-3</v>
      </c>
      <c r="N3" s="3150">
        <f t="shared" si="1"/>
        <v>7.4000000000000003E-3</v>
      </c>
      <c r="O3" s="3150">
        <f t="shared" si="1"/>
        <v>6.1999999999999998E-3</v>
      </c>
      <c r="P3" s="3150">
        <f>M3</f>
        <v>1.6999999999999999E-3</v>
      </c>
      <c r="Q3" s="3148"/>
      <c r="R3" s="3151">
        <f>ROUND(SUMPRODUCT(PRODUCT(1+K4:K19)),4)</f>
        <v>1.0916999999999999</v>
      </c>
      <c r="S3" s="3152">
        <f t="shared" ref="S3:V3" si="2">ROUND(SUMPRODUCT(PRODUCT(1+L4:L19)),4)</f>
        <v>1.0537000000000001</v>
      </c>
      <c r="T3" s="3152">
        <f t="shared" si="2"/>
        <v>1.0224</v>
      </c>
      <c r="U3" s="3152">
        <f t="shared" si="2"/>
        <v>1.1008</v>
      </c>
      <c r="V3" s="3152">
        <f t="shared" si="2"/>
        <v>1.0843</v>
      </c>
      <c r="W3" s="3151">
        <f>T3</f>
        <v>1.0224</v>
      </c>
      <c r="X3" s="3148"/>
      <c r="Y3" s="3153">
        <f>ROUND(AVERAGEIF(Y6:Y19,"&lt;&gt;0"),4)</f>
        <v>8.6999999999999994E-3</v>
      </c>
      <c r="Z3" s="3154">
        <f t="shared" ref="Z3:AC3" si="3">ROUND(AVERAGEIF(Z6:Z19,"&lt;&gt;0"),4)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3375</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1.0811999999999999</v>
      </c>
      <c r="S5" s="3179">
        <f>ROUND(IF(项目基本情况!$B$8="出让",SUMPRODUCT(PRODUCT(1+L5:$L$19)),SUMPRODUCT(PRODUCT(1+L5:$L$18))),4)</f>
        <v>1.052</v>
      </c>
      <c r="T5" s="3179">
        <f>ROUND(IF(项目基本情况!$B$8="出让",SUMPRODUCT(PRODUCT(1+M5:$M$19)),SUMPRODUCT(PRODUCT(1+M5:$M$18))),4)</f>
        <v>1.0249999999999999</v>
      </c>
      <c r="U5" s="3179">
        <f>ROUND(IF(项目基本情况!$B$8="出让",SUMPRODUCT(PRODUCT(1+N5:$N$19)),SUMPRODUCT(PRODUCT(1+N5:$N$18))),4)</f>
        <v>1.0888</v>
      </c>
      <c r="V5" s="3179">
        <f>ROUND(IF(项目基本情况!$B$8="出让",SUMPRODUCT(PRODUCT(1+O5:$O$19)),SUMPRODUCT(PRODUCT(1+O5:$O$18))),4)</f>
        <v>1.0804</v>
      </c>
      <c r="W5" s="3179">
        <f>T5</f>
        <v>1.0249999999999999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81" customFormat="1" ht="12.75">
      <c r="A6" s="2201" t="s">
        <v>3370</v>
      </c>
      <c r="B6" s="3173">
        <v>2024</v>
      </c>
      <c r="C6" s="3174">
        <v>2</v>
      </c>
      <c r="D6" s="3175">
        <v>0</v>
      </c>
      <c r="E6" s="3175">
        <v>0</v>
      </c>
      <c r="F6" s="3175">
        <v>0</v>
      </c>
      <c r="G6" s="3175">
        <v>0</v>
      </c>
      <c r="H6" s="3175">
        <v>0</v>
      </c>
      <c r="I6" s="3176">
        <f t="shared" ref="I6:I19" si="15">F6</f>
        <v>0</v>
      </c>
      <c r="J6" s="3177"/>
      <c r="K6" s="3178">
        <f t="shared" ref="K6:O19" si="16">D6/100</f>
        <v>0</v>
      </c>
      <c r="L6" s="3168">
        <f t="shared" si="16"/>
        <v>0</v>
      </c>
      <c r="M6" s="3168">
        <f t="shared" si="16"/>
        <v>0</v>
      </c>
      <c r="N6" s="3168">
        <f t="shared" si="16"/>
        <v>0</v>
      </c>
      <c r="O6" s="3168">
        <f t="shared" si="16"/>
        <v>0</v>
      </c>
      <c r="P6" s="3168">
        <f>M6</f>
        <v>0</v>
      </c>
      <c r="Q6" s="3177"/>
      <c r="R6" s="3179">
        <f>ROUND(IF(项目基本情况!$B$8="出让",SUMPRODUCT(PRODUCT(1+K6:$K$19)),SUMPRODUCT(PRODUCT(1+K6:$K$18))),4)</f>
        <v>1.0811999999999999</v>
      </c>
      <c r="S6" s="3179">
        <f>ROUND(IF(项目基本情况!$B$8="出让",SUMPRODUCT(PRODUCT(1+L6:$L$19)),SUMPRODUCT(PRODUCT(1+L6:$L$18))),4)</f>
        <v>1.052</v>
      </c>
      <c r="T6" s="3179">
        <f>ROUND(IF(项目基本情况!$B$8="出让",SUMPRODUCT(PRODUCT(1+M6:$M$19)),SUMPRODUCT(PRODUCT(1+M6:$M$18))),4)</f>
        <v>1.0249999999999999</v>
      </c>
      <c r="U6" s="3179">
        <f>ROUND(IF(项目基本情况!$B$8="出让",SUMPRODUCT(PRODUCT(1+N6:$N$19)),SUMPRODUCT(PRODUCT(1+N6:$N$18))),4)</f>
        <v>1.0888</v>
      </c>
      <c r="V6" s="3179">
        <f>ROUND(IF(项目基本情况!$B$8="出让",SUMPRODUCT(PRODUCT(1+O6:$O$19)),SUMPRODUCT(PRODUCT(1+O6:$O$18))),4)</f>
        <v>1.0804</v>
      </c>
      <c r="W6" s="3179">
        <f>T6</f>
        <v>1.0249999999999999</v>
      </c>
      <c r="X6" s="3177"/>
      <c r="Y6" s="3180">
        <f>IF(D6=0,0,ROUND(AVERAGE(D6:D19)/100,4))</f>
        <v>0</v>
      </c>
      <c r="Z6" s="3180">
        <f t="shared" ref="Z6:AC6" si="17">IF(E6=0,0,ROUND(AVERAGE(E6:E19)/100,4))</f>
        <v>0</v>
      </c>
      <c r="AA6" s="3180">
        <f t="shared" si="17"/>
        <v>0</v>
      </c>
      <c r="AB6" s="3180">
        <f t="shared" si="17"/>
        <v>0</v>
      </c>
      <c r="AC6" s="3180">
        <f t="shared" si="17"/>
        <v>0</v>
      </c>
      <c r="AD6" s="3180">
        <f t="shared" ref="AD6:AD18" si="18">AA6</f>
        <v>0</v>
      </c>
    </row>
    <row r="7" spans="1:30" s="3191" customFormat="1" ht="12.75">
      <c r="A7" s="3182" t="s">
        <v>3372</v>
      </c>
      <c r="B7" s="3183">
        <v>2024</v>
      </c>
      <c r="C7" s="3184">
        <v>1</v>
      </c>
      <c r="D7" s="3185">
        <v>0.08</v>
      </c>
      <c r="E7" s="3185">
        <v>0.46</v>
      </c>
      <c r="F7" s="3185">
        <v>-0.16</v>
      </c>
      <c r="G7" s="3185">
        <v>0.26</v>
      </c>
      <c r="H7" s="3186">
        <v>0.59</v>
      </c>
      <c r="I7" s="3187">
        <v>0</v>
      </c>
      <c r="J7" s="3188"/>
      <c r="K7" s="3189">
        <f t="shared" ref="K7" si="19">D7/100</f>
        <v>8.0000000000000004E-4</v>
      </c>
      <c r="L7" s="3190">
        <f t="shared" ref="L7" si="20">E7/100</f>
        <v>4.5999999999999999E-3</v>
      </c>
      <c r="M7" s="3190">
        <f t="shared" ref="M7" si="21">F7/100</f>
        <v>-1.6000000000000001E-3</v>
      </c>
      <c r="N7" s="3190">
        <f t="shared" ref="N7" si="22">G7/100</f>
        <v>2.5999999999999999E-3</v>
      </c>
      <c r="O7" s="3190">
        <f t="shared" ref="O7" si="23">H7/100</f>
        <v>5.8999999999999999E-3</v>
      </c>
      <c r="P7" s="3190">
        <f t="shared" ref="P7" si="24">M7</f>
        <v>-1.6000000000000001E-3</v>
      </c>
      <c r="Q7" s="3188"/>
      <c r="R7" s="3188">
        <f>ROUND(IF(项目基本情况!$B$8="出让",SUMPRODUCT(PRODUCT(1+K7:$K$19)),SUMPRODUCT(PRODUCT(1+K7:$K$18))),4)</f>
        <v>1.0811999999999999</v>
      </c>
      <c r="S7" s="3188">
        <f>ROUND(IF(项目基本情况!$B$8="出让",SUMPRODUCT(PRODUCT(1+L7:$L$19)),SUMPRODUCT(PRODUCT(1+L7:$L$18))),4)</f>
        <v>1.052</v>
      </c>
      <c r="T7" s="3188">
        <f>ROUND(IF(项目基本情况!$B$8="出让",SUMPRODUCT(PRODUCT(1+M7:$M$19)),SUMPRODUCT(PRODUCT(1+M7:$M$18))),4)</f>
        <v>1.0249999999999999</v>
      </c>
      <c r="U7" s="3188">
        <f>ROUND(IF(项目基本情况!$B$8="出让",SUMPRODUCT(PRODUCT(1+N7:$N$19)),SUMPRODUCT(PRODUCT(1+N7:$N$18))),4)</f>
        <v>1.0888</v>
      </c>
      <c r="V7" s="3188">
        <f>ROUND(IF(项目基本情况!$B$8="出让",SUMPRODUCT(PRODUCT(1+O7:$O$19)),SUMPRODUCT(PRODUCT(1+O7:$O$18))),4)</f>
        <v>1.0804</v>
      </c>
      <c r="W7" s="3188">
        <f t="shared" ref="W7" si="25">T7</f>
        <v>1.0249999999999999</v>
      </c>
      <c r="X7" s="3188"/>
      <c r="Y7" s="3190"/>
      <c r="Z7" s="3190"/>
      <c r="AA7" s="3190"/>
      <c r="AB7" s="3190"/>
      <c r="AC7" s="3190"/>
      <c r="AD7" s="3190"/>
    </row>
    <row r="8" spans="1:30" s="3181" customFormat="1" ht="12.75">
      <c r="A8" s="3172" t="s">
        <v>3373</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2.75">
      <c r="A9" s="3172" t="s">
        <v>3371</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2.75">
      <c r="A10" s="3172" t="s">
        <v>3366</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2.75">
      <c r="A11" s="3172" t="s">
        <v>3365</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2.75">
      <c r="A12" s="3172" t="s">
        <v>3364</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2.75">
      <c r="A13" s="3172" t="s">
        <v>3360</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2.75">
      <c r="A14" s="3172" t="s">
        <v>3351</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2.75">
      <c r="A15" s="3172" t="s">
        <v>2818</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2.75">
      <c r="A16" s="3172" t="s">
        <v>2819</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2.75">
      <c r="A17" s="3172" t="s">
        <v>2820</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2.75">
      <c r="A18" s="3172" t="s">
        <v>2821</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thickBot="1">
      <c r="A19" s="3193" t="s">
        <v>2822</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4.25" thickTop="1"/>
    <row r="21" spans="1:30" s="3005" customFormat="1">
      <c r="A21" s="3444" t="s">
        <v>3362</v>
      </c>
    </row>
    <row r="22" spans="1:30" s="3005" customFormat="1">
      <c r="I22" s="3204" t="s">
        <v>2823</v>
      </c>
    </row>
    <row r="23" spans="1:30" s="3005" customFormat="1"/>
    <row r="24" spans="1:30" s="3205" customFormat="1" ht="12.75">
      <c r="B24" s="3206" t="s">
        <v>3368</v>
      </c>
      <c r="C24" s="3207"/>
      <c r="D24" s="3207"/>
      <c r="E24" s="3207"/>
      <c r="F24" s="3207"/>
      <c r="G24" s="3207"/>
      <c r="H24" s="3207"/>
      <c r="I24" s="3207"/>
      <c r="J24" s="3161"/>
      <c r="K24" s="3207" t="s">
        <v>2824</v>
      </c>
      <c r="L24" s="3207"/>
      <c r="M24" s="3207"/>
      <c r="N24" s="3207"/>
      <c r="O24" s="3207"/>
      <c r="P24" s="3207"/>
      <c r="Q24" s="3161"/>
      <c r="R24" s="3772" t="s">
        <v>2825</v>
      </c>
      <c r="S24" s="3773"/>
      <c r="T24" s="3773"/>
      <c r="U24" s="3773"/>
      <c r="V24" s="3773"/>
      <c r="W24" s="3773"/>
      <c r="X24" s="3161"/>
      <c r="Y24" s="3772" t="s">
        <v>2826</v>
      </c>
      <c r="Z24" s="3773"/>
      <c r="AA24" s="3773"/>
      <c r="AB24" s="3773"/>
      <c r="AC24" s="3773"/>
      <c r="AD24" s="3773"/>
    </row>
    <row r="25" spans="1:30" s="3139" customFormat="1" ht="14.25" thickBot="1">
      <c r="B25" s="3140"/>
      <c r="C25" s="3141"/>
      <c r="D25" s="3142" t="s">
        <v>2827</v>
      </c>
      <c r="E25" s="3143" t="s">
        <v>2828</v>
      </c>
      <c r="F25" s="3143" t="s">
        <v>2829</v>
      </c>
      <c r="G25" s="3143" t="s">
        <v>2830</v>
      </c>
      <c r="H25" s="3143"/>
      <c r="I25" s="3143" t="s">
        <v>2831</v>
      </c>
      <c r="J25" s="3144"/>
      <c r="K25" s="3142" t="s">
        <v>2827</v>
      </c>
      <c r="L25" s="3143" t="s">
        <v>2828</v>
      </c>
      <c r="M25" s="3143" t="s">
        <v>2829</v>
      </c>
      <c r="N25" s="3143" t="s">
        <v>2830</v>
      </c>
      <c r="O25" s="3143"/>
      <c r="P25" s="3143" t="s">
        <v>2831</v>
      </c>
      <c r="Q25" s="3144"/>
      <c r="R25" s="3142" t="s">
        <v>2827</v>
      </c>
      <c r="S25" s="3143" t="s">
        <v>2828</v>
      </c>
      <c r="T25" s="3143" t="s">
        <v>2829</v>
      </c>
      <c r="U25" s="3143" t="s">
        <v>2830</v>
      </c>
      <c r="V25" s="3143"/>
      <c r="W25" s="3143" t="s">
        <v>2831</v>
      </c>
      <c r="X25" s="3144"/>
      <c r="Y25" s="3142" t="s">
        <v>2827</v>
      </c>
      <c r="Z25" s="3143" t="s">
        <v>2828</v>
      </c>
      <c r="AA25" s="3143" t="s">
        <v>2829</v>
      </c>
      <c r="AB25" s="3143" t="s">
        <v>2830</v>
      </c>
      <c r="AC25" s="3143"/>
      <c r="AD25" s="3143" t="s">
        <v>2831</v>
      </c>
    </row>
    <row r="26" spans="1:30" s="3157" customFormat="1" ht="12.75">
      <c r="A26" s="3145" t="s">
        <v>2832</v>
      </c>
      <c r="B26" s="3146"/>
      <c r="C26" s="3147"/>
      <c r="D26" s="3147"/>
      <c r="E26" s="3147">
        <f t="shared" ref="E26:G26" si="43">ROUND(AVERAGEIF(E27:E42,"&lt;&gt;0"),2)</f>
        <v>0.38</v>
      </c>
      <c r="F26" s="3147">
        <f t="shared" si="43"/>
        <v>0.28999999999999998</v>
      </c>
      <c r="G26" s="3147">
        <f t="shared" si="43"/>
        <v>0.56999999999999995</v>
      </c>
      <c r="H26" s="3147"/>
      <c r="I26" s="3147">
        <f>F26</f>
        <v>0.28999999999999998</v>
      </c>
      <c r="J26" s="3148"/>
      <c r="K26" s="3149"/>
      <c r="L26" s="3150">
        <f t="shared" ref="L26:N26" si="44">ROUND(AVERAGEIF(L27:L42,"&lt;&gt;0"),4)</f>
        <v>3.8E-3</v>
      </c>
      <c r="M26" s="3150">
        <f t="shared" si="44"/>
        <v>2.8999999999999998E-3</v>
      </c>
      <c r="N26" s="3150">
        <f t="shared" si="44"/>
        <v>5.7000000000000002E-3</v>
      </c>
      <c r="O26" s="3150"/>
      <c r="P26" s="3150">
        <f>M26</f>
        <v>2.8999999999999998E-3</v>
      </c>
      <c r="Q26" s="3148"/>
      <c r="R26" s="3151"/>
      <c r="S26" s="3152">
        <f>ROUND(SUMPRODUCT(PRODUCT(1+L27:L42)),4)</f>
        <v>1.0502</v>
      </c>
      <c r="T26" s="3152">
        <f t="shared" ref="T26:U26" si="45">ROUND(SUMPRODUCT(PRODUCT(1+M27:M42)),4)</f>
        <v>1.0387999999999999</v>
      </c>
      <c r="U26" s="3152">
        <f t="shared" si="45"/>
        <v>1.0763</v>
      </c>
      <c r="V26" s="3152"/>
      <c r="W26" s="3151">
        <f>T26</f>
        <v>1.0387999999999999</v>
      </c>
      <c r="X26" s="3148"/>
      <c r="Y26" s="3153"/>
      <c r="Z26" s="3154">
        <f t="shared" ref="Z26:AB26" si="46">ROUND(AVERAGEIF(Z27:Z42,"&lt;&gt;0"),4)</f>
        <v>4.3E-3</v>
      </c>
      <c r="AA26" s="3155">
        <f t="shared" si="46"/>
        <v>3.5999999999999999E-3</v>
      </c>
      <c r="AB26" s="3153">
        <f t="shared" si="46"/>
        <v>8.8999999999999999E-3</v>
      </c>
      <c r="AC26" s="3156"/>
      <c r="AD26" s="3153">
        <f>AA26</f>
        <v>3.5999999999999999E-3</v>
      </c>
    </row>
    <row r="27" spans="1:30" s="3158" customFormat="1" ht="12.75">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2.75">
      <c r="A28" s="2201" t="s">
        <v>3375</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1.0465</v>
      </c>
      <c r="T28" s="3179">
        <f>ROUND(IF(项目基本情况!$B$8="出让",SUMPRODUCT(PRODUCT(1+M28:M$42)),SUMPRODUCT(PRODUCT(1+M28:M$41))),4)</f>
        <v>1.0338000000000001</v>
      </c>
      <c r="U28" s="3179">
        <f>ROUND(IF(项目基本情况!$B$8="出让",SUMPRODUCT(PRODUCT(1+N28:N$42)),SUMPRODUCT(PRODUCT(1+N28:N$41))),4)</f>
        <v>1.0659000000000001</v>
      </c>
      <c r="V28" s="3179"/>
      <c r="W28" s="3179">
        <f>T28</f>
        <v>1.0338000000000001</v>
      </c>
      <c r="X28" s="3177"/>
      <c r="Y28" s="3180"/>
      <c r="Z28" s="3208">
        <f t="shared" ref="Z28:AB29" si="51">IF(E28=0,0,ROUND(AVERAGE(E28:E41)/100,4))</f>
        <v>0</v>
      </c>
      <c r="AA28" s="3208">
        <f t="shared" si="51"/>
        <v>0</v>
      </c>
      <c r="AB28" s="3208">
        <f t="shared" si="51"/>
        <v>0</v>
      </c>
      <c r="AC28" s="3209"/>
      <c r="AD28" s="3180">
        <f>IF(I28=0,0,ROUND(AVERAGE(I28:I41)/100,4))</f>
        <v>0</v>
      </c>
    </row>
    <row r="29" spans="1:30" s="3181" customFormat="1" ht="12.75">
      <c r="A29" s="2201" t="s">
        <v>3370</v>
      </c>
      <c r="B29" s="3173">
        <v>2024</v>
      </c>
      <c r="C29" s="3174">
        <v>2</v>
      </c>
      <c r="D29" s="3175"/>
      <c r="E29" s="3175">
        <v>0</v>
      </c>
      <c r="F29" s="3175">
        <v>0</v>
      </c>
      <c r="G29" s="3175">
        <v>0</v>
      </c>
      <c r="H29" s="3175"/>
      <c r="I29" s="3176">
        <f t="shared" ref="I29:I42" si="52">F29</f>
        <v>0</v>
      </c>
      <c r="J29" s="3177"/>
      <c r="K29" s="3178"/>
      <c r="L29" s="3168">
        <f t="shared" ref="L29:N42" si="53">E29/100</f>
        <v>0</v>
      </c>
      <c r="M29" s="3168">
        <f t="shared" si="53"/>
        <v>0</v>
      </c>
      <c r="N29" s="3168">
        <f t="shared" si="53"/>
        <v>0</v>
      </c>
      <c r="O29" s="3168"/>
      <c r="P29" s="3168">
        <f>M29</f>
        <v>0</v>
      </c>
      <c r="Q29" s="3177"/>
      <c r="R29" s="3179"/>
      <c r="S29" s="3179">
        <f>ROUND(IF(项目基本情况!$B$8="出让",SUMPRODUCT(PRODUCT(1+L29:L$42)),SUMPRODUCT(PRODUCT(1+L29:L$41))),4)</f>
        <v>1.0465</v>
      </c>
      <c r="T29" s="3179">
        <f>ROUND(IF(项目基本情况!$B$8="出让",SUMPRODUCT(PRODUCT(1+M29:M$42)),SUMPRODUCT(PRODUCT(1+M29:M$41))),4)</f>
        <v>1.0338000000000001</v>
      </c>
      <c r="U29" s="3179">
        <f>ROUND(IF(项目基本情况!$B$8="出让",SUMPRODUCT(PRODUCT(1+N29:N$42)),SUMPRODUCT(PRODUCT(1+N29:N$41))),4)</f>
        <v>1.0659000000000001</v>
      </c>
      <c r="V29" s="3179"/>
      <c r="W29" s="3179">
        <f>T29</f>
        <v>1.0338000000000001</v>
      </c>
      <c r="X29" s="3177"/>
      <c r="Y29" s="3180"/>
      <c r="Z29" s="3208">
        <f t="shared" si="51"/>
        <v>0</v>
      </c>
      <c r="AA29" s="3208">
        <f t="shared" si="51"/>
        <v>0</v>
      </c>
      <c r="AB29" s="3208">
        <f t="shared" si="51"/>
        <v>0</v>
      </c>
      <c r="AC29" s="3209"/>
      <c r="AD29" s="3180">
        <f>IF(I29=0,0,ROUND(AVERAGE(I29:I42)/100,4))</f>
        <v>0</v>
      </c>
    </row>
    <row r="30" spans="1:30" s="3191" customFormat="1" ht="12.75">
      <c r="A30" s="3182" t="s">
        <v>3372</v>
      </c>
      <c r="B30" s="3183">
        <v>2024</v>
      </c>
      <c r="C30" s="3184">
        <v>1</v>
      </c>
      <c r="D30" s="3185"/>
      <c r="E30" s="3185">
        <v>0.25</v>
      </c>
      <c r="F30" s="3185">
        <v>0.4</v>
      </c>
      <c r="G30" s="3185">
        <v>-0.63</v>
      </c>
      <c r="H30" s="3186"/>
      <c r="I30" s="3187">
        <f t="shared" ref="I30:I31" si="54">F30</f>
        <v>0.4</v>
      </c>
      <c r="J30" s="3188"/>
      <c r="K30" s="3189"/>
      <c r="L30" s="3190">
        <f t="shared" ref="L30" si="55">E30/100</f>
        <v>2.5000000000000001E-3</v>
      </c>
      <c r="M30" s="3190">
        <f t="shared" ref="M30" si="56">F30/100</f>
        <v>4.0000000000000001E-3</v>
      </c>
      <c r="N30" s="3190">
        <f t="shared" ref="N30" si="57">G30/100</f>
        <v>-6.3E-3</v>
      </c>
      <c r="O30" s="3190"/>
      <c r="P30" s="3190">
        <f t="shared" ref="P30" si="58">M30</f>
        <v>4.0000000000000001E-3</v>
      </c>
      <c r="Q30" s="3188"/>
      <c r="R30" s="3188"/>
      <c r="S30" s="3188">
        <f>ROUND(IF(项目基本情况!$B$8="出让",SUMPRODUCT(PRODUCT(1+L30:L$42)),SUMPRODUCT(PRODUCT(1+L30:L$41))),4)</f>
        <v>1.0465</v>
      </c>
      <c r="T30" s="3188">
        <f>ROUND(IF(项目基本情况!$B$8="出让",SUMPRODUCT(PRODUCT(1+M30:M$42)),SUMPRODUCT(PRODUCT(1+M30:M$41))),4)</f>
        <v>1.0338000000000001</v>
      </c>
      <c r="U30" s="3188">
        <f>ROUND(IF(项目基本情况!$B$8="出让",SUMPRODUCT(PRODUCT(1+N30:N$42)),SUMPRODUCT(PRODUCT(1+N30:N$41))),4)</f>
        <v>1.0659000000000001</v>
      </c>
      <c r="V30" s="3188"/>
      <c r="W30" s="3188">
        <f t="shared" ref="W30" si="59">T30</f>
        <v>1.0338000000000001</v>
      </c>
      <c r="X30" s="3188"/>
      <c r="Y30" s="3190"/>
      <c r="Z30" s="3211"/>
      <c r="AA30" s="3212"/>
      <c r="AB30" s="3190"/>
      <c r="AC30" s="3213"/>
      <c r="AD30" s="3190"/>
    </row>
    <row r="31" spans="1:30" s="3181" customFormat="1" ht="12.75">
      <c r="A31" s="3172" t="s">
        <v>3374</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2.75">
      <c r="A32" s="3172" t="s">
        <v>3371</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2.75">
      <c r="A33" s="3172" t="s">
        <v>3369</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2.75">
      <c r="A34" s="3172" t="s">
        <v>3365</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2.75">
      <c r="A35" s="3172" t="s">
        <v>3364</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2.75">
      <c r="A36" s="3172" t="s">
        <v>3361</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2.75">
      <c r="A37" s="3172" t="s">
        <v>3351</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2.75">
      <c r="A38" s="3172" t="s">
        <v>2833</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2.75">
      <c r="A39" s="3172" t="s">
        <v>2834</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2.75">
      <c r="A40" s="3172" t="s">
        <v>2835</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2.75">
      <c r="A41" s="3172" t="s">
        <v>2836</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thickBot="1">
      <c r="A42" s="3193" t="s">
        <v>2822</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4.25" thickTop="1"/>
    <row r="44" spans="1:30">
      <c r="A44" s="3444" t="s">
        <v>3363</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779" t="s">
        <v>452</v>
      </c>
      <c r="C1" s="3779"/>
      <c r="D1" s="3779"/>
      <c r="E1" s="3779"/>
      <c r="F1" s="3779"/>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2434</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775">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775"/>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775"/>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784"/>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780">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775"/>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775"/>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784"/>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780">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775"/>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775"/>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776"/>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774">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775"/>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775"/>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776"/>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774">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775"/>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775"/>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776"/>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781">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782"/>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782"/>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783"/>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774">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775"/>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775"/>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776"/>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774">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775">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775">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776">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774">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775">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775">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776">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774">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775">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775">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776">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774">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775">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775">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776">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774">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775">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775">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776">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774">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775">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775">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776">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774">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775">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775">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776">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774">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775">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775">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776">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774">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775">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775">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776">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774">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775">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775">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776">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45491</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45159</v>
      </c>
      <c r="D13" s="2818">
        <v>3.45</v>
      </c>
      <c r="E13" s="2818">
        <f>D13</f>
        <v>3.45</v>
      </c>
      <c r="F13" s="2818">
        <f>D13</f>
        <v>3.45</v>
      </c>
      <c r="G13" s="2818">
        <f>D13</f>
        <v>3.45</v>
      </c>
      <c r="H13" s="2818">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2" t="s">
        <v>2313</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1" sqref="N41"/>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5:N10"/>
  <sheetViews>
    <sheetView workbookViewId="0">
      <selection activeCell="M8" sqref="M8"/>
    </sheetView>
  </sheetViews>
  <sheetFormatPr defaultRowHeight="13.5"/>
  <cols>
    <col min="14" max="14" width="12.75" bestFit="1" customWidth="1"/>
  </cols>
  <sheetData>
    <row r="5" spans="12:14">
      <c r="L5">
        <v>233</v>
      </c>
      <c r="M5">
        <v>2170</v>
      </c>
      <c r="N5" s="3787">
        <f>L5/M5/365*10000</f>
        <v>2.9417334764219429</v>
      </c>
    </row>
    <row r="6" spans="12:14">
      <c r="L6" s="3785">
        <v>480</v>
      </c>
      <c r="M6">
        <v>4133.5200000000004</v>
      </c>
      <c r="N6" s="3787">
        <f t="shared" ref="N6:N8" si="0">L6/M6/365*10000</f>
        <v>3.1814736426839225</v>
      </c>
    </row>
    <row r="7" spans="12:14">
      <c r="L7" s="3785">
        <v>248.27</v>
      </c>
      <c r="M7">
        <v>1659</v>
      </c>
      <c r="N7" s="3787">
        <f t="shared" si="0"/>
        <v>4.1000107343093291</v>
      </c>
    </row>
    <row r="8" spans="12:14">
      <c r="L8">
        <v>51.5</v>
      </c>
      <c r="M8">
        <v>412.77</v>
      </c>
      <c r="N8" s="3787">
        <f t="shared" si="0"/>
        <v>3.4182690217544613</v>
      </c>
    </row>
    <row r="10" spans="12:14">
      <c r="L10">
        <f>L5+L6+L7+L8</f>
        <v>1012.77</v>
      </c>
      <c r="M10">
        <f>M5+M6+M7+M8</f>
        <v>8375.2900000000009</v>
      </c>
      <c r="N10" s="3787">
        <f>L10/M10/365*10000</f>
        <v>3.3129746298541578</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H29" sqref="H29"/>
    </sheetView>
  </sheetViews>
  <sheetFormatPr defaultRowHeight="13.5"/>
  <cols>
    <col min="1" max="1" width="44.25" customWidth="1"/>
    <col min="4" max="5" width="10.5" bestFit="1" customWidth="1"/>
  </cols>
  <sheetData>
    <row r="1" spans="1:6">
      <c r="A1" s="3789" t="s">
        <v>3425</v>
      </c>
    </row>
    <row r="2" spans="1:6">
      <c r="A2" s="3789" t="s">
        <v>3433</v>
      </c>
    </row>
    <row r="3" spans="1:6">
      <c r="A3" s="3789" t="s">
        <v>3436</v>
      </c>
    </row>
    <row r="4" spans="1:6">
      <c r="A4" s="3789" t="s">
        <v>3439</v>
      </c>
    </row>
    <row r="5" spans="1:6">
      <c r="A5" s="3789" t="s">
        <v>3442</v>
      </c>
    </row>
    <row r="6" spans="1:6">
      <c r="A6" s="3789" t="s">
        <v>3445</v>
      </c>
    </row>
    <row r="11" spans="1:6">
      <c r="A11" s="3788" t="s">
        <v>3427</v>
      </c>
      <c r="B11" s="3788" t="s">
        <v>3428</v>
      </c>
      <c r="C11" s="3788" t="s">
        <v>3431</v>
      </c>
      <c r="D11" s="3788" t="s">
        <v>3429</v>
      </c>
      <c r="E11" s="3788" t="s">
        <v>3430</v>
      </c>
    </row>
    <row r="12" spans="1:6">
      <c r="A12" s="3788" t="s">
        <v>3426</v>
      </c>
      <c r="B12">
        <f>599.18+1514.88</f>
        <v>2114.06</v>
      </c>
      <c r="C12" s="3788" t="s">
        <v>3432</v>
      </c>
      <c r="D12">
        <v>37320000</v>
      </c>
      <c r="E12">
        <v>66631500</v>
      </c>
      <c r="F12">
        <f>D12/E12</f>
        <v>0.5600954503500597</v>
      </c>
    </row>
    <row r="13" spans="1:6">
      <c r="A13" s="3788" t="s">
        <v>3434</v>
      </c>
      <c r="B13">
        <v>8436.8799999999992</v>
      </c>
      <c r="C13" s="3788" t="s">
        <v>3435</v>
      </c>
      <c r="D13">
        <v>286000000</v>
      </c>
      <c r="E13">
        <v>384013000</v>
      </c>
      <c r="F13">
        <f t="shared" ref="F13:F17" si="0">D13/E13</f>
        <v>0.74476645321903168</v>
      </c>
    </row>
    <row r="14" spans="1:6">
      <c r="A14" s="3788" t="s">
        <v>3437</v>
      </c>
      <c r="B14">
        <v>902.91</v>
      </c>
      <c r="C14" s="3788" t="s">
        <v>3438</v>
      </c>
      <c r="D14">
        <v>40400000</v>
      </c>
      <c r="E14">
        <v>72130000</v>
      </c>
      <c r="F14">
        <f t="shared" si="0"/>
        <v>0.56009981976986001</v>
      </c>
    </row>
    <row r="15" spans="1:6">
      <c r="A15" s="3788" t="s">
        <v>3440</v>
      </c>
      <c r="B15">
        <v>10088.49</v>
      </c>
      <c r="C15" s="3788" t="s">
        <v>3441</v>
      </c>
      <c r="D15">
        <v>453270000</v>
      </c>
      <c r="E15">
        <v>809397500</v>
      </c>
      <c r="F15">
        <f t="shared" si="0"/>
        <v>0.56000914260298551</v>
      </c>
    </row>
    <row r="16" spans="1:6">
      <c r="A16" s="3788" t="s">
        <v>3443</v>
      </c>
      <c r="B16">
        <v>111.48</v>
      </c>
      <c r="C16" s="3788" t="s">
        <v>3444</v>
      </c>
      <c r="D16">
        <v>495320</v>
      </c>
      <c r="E16">
        <v>884500</v>
      </c>
      <c r="F16">
        <f t="shared" si="0"/>
        <v>0.56000000000000005</v>
      </c>
    </row>
    <row r="17" spans="1:6">
      <c r="A17" s="3788" t="s">
        <v>3446</v>
      </c>
      <c r="B17">
        <v>285.95</v>
      </c>
      <c r="C17" s="3788" t="s">
        <v>3447</v>
      </c>
      <c r="D17">
        <v>11245416</v>
      </c>
      <c r="E17">
        <v>20081100</v>
      </c>
      <c r="F17">
        <f t="shared" si="0"/>
        <v>0.56000000000000005</v>
      </c>
    </row>
  </sheetData>
  <phoneticPr fontId="134" type="noConversion"/>
  <hyperlinks>
    <hyperlink ref="A1" r:id="rId1"/>
    <hyperlink ref="A2" r:id="rId2"/>
    <hyperlink ref="A3" r:id="rId3"/>
    <hyperlink ref="A4" r:id="rId4"/>
    <hyperlink ref="A5" r:id="rId5"/>
    <hyperlink ref="A6" r:id="rId6"/>
  </hyperlinks>
  <pageMargins left="0.7" right="0.7" top="0.75" bottom="0.75" header="0.3" footer="0.3"/>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0"/>
      <c r="B3" s="3460"/>
      <c r="C3" s="3460"/>
      <c r="D3" s="850" t="s">
        <v>925</v>
      </c>
      <c r="E3" s="850" t="s">
        <v>931</v>
      </c>
      <c r="F3" s="850" t="s">
        <v>925</v>
      </c>
      <c r="G3" s="850" t="s">
        <v>926</v>
      </c>
      <c r="H3" s="850" t="s">
        <v>925</v>
      </c>
      <c r="I3" s="850" t="s">
        <v>926</v>
      </c>
    </row>
    <row r="4" spans="1:9" ht="15">
      <c r="A4" s="1501" t="str">
        <f>项目基本情况!S2</f>
        <v>北京市房地产</v>
      </c>
      <c r="B4" s="850">
        <f>项目基本情况!C17</f>
        <v>24230.799999999999</v>
      </c>
      <c r="C4" s="850">
        <f>项目基本情况!C18</f>
        <v>7478.47</v>
      </c>
      <c r="D4" s="850" t="e">
        <f ca="1">结果表!D118</f>
        <v>#REF!</v>
      </c>
      <c r="E4" s="850" t="e">
        <f ca="1">结果表!E118</f>
        <v>#REF!</v>
      </c>
      <c r="F4" s="850" t="e">
        <f ca="1">结果表!F118</f>
        <v>#REF!</v>
      </c>
      <c r="G4" s="850" t="e">
        <f ca="1">结果表!G118</f>
        <v>#REF!</v>
      </c>
      <c r="H4" s="850" t="e">
        <f ca="1">结果表!H118</f>
        <v>#REF!</v>
      </c>
      <c r="I4" s="850" t="e">
        <f ca="1">结果表!I118</f>
        <v>#REF!</v>
      </c>
    </row>
    <row r="5" spans="1:9" ht="30" customHeight="1">
      <c r="A5" s="3460" t="s">
        <v>927</v>
      </c>
      <c r="B5" s="3460"/>
      <c r="C5" s="3460"/>
      <c r="D5" s="3460" t="e">
        <f ca="1">结果表!D119</f>
        <v>#REF!</v>
      </c>
      <c r="E5" s="3460"/>
      <c r="F5" s="3460" t="e">
        <f ca="1">结果表!F119</f>
        <v>#REF!</v>
      </c>
      <c r="G5" s="3460"/>
      <c r="H5" s="3460" t="e">
        <f ca="1">结果表!H119</f>
        <v>#REF!</v>
      </c>
      <c r="I5" s="3460"/>
    </row>
    <row r="6" spans="1:9" ht="15.75">
      <c r="A6" s="3459" t="str">
        <f>结果表!A120</f>
        <v>估价师知悉的法定优先受偿款</v>
      </c>
      <c r="B6" s="3459"/>
      <c r="C6" s="3459"/>
      <c r="D6" s="3459">
        <f>结果表!D120</f>
        <v>0</v>
      </c>
      <c r="E6" s="3459"/>
      <c r="F6" s="3459"/>
      <c r="G6" s="3459"/>
      <c r="H6" s="3459"/>
      <c r="I6" s="3459"/>
    </row>
    <row r="7" spans="1:9" ht="15">
      <c r="A7" s="3460" t="s">
        <v>927</v>
      </c>
      <c r="B7" s="3460"/>
      <c r="C7" s="3460"/>
      <c r="D7" s="3461" t="str">
        <f>结果表!D121</f>
        <v>零元整</v>
      </c>
      <c r="E7" s="3462"/>
      <c r="F7" s="3462"/>
      <c r="G7" s="3462"/>
      <c r="H7" s="3462"/>
      <c r="I7" s="3463"/>
    </row>
    <row r="8" spans="1:9" ht="15.75">
      <c r="A8" s="3459" t="str">
        <f>结果表!A122</f>
        <v>房地产抵押价值</v>
      </c>
      <c r="B8" s="3459"/>
      <c r="C8" s="3459"/>
      <c r="D8" s="3459" t="e">
        <f ca="1">结果表!D122</f>
        <v>#REF!</v>
      </c>
      <c r="E8" s="3459"/>
      <c r="F8" s="3459"/>
      <c r="G8" s="3459"/>
      <c r="H8" s="3459"/>
      <c r="I8" s="3459"/>
    </row>
    <row r="9" spans="1:9" ht="15">
      <c r="A9" s="3460" t="s">
        <v>927</v>
      </c>
      <c r="B9" s="3460"/>
      <c r="C9" s="3460"/>
      <c r="D9" s="3460" t="e">
        <f ca="1">结果表!D123</f>
        <v>#REF!</v>
      </c>
      <c r="E9" s="3460"/>
      <c r="F9" s="3460"/>
      <c r="G9" s="3460"/>
      <c r="H9" s="3460"/>
      <c r="I9" s="3460"/>
    </row>
    <row r="10" spans="1:9" ht="15.75">
      <c r="A10" s="3459" t="str">
        <f>结果表!A124</f>
        <v/>
      </c>
      <c r="B10" s="3459"/>
      <c r="C10" s="3459"/>
      <c r="D10" s="3459" t="str">
        <f>结果表!D124</f>
        <v>——</v>
      </c>
      <c r="E10" s="3459"/>
      <c r="F10" s="3459"/>
      <c r="G10" s="3459"/>
      <c r="H10" s="3459"/>
      <c r="I10" s="3459"/>
    </row>
    <row r="11" spans="1:9" ht="15">
      <c r="A11" s="3460" t="s">
        <v>927</v>
      </c>
      <c r="B11" s="3460"/>
      <c r="C11" s="3460"/>
      <c r="D11" s="3460" t="e">
        <f>结果表!D125</f>
        <v>#VALUE!</v>
      </c>
      <c r="E11" s="3460"/>
      <c r="F11" s="3460"/>
      <c r="G11" s="3460"/>
      <c r="H11" s="3460"/>
      <c r="I11" s="3460"/>
    </row>
    <row r="12" spans="1:9" ht="15.75">
      <c r="A12" s="3459" t="str">
        <f>结果表!A126</f>
        <v/>
      </c>
      <c r="B12" s="3459"/>
      <c r="C12" s="3459"/>
      <c r="D12" s="3459" t="str">
        <f>结果表!D126</f>
        <v>——</v>
      </c>
      <c r="E12" s="3459"/>
      <c r="F12" s="3459"/>
      <c r="G12" s="3459"/>
      <c r="H12" s="3459"/>
      <c r="I12" s="3459"/>
    </row>
    <row r="13" spans="1:9" ht="15.75" thickBot="1">
      <c r="A13" s="3457" t="s">
        <v>927</v>
      </c>
      <c r="B13" s="3457"/>
      <c r="C13" s="3457"/>
      <c r="D13" s="3457" t="e">
        <f>结果表!D127</f>
        <v>#VALUE!</v>
      </c>
      <c r="E13" s="3457"/>
      <c r="F13" s="3457"/>
      <c r="G13" s="3457"/>
      <c r="H13" s="3457"/>
      <c r="I13" s="3457"/>
    </row>
    <row r="14" spans="1:9" ht="15" thickTop="1">
      <c r="A14" s="3458" t="s">
        <v>932</v>
      </c>
      <c r="B14" s="3458"/>
      <c r="C14" s="3458"/>
      <c r="D14" s="3458"/>
      <c r="E14" s="3458"/>
      <c r="F14" s="3458"/>
      <c r="G14" s="3458"/>
      <c r="H14" s="3458"/>
      <c r="I14" s="3458"/>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72" t="s">
        <v>949</v>
      </c>
      <c r="B1" s="3472"/>
      <c r="C1" s="3472"/>
      <c r="D1" s="3472"/>
    </row>
    <row r="2" spans="1:4" ht="18">
      <c r="A2" s="3473" t="s">
        <v>933</v>
      </c>
      <c r="B2" s="3473"/>
      <c r="C2" s="3473"/>
      <c r="D2" s="3473"/>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473" t="s">
        <v>939</v>
      </c>
      <c r="B6" s="3473"/>
      <c r="C6" s="3473"/>
      <c r="D6" s="3473"/>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474" t="s">
        <v>942</v>
      </c>
      <c r="B11" s="3466"/>
      <c r="C11" s="3466"/>
      <c r="D11" s="3466"/>
    </row>
    <row r="12" spans="1:4" ht="15.75">
      <c r="A12" s="34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1"/>
      <c r="C12" s="3471"/>
      <c r="D12" s="3471"/>
    </row>
    <row r="13" spans="1:4" ht="30" customHeight="1">
      <c r="A13" s="34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1"/>
      <c r="C13" s="3471"/>
      <c r="D13" s="3471"/>
    </row>
    <row r="14" spans="1:4" ht="15.75" customHeight="1">
      <c r="A14" s="3466" t="str">
        <f>IF(项目基本情况!B8="抵押","4.本次评估估价师所知悉的法定优先受偿款情况说明如下：","——")</f>
        <v>4.本次评估估价师所知悉的法定优先受偿款情况说明如下：</v>
      </c>
      <c r="B14" s="3471"/>
      <c r="C14" s="3471"/>
      <c r="D14" s="3471"/>
    </row>
    <row r="15" spans="1:4" ht="42" customHeight="1">
      <c r="A15" s="34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6"/>
      <c r="C15" s="3466"/>
      <c r="D15" s="3466"/>
    </row>
    <row r="16" spans="1:4" ht="30" customHeight="1">
      <c r="A16" s="3468" t="s">
        <v>943</v>
      </c>
      <c r="B16" s="3468"/>
      <c r="C16" s="3468"/>
      <c r="D16" s="3468"/>
    </row>
    <row r="17" spans="1:4" ht="144" customHeight="1">
      <c r="A17" s="3468" t="s">
        <v>944</v>
      </c>
      <c r="B17" s="3468"/>
      <c r="C17" s="3468"/>
      <c r="D17" s="3468"/>
    </row>
    <row r="18" spans="1:4" ht="15.75" customHeight="1">
      <c r="A18" s="3466" t="str">
        <f>IF(项目基本情况!B8="抵押",结果表!K120,"——")</f>
        <v>故，本次评估不存在估价师知悉的法定优先受偿款</v>
      </c>
      <c r="B18" s="3466"/>
      <c r="C18" s="3466"/>
      <c r="D18" s="3466"/>
    </row>
    <row r="19" spans="1:4" ht="46.5" customHeight="1">
      <c r="A19" s="34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6"/>
      <c r="C19" s="3466"/>
      <c r="D19" s="3466"/>
    </row>
    <row r="20" spans="1:4" ht="57.75" customHeight="1">
      <c r="A20" s="34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6"/>
      <c r="C20" s="3466"/>
      <c r="D20" s="3466"/>
    </row>
    <row r="21" spans="1:4" ht="57.75" customHeight="1">
      <c r="A21" s="34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9"/>
      <c r="C21" s="3469"/>
      <c r="D21" s="3469"/>
    </row>
    <row r="22" spans="1:4" ht="18.75" customHeight="1">
      <c r="A22" s="3470" t="s">
        <v>945</v>
      </c>
      <c r="B22" s="3470"/>
      <c r="C22" s="3470"/>
      <c r="D22" s="3470"/>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67">
        <v>42551</v>
      </c>
      <c r="D31" s="34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480" t="s">
        <v>956</v>
      </c>
      <c r="B15" s="3475" t="s">
        <v>109</v>
      </c>
      <c r="C15" s="3476"/>
    </row>
    <row r="16" spans="1:7" ht="13.5">
      <c r="A16" s="3481"/>
      <c r="B16" s="3475" t="s">
        <v>42</v>
      </c>
      <c r="C16" s="3476"/>
    </row>
    <row r="17" spans="1:3" ht="13.5">
      <c r="A17" s="3481"/>
      <c r="B17" s="3478" t="s">
        <v>957</v>
      </c>
      <c r="C17" s="1528" t="s">
        <v>956</v>
      </c>
    </row>
    <row r="18" spans="1:3" ht="13.5">
      <c r="A18" s="3481"/>
      <c r="B18" s="3478"/>
      <c r="C18" s="1528" t="s">
        <v>958</v>
      </c>
    </row>
    <row r="19" spans="1:3" ht="13.5">
      <c r="A19" s="3481"/>
      <c r="B19" s="3478"/>
      <c r="C19" s="1528" t="s">
        <v>959</v>
      </c>
    </row>
    <row r="20" spans="1:3" ht="13.5">
      <c r="A20" s="3482"/>
      <c r="B20" s="3477" t="s">
        <v>960</v>
      </c>
      <c r="C20" s="3476"/>
    </row>
    <row r="21" spans="1:3" ht="13.5">
      <c r="A21" s="1529" t="s">
        <v>961</v>
      </c>
      <c r="B21" s="1530"/>
      <c r="C21" s="1531"/>
    </row>
    <row r="22" spans="1:3" ht="13.5">
      <c r="A22" s="3479" t="s">
        <v>962</v>
      </c>
      <c r="B22" s="3477" t="s">
        <v>963</v>
      </c>
      <c r="C22" s="3476"/>
    </row>
    <row r="23" spans="1:3" ht="13.5">
      <c r="A23" s="3479"/>
      <c r="B23" s="3477" t="s">
        <v>964</v>
      </c>
      <c r="C23" s="3476"/>
    </row>
    <row r="24" spans="1:3" ht="13.5">
      <c r="A24" s="3479"/>
      <c r="B24" s="3477" t="s">
        <v>965</v>
      </c>
      <c r="C24" s="3476"/>
    </row>
    <row r="25" spans="1:3" ht="13.5">
      <c r="A25" s="3479"/>
      <c r="B25" s="3478" t="s">
        <v>966</v>
      </c>
      <c r="C25" s="1528" t="s">
        <v>967</v>
      </c>
    </row>
    <row r="26" spans="1:3" ht="13.5">
      <c r="A26" s="3479"/>
      <c r="B26" s="3478"/>
      <c r="C26" s="1528" t="s">
        <v>968</v>
      </c>
    </row>
    <row r="27" spans="1:3" ht="13.5">
      <c r="A27" s="3479"/>
      <c r="B27" s="3478"/>
      <c r="C27" s="1528" t="s">
        <v>969</v>
      </c>
    </row>
    <row r="28" spans="1:3" ht="13.5">
      <c r="A28" s="3479"/>
      <c r="B28" s="3478"/>
      <c r="C28" s="1528" t="s">
        <v>970</v>
      </c>
    </row>
    <row r="29" spans="1:3" ht="13.5">
      <c r="A29" s="3479"/>
      <c r="B29" s="3478"/>
      <c r="C29" s="1528" t="s">
        <v>971</v>
      </c>
    </row>
    <row r="30" spans="1:3" ht="13.5">
      <c r="A30" s="3479"/>
      <c r="B30" s="3478"/>
      <c r="C30" s="1528" t="s">
        <v>972</v>
      </c>
    </row>
    <row r="31" spans="1:3" ht="13.5">
      <c r="A31" s="3479"/>
      <c r="B31" s="3478"/>
      <c r="C31" s="1528" t="s">
        <v>973</v>
      </c>
    </row>
    <row r="32" spans="1:3" ht="13.5">
      <c r="A32" s="3479"/>
      <c r="B32" s="3478"/>
      <c r="C32" s="1528" t="s">
        <v>974</v>
      </c>
    </row>
    <row r="33" spans="1:3" ht="13.5">
      <c r="A33" s="3479"/>
      <c r="B33" s="3478"/>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45491</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t="str">
        <f ca="1">IF(C6&lt;B2,"已过期",1120050019)</f>
        <v>已过期</v>
      </c>
      <c r="C6" s="2341">
        <v>45410</v>
      </c>
      <c r="D6" s="2342" t="str">
        <f t="shared" ca="1" si="0"/>
        <v>王鹏（注册号：已过期）</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f ca="1">IF(C9&lt;B2,"已过期",1120060040)</f>
        <v>1120060040</v>
      </c>
      <c r="C9" s="2346">
        <v>45592</v>
      </c>
      <c r="D9" s="2342" t="str">
        <f t="shared" ca="1" si="0"/>
        <v>陈颖（注册号：1120060040）</v>
      </c>
      <c r="E9" s="2343" t="s">
        <v>2153</v>
      </c>
      <c r="F9" s="1300">
        <f ca="1">IF(G9&lt;B2,"已过期",2004110096)</f>
        <v>2004110096</v>
      </c>
      <c r="G9" s="2344">
        <v>47118</v>
      </c>
      <c r="H9" s="2345" t="str">
        <f t="shared" ca="1" si="1"/>
        <v>陈颖（注册号：2004110096）</v>
      </c>
    </row>
    <row r="10" spans="1:8" ht="24" customHeight="1">
      <c r="A10" s="1300" t="s">
        <v>2154</v>
      </c>
      <c r="B10" s="1300">
        <f ca="1">IF(C10&lt;B2,"已过期",1120100036)</f>
        <v>1120100036</v>
      </c>
      <c r="C10" s="2346">
        <v>45752</v>
      </c>
      <c r="D10" s="2342" t="str">
        <f t="shared" ca="1" si="0"/>
        <v>崔锴（注册号：1120100036）</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t="str">
        <f ca="1">IF(C13&lt;B2,"已过期",1120020033)</f>
        <v>已过期</v>
      </c>
      <c r="C13" s="2341">
        <v>45375</v>
      </c>
      <c r="D13" s="2342" t="str">
        <f t="shared" ca="1" si="0"/>
        <v>刘敬东（注册号：已过期）</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2435</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483" t="s">
        <v>2160</v>
      </c>
      <c r="B17" s="3483"/>
      <c r="C17" s="3483"/>
      <c r="D17" s="3483"/>
      <c r="E17" s="3483"/>
      <c r="F17" s="3483"/>
      <c r="G17" s="3483"/>
      <c r="H17" s="3483"/>
    </row>
    <row r="18" spans="1:8" ht="24" customHeight="1">
      <c r="A18" s="3484" t="s">
        <v>2161</v>
      </c>
      <c r="B18" s="3484"/>
      <c r="C18" s="3484"/>
      <c r="D18" s="2339"/>
      <c r="E18" s="3485" t="s">
        <v>2162</v>
      </c>
      <c r="F18" s="3484"/>
      <c r="G18" s="3484"/>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2436</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(元)-1</vt:lpstr>
      <vt:lpstr>收益法 (元)-1</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快速变现比例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(元)-1'!Print_Area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(元)-1'!Print_Area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2024-07-18T05:28:15Z</dcterms:modified>
</cp:coreProperties>
</file>